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activeTab="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p - Personal View" guid="{8317B6D8-8A99-4EB0-9DBC-8E9AE0170A4B}" mergeInterval="0" personalView="1" xWindow="527" yWindow="257" windowWidth="1314" windowHeight="542" tabRatio="631" activeSheetId="4"/>
    <customWorkbookView name="pp - Personal View" guid="{18C0F7AC-4BB1-46DE-8A01-8E31FE0585FC}" mergeInterval="0" personalView="1" maximized="1" xWindow="-8" yWindow="-8" windowWidth="1456" windowHeight="876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F39" i="1"/>
  <c r="D39" i="1"/>
  <c r="J39" i="1"/>
  <c r="P39" i="1"/>
  <c r="V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H39" i="1"/>
  <c r="C41" i="1"/>
  <c r="C43" i="1" s="1"/>
  <c r="Z39" i="1"/>
  <c r="T39" i="1"/>
  <c r="K8" i="1"/>
  <c r="F32" i="7" s="1"/>
  <c r="Q8" i="1"/>
  <c r="G32" i="7" s="1"/>
  <c r="K9" i="1"/>
  <c r="F33" i="7" s="1"/>
  <c r="M33" i="7" s="1"/>
  <c r="Q9" i="1"/>
  <c r="G33" i="7" s="1"/>
  <c r="N33" i="7" s="1"/>
  <c r="E10" i="1"/>
  <c r="E34" i="7" s="1"/>
  <c r="L34" i="7" s="1"/>
  <c r="K10" i="1"/>
  <c r="F34" i="7" s="1"/>
  <c r="M34" i="7" s="1"/>
  <c r="Q10" i="1"/>
  <c r="G34" i="7" s="1"/>
  <c r="N34" i="7" s="1"/>
  <c r="E11" i="1"/>
  <c r="E35" i="7" s="1"/>
  <c r="L35" i="7" s="1"/>
  <c r="K11" i="1"/>
  <c r="F35" i="7" s="1"/>
  <c r="M35" i="7" s="1"/>
  <c r="Q11" i="1"/>
  <c r="G35" i="7" s="1"/>
  <c r="N35" i="7" s="1"/>
  <c r="W11" i="1"/>
  <c r="H35" i="7" s="1"/>
  <c r="O35" i="7" s="1"/>
  <c r="K12" i="1"/>
  <c r="F36" i="7" s="1"/>
  <c r="M36" i="7" s="1"/>
  <c r="Q12" i="1"/>
  <c r="G36" i="7" s="1"/>
  <c r="N36" i="7" s="1"/>
  <c r="E13" i="1"/>
  <c r="E37" i="7" s="1"/>
  <c r="L37" i="7" s="1"/>
  <c r="K13" i="1"/>
  <c r="F37" i="7" s="1"/>
  <c r="M37" i="7" s="1"/>
  <c r="W13" i="1"/>
  <c r="H37" i="7" s="1"/>
  <c r="O37" i="7" s="1"/>
  <c r="E14" i="1"/>
  <c r="K14" i="1"/>
  <c r="W14" i="1"/>
  <c r="K15" i="1"/>
  <c r="F39" i="7" s="1"/>
  <c r="M39" i="7" s="1"/>
  <c r="Q15" i="1"/>
  <c r="G39" i="7" s="1"/>
  <c r="N39" i="7" s="1"/>
  <c r="K16" i="1"/>
  <c r="F40" i="7" s="1"/>
  <c r="M40" i="7" s="1"/>
  <c r="Q16" i="1"/>
  <c r="W16" i="1"/>
  <c r="H40" i="7" s="1"/>
  <c r="O40" i="7" s="1"/>
  <c r="K17" i="1"/>
  <c r="F41" i="7" s="1"/>
  <c r="M41" i="7" s="1"/>
  <c r="Q17" i="1"/>
  <c r="G41" i="7" s="1"/>
  <c r="N41" i="7" s="1"/>
  <c r="W17" i="1"/>
  <c r="H41" i="7" s="1"/>
  <c r="O41" i="7" s="1"/>
  <c r="K18" i="1"/>
  <c r="F42" i="7" s="1"/>
  <c r="M42" i="7" s="1"/>
  <c r="Q18" i="1"/>
  <c r="G42" i="7" s="1"/>
  <c r="N42" i="7" s="1"/>
  <c r="W18" i="1"/>
  <c r="H42" i="7" s="1"/>
  <c r="O42" i="7" s="1"/>
  <c r="K19" i="1"/>
  <c r="F43" i="7" s="1"/>
  <c r="M43" i="7" s="1"/>
  <c r="Q19" i="1"/>
  <c r="G43" i="7" s="1"/>
  <c r="N43" i="7" s="1"/>
  <c r="K20" i="1"/>
  <c r="F44" i="7" s="1"/>
  <c r="M44" i="7" s="1"/>
  <c r="Q20" i="1"/>
  <c r="G44" i="7" s="1"/>
  <c r="N44" i="7" s="1"/>
  <c r="W20" i="1"/>
  <c r="K21" i="1"/>
  <c r="F45" i="7" s="1"/>
  <c r="M45" i="7" s="1"/>
  <c r="Q21" i="1"/>
  <c r="G45" i="7" s="1"/>
  <c r="N45" i="7" s="1"/>
  <c r="W21" i="1"/>
  <c r="K22" i="1"/>
  <c r="F46" i="7" s="1"/>
  <c r="M46" i="7" s="1"/>
  <c r="Q22" i="1"/>
  <c r="G46" i="7" s="1"/>
  <c r="N46" i="7" s="1"/>
  <c r="E23" i="1"/>
  <c r="E47" i="7" s="1"/>
  <c r="L47" i="7" s="1"/>
  <c r="K23" i="1"/>
  <c r="F47" i="7" s="1"/>
  <c r="M47" i="7" s="1"/>
  <c r="W23" i="1"/>
  <c r="H47" i="7" s="1"/>
  <c r="O47" i="7" s="1"/>
  <c r="K24" i="1"/>
  <c r="F48" i="7" s="1"/>
  <c r="M48" i="7" s="1"/>
  <c r="W24" i="1"/>
  <c r="H48" i="7" s="1"/>
  <c r="O48" i="7" s="1"/>
  <c r="K25" i="1"/>
  <c r="F49" i="7" s="1"/>
  <c r="M49" i="7" s="1"/>
  <c r="Q25" i="1"/>
  <c r="G49" i="7" s="1"/>
  <c r="N49" i="7" s="1"/>
  <c r="W25" i="1"/>
  <c r="H49" i="7" s="1"/>
  <c r="O49" i="7" s="1"/>
  <c r="K26" i="1"/>
  <c r="F50" i="7" s="1"/>
  <c r="M50" i="7" s="1"/>
  <c r="Q26" i="1"/>
  <c r="G50" i="7" s="1"/>
  <c r="N50" i="7" s="1"/>
  <c r="W26" i="1"/>
  <c r="K27" i="1"/>
  <c r="F51" i="7" s="1"/>
  <c r="M51" i="7" s="1"/>
  <c r="Q27" i="1"/>
  <c r="G51" i="7" s="1"/>
  <c r="N51" i="7" s="1"/>
  <c r="W27" i="1"/>
  <c r="K28" i="1"/>
  <c r="F52" i="7" s="1"/>
  <c r="M52" i="7" s="1"/>
  <c r="Q28" i="1"/>
  <c r="G52" i="7" s="1"/>
  <c r="N52" i="7" s="1"/>
  <c r="W28" i="1"/>
  <c r="H52" i="7" s="1"/>
  <c r="O52" i="7" s="1"/>
  <c r="E29" i="1"/>
  <c r="E53" i="7" s="1"/>
  <c r="L53" i="7" s="1"/>
  <c r="K29" i="1"/>
  <c r="F53" i="7" s="1"/>
  <c r="M53" i="7" s="1"/>
  <c r="Q29" i="1"/>
  <c r="G53" i="7" s="1"/>
  <c r="N53" i="7" s="1"/>
  <c r="W29" i="1"/>
  <c r="H53" i="7" s="1"/>
  <c r="O53" i="7" s="1"/>
  <c r="K30" i="1"/>
  <c r="F54" i="7" s="1"/>
  <c r="M54" i="7" s="1"/>
  <c r="Q30" i="1"/>
  <c r="G54" i="7" s="1"/>
  <c r="N54" i="7" s="1"/>
  <c r="K31" i="1"/>
  <c r="F55" i="7" s="1"/>
  <c r="M55" i="7" s="1"/>
  <c r="Q31" i="1"/>
  <c r="G55" i="7" s="1"/>
  <c r="N55" i="7" s="1"/>
  <c r="K32" i="1"/>
  <c r="F56" i="7" s="1"/>
  <c r="M56" i="7" s="1"/>
  <c r="Q32" i="1"/>
  <c r="G56" i="7" s="1"/>
  <c r="N56" i="7" s="1"/>
  <c r="K33" i="1"/>
  <c r="F57" i="7" s="1"/>
  <c r="M57" i="7" s="1"/>
  <c r="Q33" i="1"/>
  <c r="G57" i="7" s="1"/>
  <c r="N57" i="7" s="1"/>
  <c r="K34" i="1"/>
  <c r="F58" i="7" s="1"/>
  <c r="M58" i="7" s="1"/>
  <c r="Q34" i="1"/>
  <c r="G58" i="7" s="1"/>
  <c r="N58" i="7" s="1"/>
  <c r="N8" i="1"/>
  <c r="N39" i="1" s="1"/>
  <c r="Z11" i="1"/>
  <c r="C45" i="1" l="1"/>
  <c r="W39" i="1"/>
  <c r="G40" i="7"/>
  <c r="N40" i="7" s="1"/>
  <c r="Q39" i="1"/>
  <c r="F38" i="7"/>
  <c r="M38" i="7" s="1"/>
  <c r="K39" i="1"/>
  <c r="E38" i="7"/>
  <c r="L38" i="7" s="1"/>
  <c r="E39" i="1"/>
  <c r="H50" i="7"/>
  <c r="O50" i="7" s="1"/>
  <c r="H38" i="7"/>
  <c r="O38" i="7" s="1"/>
  <c r="H45" i="7"/>
  <c r="O45" i="7" s="1"/>
  <c r="H44" i="7"/>
  <c r="O44" i="7" s="1"/>
  <c r="H51" i="7"/>
  <c r="O51" i="7" s="1"/>
  <c r="C42" i="1" l="1"/>
  <c r="Q19" i="6"/>
  <c r="P9" i="6"/>
  <c r="Q9" i="6"/>
  <c r="R9" i="6"/>
  <c r="U16" i="6" s="1"/>
  <c r="S9" i="6"/>
  <c r="V16" i="6" s="1"/>
  <c r="T9" i="6"/>
  <c r="W16" i="6" s="1"/>
  <c r="O9" i="6"/>
  <c r="G22" i="6"/>
  <c r="D18" i="15" l="1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6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0"/>
  <c r="J9" i="20"/>
  <c r="J8" i="20"/>
  <c r="J7" i="20"/>
  <c r="C46" i="6"/>
  <c r="D46" i="6"/>
  <c r="F22" i="6" s="1"/>
  <c r="E46" i="6"/>
  <c r="C22" i="6" s="1"/>
  <c r="F46" i="6"/>
  <c r="D22" i="6" s="1"/>
  <c r="G46" i="6"/>
  <c r="E22" i="6" s="1"/>
  <c r="H46" i="6"/>
  <c r="F34" i="6" s="1"/>
  <c r="I46" i="6"/>
  <c r="G34" i="6" s="1"/>
  <c r="J46" i="6"/>
  <c r="I34" i="6" s="1"/>
  <c r="L46" i="6"/>
  <c r="M46" i="6"/>
  <c r="D34" i="6" s="1"/>
  <c r="N46" i="6"/>
  <c r="E34" i="6" s="1"/>
  <c r="B46" i="6"/>
  <c r="H22" i="6" s="1"/>
  <c r="Q31" i="2"/>
  <c r="Q31" i="4"/>
  <c r="D39" i="4"/>
  <c r="M39" i="4"/>
  <c r="J39" i="4"/>
  <c r="G39" i="4"/>
  <c r="C34" i="6" l="1"/>
  <c r="T14" i="6" s="1"/>
  <c r="I22" i="6"/>
  <c r="V14" i="6" s="1"/>
  <c r="W15" i="6"/>
  <c r="V15" i="6"/>
  <c r="U14" i="6"/>
  <c r="U15" i="6"/>
  <c r="W14" i="6"/>
  <c r="U20" i="6"/>
  <c r="W20" i="6"/>
  <c r="Q32" i="2"/>
  <c r="P33" i="2"/>
  <c r="Q33" i="2" s="1"/>
  <c r="C28" i="2"/>
  <c r="D28" i="2" s="1"/>
  <c r="T20" i="6" l="1"/>
  <c r="V20" i="6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J15" i="2" l="1"/>
  <c r="G13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7"/>
  <c r="N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R9" i="7"/>
  <c r="I8" i="2"/>
  <c r="K8" i="2" s="1"/>
  <c r="F8" i="2"/>
  <c r="G8" i="2" s="1"/>
  <c r="J8" i="2" l="1"/>
  <c r="O8" i="2" s="1"/>
  <c r="Q8" i="2" s="1"/>
  <c r="H8" i="2"/>
  <c r="R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I11" i="9" s="1"/>
  <c r="L11" i="9" s="1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N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R42" i="7"/>
  <c r="R45" i="7"/>
  <c r="R37" i="7"/>
  <c r="R43" i="7"/>
  <c r="R49" i="7"/>
  <c r="R32" i="7"/>
  <c r="R46" i="7"/>
  <c r="R40" i="7"/>
  <c r="R36" i="7"/>
  <c r="R39" i="7"/>
  <c r="R48" i="7"/>
  <c r="R38" i="7"/>
  <c r="R41" i="7"/>
  <c r="R44" i="7"/>
  <c r="R50" i="7"/>
  <c r="R51" i="7"/>
  <c r="R34" i="7"/>
  <c r="R35" i="7"/>
  <c r="R47" i="7"/>
  <c r="S41" i="7" l="1"/>
  <c r="S36" i="7"/>
  <c r="T41" i="7"/>
  <c r="T48" i="7"/>
  <c r="T36" i="7"/>
  <c r="S48" i="7"/>
  <c r="S46" i="7"/>
  <c r="T50" i="7"/>
  <c r="S50" i="7"/>
  <c r="T38" i="7"/>
  <c r="S38" i="7"/>
  <c r="S44" i="7"/>
  <c r="T44" i="7"/>
  <c r="T46" i="7"/>
  <c r="S34" i="7"/>
  <c r="T34" i="7"/>
  <c r="U41" i="7" l="1"/>
  <c r="X40" i="7" s="1"/>
  <c r="B3" i="8" s="1"/>
  <c r="U50" i="7"/>
  <c r="U36" i="7"/>
  <c r="U48" i="7"/>
  <c r="U44" i="7"/>
  <c r="U38" i="7"/>
  <c r="U46" i="7"/>
  <c r="U34" i="7"/>
  <c r="X48" i="7" l="1"/>
  <c r="B5" i="8" s="1"/>
  <c r="X44" i="7"/>
  <c r="B4" i="8" s="1"/>
  <c r="X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C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O27" i="7" l="1"/>
  <c r="N27" i="7"/>
  <c r="M27" i="7"/>
  <c r="O26" i="7"/>
  <c r="N26" i="7"/>
  <c r="M26" i="7"/>
  <c r="O25" i="7"/>
  <c r="N25" i="7"/>
  <c r="M25" i="7"/>
  <c r="O24" i="7"/>
  <c r="N24" i="7"/>
  <c r="M24" i="7"/>
  <c r="O23" i="7"/>
  <c r="M23" i="7"/>
  <c r="O22" i="7"/>
  <c r="M22" i="7"/>
  <c r="L22" i="7"/>
  <c r="N21" i="7"/>
  <c r="M21" i="7"/>
  <c r="O20" i="7"/>
  <c r="N20" i="7"/>
  <c r="M20" i="7"/>
  <c r="O19" i="7"/>
  <c r="N19" i="7"/>
  <c r="M19" i="7"/>
  <c r="N18" i="7"/>
  <c r="M18" i="7"/>
  <c r="O17" i="7"/>
  <c r="N17" i="7"/>
  <c r="M17" i="7"/>
  <c r="O16" i="7"/>
  <c r="M16" i="7"/>
  <c r="O15" i="7"/>
  <c r="N15" i="7"/>
  <c r="M15" i="7"/>
  <c r="N14" i="7"/>
  <c r="M14" i="7"/>
  <c r="O13" i="7"/>
  <c r="M13" i="7"/>
  <c r="L13" i="7"/>
  <c r="O12" i="7"/>
  <c r="M12" i="7"/>
  <c r="L12" i="7"/>
  <c r="N11" i="7"/>
  <c r="M11" i="7"/>
  <c r="L11" i="7"/>
  <c r="O10" i="7"/>
  <c r="N10" i="7"/>
  <c r="M10" i="7"/>
  <c r="L10" i="7"/>
  <c r="N8" i="7"/>
  <c r="M8" i="7"/>
  <c r="R21" i="7" l="1"/>
  <c r="R24" i="7"/>
  <c r="R27" i="7"/>
  <c r="R14" i="7"/>
  <c r="R26" i="7"/>
  <c r="R22" i="7"/>
  <c r="R19" i="7"/>
  <c r="R23" i="7"/>
  <c r="R25" i="7"/>
  <c r="R20" i="7"/>
  <c r="R17" i="7"/>
  <c r="R15" i="7"/>
  <c r="R8" i="7"/>
  <c r="R18" i="7"/>
  <c r="R16" i="7"/>
  <c r="R13" i="7"/>
  <c r="R12" i="7"/>
  <c r="R11" i="7"/>
  <c r="R10" i="7"/>
  <c r="T14" i="7" l="1"/>
  <c r="T24" i="7"/>
  <c r="S20" i="7"/>
  <c r="S26" i="7"/>
  <c r="S24" i="7"/>
  <c r="T20" i="7"/>
  <c r="S22" i="7"/>
  <c r="T26" i="7"/>
  <c r="T22" i="7"/>
  <c r="S17" i="7"/>
  <c r="T17" i="7"/>
  <c r="S14" i="7"/>
  <c r="S10" i="7"/>
  <c r="T10" i="7"/>
  <c r="T12" i="7"/>
  <c r="S12" i="7"/>
  <c r="U14" i="7" l="1"/>
  <c r="U26" i="7"/>
  <c r="U24" i="7"/>
  <c r="U20" i="7"/>
  <c r="U22" i="7"/>
  <c r="U10" i="7"/>
  <c r="U17" i="7"/>
  <c r="X16" i="7" s="1"/>
  <c r="U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X24" i="7" l="1"/>
  <c r="X20" i="7"/>
  <c r="X8" i="7"/>
  <c r="L12" i="2" l="1"/>
  <c r="N12" i="2" s="1"/>
  <c r="L13" i="2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3" i="2" l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N38" i="2" l="1"/>
  <c r="E13" i="2"/>
  <c r="C38" i="2"/>
  <c r="C20" i="3" s="1"/>
  <c r="C19" i="3" s="1"/>
  <c r="E19" i="3" s="1"/>
  <c r="T19" i="6"/>
  <c r="T21" i="6" s="1"/>
  <c r="D11" i="3"/>
  <c r="E11" i="3" s="1"/>
  <c r="U19" i="6"/>
  <c r="U21" i="6" s="1"/>
  <c r="G11" i="3"/>
  <c r="H11" i="3" s="1"/>
  <c r="E10" i="2"/>
  <c r="G15" i="11"/>
  <c r="E38" i="2" l="1"/>
  <c r="F25" i="1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1"/>
  <c r="C11" i="11"/>
  <c r="C12" i="11"/>
  <c r="C21" i="11"/>
  <c r="D34" i="3"/>
  <c r="D35" i="3"/>
  <c r="E34" i="3"/>
  <c r="E35" i="3"/>
  <c r="F35" i="3"/>
  <c r="C34" i="3"/>
  <c r="D38" i="2" l="1"/>
  <c r="C55" i="3" s="1"/>
  <c r="M38" i="2"/>
  <c r="F55" i="3" s="1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13" i="2" l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9" i="15" l="1"/>
  <c r="D16" i="20"/>
  <c r="D16" i="19"/>
  <c r="D16" i="15"/>
  <c r="M13" i="21" s="1"/>
  <c r="E7" i="19" l="1"/>
  <c r="E10" i="19"/>
  <c r="E9" i="19"/>
  <c r="C9" i="19"/>
  <c r="C10" i="19"/>
  <c r="C7" i="19"/>
  <c r="E8" i="19"/>
  <c r="M32" i="21"/>
  <c r="C8" i="19"/>
  <c r="C10" i="20"/>
  <c r="E10" i="20"/>
  <c r="C8" i="20"/>
  <c r="E9" i="20"/>
  <c r="E8" i="20"/>
  <c r="C7" i="20"/>
  <c r="E7" i="20"/>
  <c r="C9" i="20"/>
  <c r="D18" i="19"/>
  <c r="D18" i="20"/>
  <c r="G8" i="15"/>
  <c r="M16" i="21"/>
  <c r="G7" i="15"/>
  <c r="G9" i="15"/>
  <c r="D7" i="15"/>
  <c r="G10" i="15"/>
  <c r="E4" i="23" l="1"/>
  <c r="E36" i="21"/>
  <c r="G18" i="21"/>
  <c r="G4" i="16"/>
  <c r="C4" i="23"/>
  <c r="C36" i="21"/>
  <c r="G19" i="21"/>
  <c r="G5" i="16"/>
  <c r="B10" i="20"/>
  <c r="B8" i="20"/>
  <c r="D8" i="20"/>
  <c r="D9" i="20"/>
  <c r="B7" i="20"/>
  <c r="B9" i="20"/>
  <c r="D10" i="20"/>
  <c r="D7" i="20"/>
  <c r="C2" i="23"/>
  <c r="C34" i="21"/>
  <c r="E5" i="23"/>
  <c r="E37" i="21"/>
  <c r="G16" i="21"/>
  <c r="G2" i="16"/>
  <c r="E3" i="23"/>
  <c r="E35" i="21"/>
  <c r="D2" i="16"/>
  <c r="D16" i="21"/>
  <c r="G3" i="16"/>
  <c r="G17" i="21"/>
  <c r="B10" i="19"/>
  <c r="B8" i="19"/>
  <c r="B9" i="19"/>
  <c r="D10" i="19"/>
  <c r="D7" i="19"/>
  <c r="M34" i="21"/>
  <c r="D8" i="19"/>
  <c r="D9" i="19"/>
  <c r="B7" i="19"/>
  <c r="C3" i="23"/>
  <c r="C35" i="21"/>
  <c r="C37" i="21"/>
  <c r="C5" i="23"/>
  <c r="E2" i="23"/>
  <c r="E34" i="21"/>
  <c r="D36" i="21" l="1"/>
  <c r="D4" i="23"/>
  <c r="B2" i="23"/>
  <c r="B34" i="21"/>
  <c r="D2" i="23"/>
  <c r="D34" i="21"/>
  <c r="B5" i="23"/>
  <c r="B37" i="21"/>
  <c r="D35" i="21"/>
  <c r="D3" i="23"/>
  <c r="B4" i="23"/>
  <c r="B36" i="21"/>
  <c r="D5" i="23"/>
  <c r="D37" i="21"/>
  <c r="B3" i="23"/>
  <c r="B35" i="21"/>
  <c r="D15" i="15" l="1"/>
  <c r="H7" i="15" l="1"/>
  <c r="E10" i="15"/>
  <c r="E7" i="15"/>
  <c r="E8" i="15"/>
  <c r="H10" i="15"/>
  <c r="H8" i="15"/>
  <c r="M12" i="21"/>
  <c r="H5" i="16" l="1"/>
  <c r="H19" i="21"/>
  <c r="H2" i="16"/>
  <c r="H16" i="21"/>
  <c r="E3" i="16"/>
  <c r="E17" i="21"/>
  <c r="E16" i="21"/>
  <c r="E2" i="16"/>
  <c r="H17" i="21"/>
  <c r="H3" i="16"/>
  <c r="E19" i="21"/>
  <c r="E5" i="16"/>
  <c r="D21" i="15" l="1"/>
  <c r="C7" i="15" l="1"/>
  <c r="F8" i="15"/>
  <c r="F10" i="15"/>
  <c r="M18" i="21"/>
  <c r="C8" i="15"/>
  <c r="D9" i="15"/>
  <c r="C9" i="15"/>
  <c r="F7" i="15"/>
  <c r="F9" i="15"/>
  <c r="C10" i="15"/>
  <c r="F18" i="21" l="1"/>
  <c r="F4" i="16"/>
  <c r="C3" i="16"/>
  <c r="C17" i="21"/>
  <c r="C16" i="21"/>
  <c r="C2" i="16"/>
  <c r="C19" i="21"/>
  <c r="C5" i="16"/>
  <c r="D18" i="21"/>
  <c r="D4" i="16"/>
  <c r="F17" i="21"/>
  <c r="F3" i="16"/>
  <c r="F2" i="16"/>
  <c r="F16" i="21"/>
  <c r="C4" i="16"/>
  <c r="C18" i="21"/>
  <c r="F19" i="21"/>
  <c r="F5" i="16"/>
  <c r="D15" i="17" l="1"/>
  <c r="I7" i="17" l="1"/>
  <c r="M22" i="21"/>
  <c r="I10" i="17"/>
  <c r="I9" i="17"/>
  <c r="I25" i="21" l="1"/>
  <c r="I2" i="18"/>
  <c r="I4" i="18"/>
  <c r="I27" i="21"/>
  <c r="I5" i="18"/>
  <c r="I28" i="21"/>
  <c r="D14" i="17" l="1"/>
  <c r="F9" i="17" l="1"/>
  <c r="F7" i="17"/>
  <c r="F10" i="17"/>
  <c r="M21" i="21"/>
  <c r="D7" i="17"/>
  <c r="D9" i="17"/>
  <c r="D10" i="17"/>
  <c r="D4" i="18" l="1"/>
  <c r="D27" i="21"/>
  <c r="D25" i="21"/>
  <c r="D2" i="18"/>
  <c r="F4" i="18"/>
  <c r="F27" i="21"/>
  <c r="D5" i="18"/>
  <c r="D28" i="21"/>
  <c r="F5" i="18"/>
  <c r="F28" i="21"/>
  <c r="F2" i="18"/>
  <c r="F25" i="21"/>
  <c r="F21" i="13" l="1"/>
  <c r="H12" i="13" l="1"/>
  <c r="H11" i="13"/>
  <c r="H14" i="13"/>
  <c r="M6" i="21"/>
  <c r="H9" i="13"/>
  <c r="H8" i="14" l="1"/>
  <c r="H11" i="21"/>
  <c r="H6" i="14"/>
  <c r="H9" i="21"/>
  <c r="H8" i="21"/>
  <c r="H5" i="14"/>
  <c r="H3" i="14"/>
  <c r="H6" i="21"/>
  <c r="D17" i="17" l="1"/>
  <c r="M24" i="21" s="1"/>
  <c r="F19" i="13" l="1"/>
  <c r="F18" i="13"/>
  <c r="D13" i="13" l="1"/>
  <c r="G9" i="13"/>
  <c r="G8" i="13"/>
  <c r="G5" i="21" s="1"/>
  <c r="D10" i="13"/>
  <c r="G7" i="13"/>
  <c r="D9" i="13"/>
  <c r="D8" i="13"/>
  <c r="D5" i="21" s="1"/>
  <c r="G10" i="13"/>
  <c r="D14" i="13"/>
  <c r="G13" i="13"/>
  <c r="G14" i="13"/>
  <c r="M3" i="21"/>
  <c r="D7" i="13"/>
  <c r="F8" i="13"/>
  <c r="F5" i="21" s="1"/>
  <c r="M4" i="21"/>
  <c r="F12" i="13"/>
  <c r="F13" i="13"/>
  <c r="C14" i="13"/>
  <c r="F11" i="13"/>
  <c r="F10" i="13"/>
  <c r="F7" i="13"/>
  <c r="C13" i="13"/>
  <c r="C12" i="13"/>
  <c r="C10" i="13"/>
  <c r="C8" i="13"/>
  <c r="C5" i="21" s="1"/>
  <c r="F9" i="13"/>
  <c r="C9" i="13"/>
  <c r="C11" i="13"/>
  <c r="C7" i="13"/>
  <c r="F14" i="13"/>
  <c r="C4" i="21" l="1"/>
  <c r="C2" i="14"/>
  <c r="F7" i="14"/>
  <c r="F10" i="21"/>
  <c r="F8" i="14"/>
  <c r="F11" i="21"/>
  <c r="F6" i="21"/>
  <c r="F3" i="14"/>
  <c r="C7" i="14"/>
  <c r="C10" i="21"/>
  <c r="C11" i="21"/>
  <c r="C8" i="14"/>
  <c r="G4" i="14"/>
  <c r="G7" i="21"/>
  <c r="D7" i="21"/>
  <c r="D4" i="14"/>
  <c r="F4" i="21"/>
  <c r="F2" i="14"/>
  <c r="C5" i="14"/>
  <c r="C8" i="21"/>
  <c r="C7" i="21"/>
  <c r="C4" i="14"/>
  <c r="F4" i="14"/>
  <c r="F7" i="21"/>
  <c r="F9" i="21"/>
  <c r="F6" i="14"/>
  <c r="G7" i="14"/>
  <c r="G10" i="21"/>
  <c r="D3" i="14"/>
  <c r="D6" i="21"/>
  <c r="G6" i="21"/>
  <c r="G3" i="14"/>
  <c r="G8" i="14"/>
  <c r="G11" i="21"/>
  <c r="C6" i="21"/>
  <c r="C3" i="14"/>
  <c r="C9" i="21"/>
  <c r="C6" i="14"/>
  <c r="F8" i="21"/>
  <c r="F5" i="14"/>
  <c r="D2" i="14"/>
  <c r="D4" i="21"/>
  <c r="D11" i="21"/>
  <c r="D8" i="14"/>
  <c r="G4" i="21"/>
  <c r="G2" i="14"/>
  <c r="D10" i="21"/>
  <c r="D7" i="14"/>
  <c r="F17" i="13" l="1"/>
  <c r="M2" i="21" s="1"/>
  <c r="D20" i="17" l="1"/>
  <c r="M27" i="21" l="1"/>
  <c r="C9" i="17"/>
  <c r="G10" i="17"/>
  <c r="G8" i="17"/>
  <c r="C7" i="17"/>
  <c r="G7" i="17"/>
  <c r="C10" i="17"/>
  <c r="G9" i="17"/>
  <c r="C8" i="17"/>
  <c r="E7" i="17"/>
  <c r="E8" i="17"/>
  <c r="E9" i="17"/>
  <c r="E10" i="17"/>
  <c r="G25" i="21" l="1"/>
  <c r="G2" i="18"/>
  <c r="E3" i="18"/>
  <c r="E26" i="21"/>
  <c r="C5" i="18"/>
  <c r="C28" i="21"/>
  <c r="G28" i="21"/>
  <c r="G5" i="18"/>
  <c r="E2" i="18"/>
  <c r="E25" i="21"/>
  <c r="C27" i="21"/>
  <c r="C4" i="18"/>
  <c r="E28" i="21"/>
  <c r="E5" i="18"/>
  <c r="C3" i="18"/>
  <c r="C26" i="21"/>
  <c r="C2" i="18"/>
  <c r="C25" i="21"/>
  <c r="E27" i="21"/>
  <c r="E4" i="18"/>
  <c r="G27" i="21"/>
  <c r="G4" i="18"/>
  <c r="G26" i="21"/>
  <c r="G3" i="18"/>
</calcChain>
</file>

<file path=xl/sharedStrings.xml><?xml version="1.0" encoding="utf-8"?>
<sst xmlns="http://schemas.openxmlformats.org/spreadsheetml/2006/main" count="1127" uniqueCount="228">
  <si>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</si>
  <si>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</si>
  <si>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</si>
  <si>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</si>
  <si>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</si>
  <si>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</si>
  <si>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</si>
  <si>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</si>
  <si>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</si>
  <si>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</si>
  <si>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</si>
  <si>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</si>
  <si>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</si>
  <si>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</si>
  <si>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</si>
  <si>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</si>
  <si>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</si>
  <si>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</si>
  <si>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</si>
  <si>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</si>
  <si>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</si>
  <si>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</si>
  <si>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</si>
  <si>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</si>
  <si>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</si>
  <si>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</si>
  <si>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</si>
  <si>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</si>
  <si>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</si>
  <si>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</si>
  <si>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</si>
  <si>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</si>
  <si>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</si>
  <si>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</si>
  <si>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</si>
  <si>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</si>
  <si>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</si>
  <si>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</si>
  <si>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</si>
  <si>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</si>
  <si>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</si>
  <si>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</si>
  <si>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</si>
  <si>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</si>
  <si>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</si>
  <si>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</si>
  <si>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</si>
  <si>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</si>
  <si>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</si>
  <si>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</si>
  <si>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</si>
  <si>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</si>
  <si>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</si>
  <si>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</si>
  <si>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</si>
  <si>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</si>
  <si>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</si>
  <si>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</si>
  <si>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</si>
  <si>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</si>
  <si>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</si>
  <si>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</si>
  <si>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</si>
  <si>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</si>
  <si>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</si>
  <si>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</si>
  <si>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</si>
  <si>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</si>
  <si>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</si>
  <si>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</si>
  <si>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</si>
  <si>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</si>
  <si>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</si>
  <si>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</si>
  <si>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</si>
  <si>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</si>
  <si>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</si>
  <si>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</si>
  <si>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</si>
  <si>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</si>
  <si>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</si>
  <si>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</si>
  <si>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</si>
  <si>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</si>
  <si>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</si>
  <si>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</si>
  <si>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</si>
  <si>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</si>
  <si>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</si>
  <si>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</si>
  <si>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</si>
  <si>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</si>
  <si>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</si>
  <si>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</si>
  <si>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</si>
  <si>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</si>
  <si>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</si>
  <si>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</si>
  <si>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</si>
  <si>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</si>
  <si>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</si>
  <si>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</si>
  <si>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</si>
  <si>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</si>
  <si>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</si>
  <si>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</si>
  <si>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</si>
  <si>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</si>
  <si>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</si>
  <si>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</si>
  <si>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</si>
  <si>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</si>
  <si>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</si>
  <si>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</si>
  <si>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</si>
  <si>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</si>
  <si>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</si>
  <si>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</si>
  <si>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</si>
  <si>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</si>
  <si>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</si>
  <si>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</si>
  <si>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</si>
  <si>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</si>
  <si>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</si>
  <si>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</si>
  <si>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</si>
  <si>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</si>
  <si>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</si>
  <si>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</si>
  <si>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</si>
  <si>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</si>
  <si>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</si>
  <si>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</si>
  <si>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</si>
  <si>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</si>
  <si>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</si>
  <si>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</si>
  <si>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</si>
  <si>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</si>
  <si>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</si>
  <si>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</si>
  <si>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</si>
  <si>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</si>
  <si>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</si>
  <si>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</si>
  <si>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</si>
  <si>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</si>
  <si>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</si>
  <si>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</si>
  <si>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</si>
  <si>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</si>
  <si>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</si>
  <si>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</si>
  <si>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</si>
  <si>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</si>
  <si>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</si>
  <si>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</si>
  <si>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</si>
  <si>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</si>
  <si>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</si>
  <si>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</si>
  <si>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</si>
  <si>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</si>
  <si>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</si>
  <si>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</si>
  <si>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</si>
  <si>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</si>
  <si>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</si>
  <si>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</si>
  <si>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</si>
  <si>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</si>
  <si>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</si>
  <si>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</si>
  <si>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</si>
  <si>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</si>
  <si>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</si>
  <si>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</si>
  <si>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</si>
  <si>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</si>
  <si>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</si>
  <si>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</si>
  <si>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</si>
  <si>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</si>
  <si>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</si>
  <si>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</si>
  <si>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</si>
  <si>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</si>
  <si>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</si>
  <si>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</si>
  <si>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</si>
  <si>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</si>
  <si>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</si>
  <si>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</si>
  <si>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</si>
  <si>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</si>
  <si>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</si>
  <si>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</si>
  <si>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</si>
  <si>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</si>
  <si>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</si>
  <si>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عميد هشام</t>
  </si>
  <si>
    <t>عميد اسامه</t>
  </si>
  <si>
    <t>جندي حاتم</t>
  </si>
  <si>
    <t>عميد خالد</t>
  </si>
  <si>
    <t>عقيد احمد</t>
  </si>
  <si>
    <t>جندي عبد الله</t>
  </si>
  <si>
    <t>عقيد محمد</t>
  </si>
  <si>
    <t>عقيد سامح</t>
  </si>
  <si>
    <t>عقيد حسان</t>
  </si>
  <si>
    <t>عميد محمد</t>
  </si>
  <si>
    <t xml:space="preserve">نقيب حفناوي </t>
  </si>
  <si>
    <t>عميد سمير</t>
  </si>
  <si>
    <t xml:space="preserve">جندي ابراهيم </t>
  </si>
  <si>
    <t xml:space="preserve">جندي مصطفي </t>
  </si>
  <si>
    <t xml:space="preserve">م اسلام </t>
  </si>
  <si>
    <t>عقيد حسام</t>
  </si>
  <si>
    <t xml:space="preserve">نقيب احمد </t>
  </si>
  <si>
    <t>نقيب ايمن</t>
  </si>
  <si>
    <t xml:space="preserve">عقيد محمد </t>
  </si>
  <si>
    <t xml:space="preserve">عقيد وائل </t>
  </si>
  <si>
    <t>محاسب ماركو</t>
  </si>
  <si>
    <t>واحه 1</t>
  </si>
  <si>
    <t>واحه 2</t>
  </si>
  <si>
    <t>نقيب صلاح</t>
  </si>
  <si>
    <t>مبيعات محطات وقود شل اوت عن يوم االسبت الموافق 31 / 8 / 2019</t>
  </si>
  <si>
    <t xml:space="preserve">عميد محمد الخطيب </t>
  </si>
  <si>
    <t xml:space="preserve">انسه مي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</si>
</sst>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1753000" y="95250"/>
          <a:ext cx="2484215" cy="949468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1664</v>
          </cell>
        </row>
        <row r="3">
          <cell r="D3">
            <v>3575</v>
          </cell>
        </row>
        <row r="4">
          <cell r="D4">
            <v>1098</v>
          </cell>
        </row>
        <row r="5">
          <cell r="D5">
            <v>2500</v>
          </cell>
        </row>
        <row r="6">
          <cell r="D6">
            <v>0</v>
          </cell>
        </row>
        <row r="7">
          <cell r="D7">
            <v>166</v>
          </cell>
        </row>
        <row r="8">
          <cell r="D8">
            <v>100</v>
          </cell>
        </row>
        <row r="9">
          <cell r="D9">
            <v>232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5"/>
      <sheetData sheetId="17"/>
      <sheetData sheetId="18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83C6CD1-71D6-40CF-9F49-C14C92C247A5}" diskRevisions="1" revisionId="127" version="15">
  <header guid="{2E315283-F9D5-4FFB-AEC8-0C0775E12291}" dateTime="2019-09-01T11:41:37" maxSheetId="24" userName="pp" r:id="rId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CECED6A-D82A-490F-894B-14B83C911FA3}" dateTime="2019-09-01T11:51:51" maxSheetId="24" userName="pp" r:id="rId2" minRId="1" maxRId="2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6BCE3DF-E7C6-4B4C-8404-8C7D297316AF}" dateTime="2019-09-01T12:30:08" maxSheetId="24" userName="pp" r:id="rId3" minRId="23" maxRId="3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1A465B1-D9FA-4856-ADEE-589A740A768D}" dateTime="2019-09-01T12:32:04" maxSheetId="24" userName="pp" r:id="rId4" minRId="3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53EC0D6-8DFC-4ACE-96A8-082DDEC6281F}" dateTime="2019-09-01T14:34:13" maxSheetId="24" userName="pp" r:id="rId5" minRId="37" maxRId="5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D427613-DC03-42B6-989C-329BD53DE2BE}" dateTime="2019-09-01T14:54:43" maxSheetId="24" userName="pp" r:id="rId6" minRId="52" maxRId="5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8DE9D49-5EE8-4F95-BB91-9782567DC22D}" dateTime="2019-09-01T14:55:43" maxSheetId="24" userName="pp" r:id="rId7" minRId="62" maxRId="6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F21B7AA-D2F5-4EAB-9259-029B4B831B94}" dateTime="2019-09-02T00:25:54" maxSheetId="24" userName="pp" r:id="rId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59CAA1B-EACB-4661-9AD5-6208018B057A}" dateTime="2019-09-02T00:45:28" maxSheetId="24" userName="pp" r:id="rId9" minRId="71" maxRId="10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8F93273-2643-4B93-812C-9EB6FE850A3B}" dateTime="2019-09-02T00:52:11" maxSheetId="24" userName="pp" r:id="rId10" minRId="101" maxRId="10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14D69C4-0EF5-4BFF-BD41-77EE22E70138}" dateTime="2019-09-02T13:53:49" maxSheetId="24" userName="pp" r:id="rId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1E2B113-9EA0-4823-B3BB-BE3FC6392F59}" dateTime="2019-09-02T13:59:45" maxSheetId="24" userName="pp" r:id="rId12" minRId="109" maxRId="1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BD9BD8E-65EF-4090-AD9F-9E13E827E87B}" dateTime="2019-09-03T07:37:27" maxSheetId="24" userName="pp" r:id="rId1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9EA487E-6C89-4391-A7ED-81419C007DD2}" dateTime="2019-09-03T08:34:21" maxSheetId="24" userName="pp" r:id="rId14" minRId="124" maxRId="12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83C6CD1-71D6-40CF-9F49-C14C92C247A5}" dateTime="2019-09-03T08:34:52" maxSheetId="24" userName="pp" r:id="rId15" minRId="126" maxRId="12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6">
    <oc r="C16">
      <v>102</v>
    </oc>
    <nc r="C16">
      <v>51</v>
    </nc>
  </rcc>
  <rcc rId="102" sId="6">
    <nc r="H16">
      <v>51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4">
    <oc r="E7">
      <v>38314</v>
    </oc>
    <nc r="E7">
      <v>5491</v>
    </nc>
  </rcc>
  <rcc rId="110" sId="4">
    <oc r="H7">
      <v>21907</v>
    </oc>
    <nc r="H7">
      <v>3195</v>
    </nc>
  </rcc>
  <rcc rId="111" sId="4">
    <oc r="K7">
      <v>3574</v>
    </oc>
    <nc r="K7">
      <v>550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6">
    <oc r="G32">
      <v>17</v>
    </oc>
    <nc r="G32"/>
  </rcc>
  <rcc rId="125" sId="6">
    <nc r="I32">
      <v>17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4">
    <oc r="J26">
      <v>17</v>
    </oc>
    <nc r="J26"/>
  </rcc>
  <rcc rId="127" sId="4">
    <nc r="M26">
      <v>17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6">
    <nc r="A43" t="inlineStr">
      <is>
        <t>الخطاطبة 2</t>
      </is>
    </nc>
  </rcc>
  <rcc rId="2" sId="6">
    <nc r="A44" t="inlineStr">
      <is>
        <t>واحه 1</t>
      </is>
    </nc>
  </rcc>
  <rcc rId="3" sId="6">
    <oc r="A45" t="inlineStr">
      <is>
        <t>الخطاطبة 2</t>
      </is>
    </oc>
    <nc r="A45" t="inlineStr">
      <is>
        <t>واحه 2</t>
      </is>
    </nc>
  </rcc>
  <rcc rId="4" sId="6">
    <nc r="C44">
      <v>17</v>
    </nc>
  </rcc>
  <rcc rId="5" sId="6">
    <nc r="B45">
      <v>34</v>
    </nc>
  </rcc>
  <rcc rId="6" sId="6">
    <nc r="E40">
      <v>17</v>
    </nc>
  </rcc>
  <rcc rId="7" sId="6">
    <nc r="G40">
      <v>34</v>
    </nc>
  </rcc>
  <rcc rId="8" sId="6">
    <nc r="F32">
      <v>17</v>
    </nc>
  </rcc>
  <rcc rId="9" sId="6">
    <nc r="G32">
      <v>17</v>
    </nc>
  </rcc>
  <rcc rId="10" sId="6">
    <nc r="H32">
      <v>17</v>
    </nc>
  </rcc>
  <rcc rId="11" sId="6">
    <nc r="G8">
      <v>34</v>
    </nc>
  </rcc>
  <rcc rId="12" sId="6">
    <nc r="H8">
      <v>17</v>
    </nc>
  </rcc>
  <rcc rId="13" sId="6">
    <nc r="B44">
      <v>51</v>
    </nc>
  </rcc>
  <rcc rId="14" sId="6">
    <nc r="D8">
      <v>17</v>
    </nc>
  </rcc>
  <rcc rId="15" sId="6">
    <nc r="C9">
      <v>17</v>
    </nc>
  </rcc>
  <rcc rId="16" sId="6">
    <nc r="C10">
      <v>17</v>
    </nc>
  </rcc>
  <rcc rId="17" sId="6">
    <nc r="C5">
      <v>34</v>
    </nc>
  </rcc>
  <rcc rId="18" sId="6">
    <nc r="D5">
      <v>17</v>
    </nc>
  </rcc>
  <rcc rId="19" sId="6">
    <nc r="C16">
      <v>102</v>
    </nc>
  </rcc>
  <rcc rId="20" sId="6">
    <nc r="F28">
      <v>17</v>
    </nc>
  </rcc>
  <rcc rId="21" sId="6">
    <nc r="G28">
      <v>17</v>
    </nc>
  </rcc>
  <rcc rId="22" sId="6">
    <nc r="I28">
      <v>17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H30">
      <v>34827</v>
    </nc>
  </rcc>
  <rcc rId="24" sId="4">
    <nc r="K30">
      <v>9631</v>
    </nc>
  </rcc>
  <rcc rId="25" sId="4" numFmtId="4">
    <nc r="O30">
      <v>475</v>
    </nc>
  </rcc>
  <rcc rId="26" sId="4">
    <nc r="F30">
      <v>83</v>
    </nc>
  </rcc>
  <rcc rId="27" sId="4">
    <nc r="I30">
      <v>85</v>
    </nc>
  </rcc>
  <rcc rId="28" sId="4">
    <nc r="R30" t="inlineStr">
      <is>
        <t>نقيب صلاح</t>
      </is>
    </nc>
  </rcc>
  <rcc rId="29" sId="5">
    <oc r="B7" t="inlineStr">
      <is>
        <t>مبيعات محطات وقود شل اوت عن يوم الاثنين الموافق 31 / 8 / 2019</t>
      </is>
    </oc>
    <nc r="B7" t="inlineStr">
      <is>
        <t>مبيعات محطات وقود شل اوت عن يوم الاحد الموافق 31 / 8 / 2019</t>
      </is>
    </nc>
  </rcc>
  <rcc rId="30" sId="4">
    <nc r="K23">
      <v>3138</v>
    </nc>
  </rcc>
  <rcc rId="31" sId="4">
    <nc r="H23">
      <v>17241</v>
    </nc>
  </rcc>
  <rcc rId="32" sId="4">
    <nc r="N23">
      <v>48253</v>
    </nc>
  </rcc>
  <rcc rId="33" sId="4" numFmtId="4">
    <nc r="O23">
      <v>1775</v>
    </nc>
  </rcc>
  <rcc rId="34" sId="4">
    <nc r="P23">
      <v>3495</v>
    </nc>
  </rcc>
  <rcc rId="35" sId="4">
    <nc r="R23" t="inlineStr">
      <is>
        <t>عميد خالد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5">
    <oc r="B7" t="inlineStr">
      <is>
        <t>مبيعات محطات وقود شل اوت عن يوم الاحد الموافق 31 / 8 / 2019</t>
      </is>
    </oc>
    <nc r="B7" t="inlineStr">
      <is>
        <t>مبيعات محطات وقود شل اوت عن يوم االسبت الموافق 31 / 8 / 2019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4">
    <nc r="K25">
      <v>1755</v>
    </nc>
  </rcc>
  <rcc rId="38" sId="4">
    <nc r="H25">
      <v>10305</v>
    </nc>
  </rcc>
  <rcc rId="39" sId="4">
    <nc r="N25">
      <v>26344</v>
    </nc>
  </rcc>
  <rcc rId="40" sId="4" numFmtId="4">
    <nc r="O25">
      <v>1105</v>
    </nc>
  </rcc>
  <rcc rId="41" sId="4">
    <nc r="P25">
      <v>2115</v>
    </nc>
  </rcc>
  <rcc rId="42" sId="4">
    <nc r="I25">
      <v>20</v>
    </nc>
  </rcc>
  <rcc rId="43" sId="4">
    <nc r="F25">
      <v>78</v>
    </nc>
  </rcc>
  <rcc rId="44" sId="4">
    <nc r="L25">
      <v>166</v>
    </nc>
  </rcc>
  <rcc rId="45" sId="4">
    <nc r="R25" t="inlineStr">
      <is>
        <t xml:space="preserve">عميد محمد الخطيب </t>
      </is>
    </nc>
  </rcc>
  <rcc rId="46" sId="4">
    <nc r="H29">
      <v>32482</v>
    </nc>
  </rcc>
  <rcc rId="47" sId="4">
    <nc r="K29">
      <v>11758</v>
    </nc>
  </rcc>
  <rcc rId="48" sId="4" numFmtId="4">
    <nc r="O29">
      <v>4020</v>
    </nc>
  </rcc>
  <rcc rId="49" sId="4">
    <nc r="F29">
      <v>96</v>
    </nc>
  </rcc>
  <rcc rId="50" sId="4">
    <nc r="I29">
      <v>71</v>
    </nc>
  </rcc>
  <rcc rId="51" sId="4">
    <nc r="R29" t="inlineStr">
      <is>
        <t xml:space="preserve">انسه مي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4">
    <oc r="E26">
      <v>1437</v>
    </oc>
    <nc r="E26">
      <v>4040</v>
    </nc>
  </rcc>
  <rcc rId="53" sId="4">
    <oc r="H26">
      <v>2991</v>
    </oc>
    <nc r="H26">
      <v>7950</v>
    </nc>
  </rcc>
  <rcc rId="54" sId="4">
    <oc r="K26">
      <v>648</v>
    </oc>
    <nc r="K26">
      <v>2083</v>
    </nc>
  </rcc>
  <rcc rId="55" sId="4">
    <oc r="N26">
      <v>3368</v>
    </oc>
    <nc r="N26">
      <v>12457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4">
    <oc r="E7">
      <v>5461</v>
    </oc>
    <nc r="E7">
      <v>38314</v>
    </nc>
  </rcc>
  <rcc rId="63" sId="4">
    <oc r="H7">
      <v>3195</v>
    </oc>
    <nc r="H7">
      <v>21907</v>
    </nc>
  </rcc>
  <rcc rId="64" sId="4">
    <oc r="K7">
      <v>550</v>
    </oc>
    <nc r="K7">
      <v>3574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4">
    <nc r="G28">
      <v>34</v>
    </nc>
  </rcc>
  <rcc rId="72" sId="4">
    <nc r="J28">
      <v>17</v>
    </nc>
  </rcc>
  <rcc rId="73" sId="4">
    <nc r="G23">
      <v>17</v>
    </nc>
  </rcc>
  <rcc rId="74" sId="4">
    <nc r="M23">
      <v>34</v>
    </nc>
  </rcc>
  <rcc rId="75" sId="4">
    <nc r="J6">
      <v>17</v>
    </nc>
  </rcc>
  <rcc rId="76" sId="4">
    <oc r="G13">
      <v>51</v>
    </oc>
    <nc r="G13">
      <v>85</v>
    </nc>
  </rcc>
  <rcc rId="77" sId="4">
    <nc r="J13">
      <v>17</v>
    </nc>
  </rcc>
  <rcc rId="78" sId="4">
    <nc r="G19">
      <v>51</v>
    </nc>
  </rcc>
  <rcc rId="79" sId="4">
    <nc r="G14">
      <v>34</v>
    </nc>
  </rcc>
  <rcc rId="80" sId="4">
    <nc r="M14">
      <v>68</v>
    </nc>
  </rcc>
  <rcc rId="81" sId="4">
    <nc r="G6">
      <v>68</v>
    </nc>
  </rcc>
  <rcc rId="82" sId="4">
    <nc r="G27">
      <v>17</v>
    </nc>
  </rcc>
  <rcc rId="83" sId="4">
    <nc r="G30">
      <v>102</v>
    </nc>
  </rcc>
  <rcc rId="84" sId="4">
    <nc r="G29">
      <v>85</v>
    </nc>
  </rcc>
  <rcc rId="85" sId="4">
    <nc r="J29">
      <v>17</v>
    </nc>
  </rcc>
  <rcc rId="86" sId="6">
    <nc r="C17">
      <v>34</v>
    </nc>
  </rcc>
  <rcc rId="87" sId="6">
    <nc r="D17">
      <v>17</v>
    </nc>
  </rcc>
  <rcc rId="88" sId="6">
    <nc r="E41">
      <v>17</v>
    </nc>
  </rcc>
  <rcc rId="89" sId="6">
    <nc r="G41">
      <v>34</v>
    </nc>
  </rcc>
  <rcc rId="90" sId="6">
    <oc r="C14">
      <v>51</v>
    </oc>
    <nc r="C14">
      <v>85</v>
    </nc>
  </rcc>
  <rcc rId="91" sId="6">
    <nc r="D14">
      <v>17</v>
    </nc>
  </rcc>
  <rcc rId="92" sId="6">
    <nc r="I7">
      <v>17</v>
    </nc>
  </rcc>
  <rcc rId="93" sId="6">
    <nc r="D29">
      <v>51</v>
    </nc>
  </rcc>
  <rcc rId="94" sId="6">
    <nc r="R5">
      <v>34</v>
    </nc>
  </rcc>
  <rcc rId="95" sId="6">
    <nc r="H7">
      <v>68</v>
    </nc>
  </rcc>
  <rcc rId="96" sId="6">
    <nc r="H6">
      <v>17</v>
    </nc>
  </rcc>
  <rcc rId="97" sId="6">
    <nc r="C15">
      <v>102</v>
    </nc>
  </rcc>
  <rcc rId="98" sId="6">
    <nc r="D18">
      <v>17</v>
    </nc>
  </rcc>
  <rcc rId="99" sId="6">
    <nc r="C18">
      <v>85</v>
    </nc>
  </rcc>
  <rcc rId="100" sId="6">
    <nc r="T5">
      <v>68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9" sqref="A9:XFD9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6" ht="15.75" x14ac:dyDescent="0.25">
      <c r="A2" s="371" t="s">
        <v>1</v>
      </c>
      <c r="B2" s="371"/>
      <c r="C2" s="371"/>
      <c r="D2" s="371"/>
      <c r="E2" s="371"/>
    </row>
    <row r="3" spans="1:26" ht="15.75" x14ac:dyDescent="0.25">
      <c r="A3" s="371" t="s">
        <v>2</v>
      </c>
      <c r="B3" s="371"/>
      <c r="C3" s="371"/>
      <c r="D3" s="371"/>
      <c r="E3" s="371"/>
    </row>
    <row r="5" spans="1:26" ht="18.75" thickBot="1" x14ac:dyDescent="0.3">
      <c r="G5" s="199"/>
      <c r="I5" s="370" t="s">
        <v>193</v>
      </c>
      <c r="J5" s="370"/>
      <c r="K5" s="370"/>
      <c r="L5" s="370"/>
      <c r="M5" s="370"/>
      <c r="N5" s="370"/>
      <c r="V5" s="200" t="s">
        <v>41</v>
      </c>
    </row>
    <row r="6" spans="1:26" ht="20.100000000000001" customHeight="1" thickBot="1" x14ac:dyDescent="0.25">
      <c r="A6" s="369" t="s">
        <v>14</v>
      </c>
      <c r="B6" s="369" t="s">
        <v>3</v>
      </c>
      <c r="C6" s="369" t="s">
        <v>4</v>
      </c>
      <c r="D6" s="369" t="s">
        <v>5</v>
      </c>
      <c r="E6" s="369"/>
      <c r="F6" s="369"/>
      <c r="G6" s="369"/>
      <c r="H6" s="369"/>
      <c r="I6" s="369" t="s">
        <v>4</v>
      </c>
      <c r="J6" s="369" t="s">
        <v>11</v>
      </c>
      <c r="K6" s="369"/>
      <c r="L6" s="369"/>
      <c r="M6" s="369"/>
      <c r="N6" s="369"/>
      <c r="O6" s="369" t="s">
        <v>4</v>
      </c>
      <c r="P6" s="369" t="s">
        <v>12</v>
      </c>
      <c r="Q6" s="369"/>
      <c r="R6" s="369"/>
      <c r="S6" s="369"/>
      <c r="T6" s="369"/>
      <c r="U6" s="369" t="s">
        <v>4</v>
      </c>
      <c r="V6" s="369" t="s">
        <v>13</v>
      </c>
      <c r="W6" s="369"/>
      <c r="X6" s="369"/>
      <c r="Y6" s="369"/>
      <c r="Z6" s="369"/>
    </row>
    <row r="7" spans="1:26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69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69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69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30</v>
      </c>
      <c r="K8" s="221">
        <f>I8-J8</f>
        <v>60</v>
      </c>
      <c r="L8" s="335">
        <f>'أخذ التمام الصباحي'!G5</f>
        <v>34</v>
      </c>
      <c r="M8" s="335">
        <v>25</v>
      </c>
      <c r="N8" s="203">
        <f>J8/M8</f>
        <v>1.2</v>
      </c>
      <c r="O8" s="336">
        <v>30</v>
      </c>
      <c r="P8" s="335">
        <f>'أخذ التمام الصباحي'!I5</f>
        <v>10</v>
      </c>
      <c r="Q8" s="221">
        <f>O8-P8</f>
        <v>20</v>
      </c>
      <c r="R8" s="335">
        <f>'أخذ التمام الصباحي'!J5</f>
        <v>17</v>
      </c>
      <c r="S8" s="335">
        <v>8</v>
      </c>
      <c r="T8" s="203">
        <f>P8/S8</f>
        <v>1.25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25</v>
      </c>
      <c r="K9" s="221">
        <f>I9-J9</f>
        <v>65</v>
      </c>
      <c r="L9" s="355">
        <f>'أخذ التمام الصباحي'!G6</f>
        <v>68</v>
      </c>
      <c r="M9" s="335">
        <v>29</v>
      </c>
      <c r="N9" s="203">
        <f>J9/M9</f>
        <v>0.86206896551724133</v>
      </c>
      <c r="O9" s="336">
        <v>30</v>
      </c>
      <c r="P9" s="338">
        <f>'أخذ التمام الصباحي'!I6</f>
        <v>12</v>
      </c>
      <c r="Q9" s="221">
        <f>O9-P9</f>
        <v>18</v>
      </c>
      <c r="R9" s="338">
        <f>'أخذ التمام الصباحي'!J6</f>
        <v>17</v>
      </c>
      <c r="S9" s="335">
        <v>9</v>
      </c>
      <c r="T9" s="203">
        <f>P9/S9</f>
        <v>1.3333333333333333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45</v>
      </c>
      <c r="D10" s="335">
        <f>'أخذ التمام الصباحي'!C7</f>
        <v>79</v>
      </c>
      <c r="E10" s="221">
        <f t="shared" ref="E10:E23" si="0">C10-D10</f>
        <v>-34</v>
      </c>
      <c r="F10" s="335">
        <f>'أخذ التمام الصباحي'!D7</f>
        <v>34</v>
      </c>
      <c r="G10" s="335">
        <v>36</v>
      </c>
      <c r="H10" s="204">
        <f t="shared" ref="H10:H23" si="1">D10/G10</f>
        <v>2.1944444444444446</v>
      </c>
      <c r="I10" s="336">
        <v>90</v>
      </c>
      <c r="J10" s="338">
        <f>'أخذ التمام الصباحي'!F7</f>
        <v>31</v>
      </c>
      <c r="K10" s="221">
        <f t="shared" ref="K10:K34" si="2">I10-J10</f>
        <v>59</v>
      </c>
      <c r="L10" s="355">
        <f>'أخذ التمام الصباحي'!G7</f>
        <v>17</v>
      </c>
      <c r="M10" s="335">
        <v>24</v>
      </c>
      <c r="N10" s="203">
        <f t="shared" ref="N10:N34" si="3">J10/M10</f>
        <v>1.2916666666666667</v>
      </c>
      <c r="O10" s="336">
        <v>45</v>
      </c>
      <c r="P10" s="338">
        <f>'أخذ التمام الصباحي'!I7</f>
        <v>25</v>
      </c>
      <c r="Q10" s="221">
        <f t="shared" ref="Q10:Q34" si="4">O10-P10</f>
        <v>20</v>
      </c>
      <c r="R10" s="338">
        <f>'أخذ التمام الصباحي'!J7</f>
        <v>17</v>
      </c>
      <c r="S10" s="335">
        <v>3.5</v>
      </c>
      <c r="T10" s="203">
        <f t="shared" ref="T10:T34" si="5">P10/S10</f>
        <v>7.1428571428571432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28</v>
      </c>
      <c r="E11" s="221">
        <f t="shared" si="0"/>
        <v>2</v>
      </c>
      <c r="F11" s="338">
        <f>'أخذ التمام الصباحي'!D8</f>
        <v>0</v>
      </c>
      <c r="G11" s="335">
        <v>5</v>
      </c>
      <c r="H11" s="204">
        <f t="shared" si="1"/>
        <v>5.6</v>
      </c>
      <c r="I11" s="336">
        <v>60</v>
      </c>
      <c r="J11" s="338">
        <f>'أخذ التمام الصباحي'!F8</f>
        <v>35</v>
      </c>
      <c r="K11" s="221">
        <f t="shared" si="2"/>
        <v>25</v>
      </c>
      <c r="L11" s="355">
        <f>'أخذ التمام الصباحي'!G8</f>
        <v>17</v>
      </c>
      <c r="M11" s="335">
        <v>25</v>
      </c>
      <c r="N11" s="203">
        <f t="shared" si="3"/>
        <v>1.4</v>
      </c>
      <c r="O11" s="336">
        <v>30</v>
      </c>
      <c r="P11" s="338">
        <f>'أخذ التمام الصباحي'!I8</f>
        <v>17</v>
      </c>
      <c r="Q11" s="221">
        <f t="shared" si="4"/>
        <v>13</v>
      </c>
      <c r="R11" s="338">
        <f>'أخذ التمام الصباحي'!J8</f>
        <v>0</v>
      </c>
      <c r="S11" s="335">
        <v>8</v>
      </c>
      <c r="T11" s="203">
        <f t="shared" si="5"/>
        <v>2.125</v>
      </c>
      <c r="U11" s="336">
        <v>180</v>
      </c>
      <c r="V11" s="335">
        <f>'أخذ التمام الصباحي'!L8</f>
        <v>178</v>
      </c>
      <c r="W11" s="221">
        <f t="shared" ref="W11:W29" si="6">U11-V11</f>
        <v>2</v>
      </c>
      <c r="X11" s="335">
        <f>'أخذ التمام الصباحي'!M8</f>
        <v>0</v>
      </c>
      <c r="Y11" s="335">
        <v>6</v>
      </c>
      <c r="Z11" s="203">
        <f>V11/Y11</f>
        <v>29.666666666666668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80</v>
      </c>
      <c r="K12" s="221">
        <f t="shared" si="2"/>
        <v>10</v>
      </c>
      <c r="L12" s="355">
        <f>'أخذ التمام الصباحي'!G9</f>
        <v>17</v>
      </c>
      <c r="M12" s="335">
        <v>40</v>
      </c>
      <c r="N12" s="203">
        <f t="shared" si="3"/>
        <v>2</v>
      </c>
      <c r="O12" s="336">
        <v>30</v>
      </c>
      <c r="P12" s="338">
        <f>'أخذ التمام الصباحي'!I9</f>
        <v>23</v>
      </c>
      <c r="Q12" s="221">
        <f t="shared" si="4"/>
        <v>7</v>
      </c>
      <c r="R12" s="338">
        <f>'أخذ التمام الصباحي'!J9</f>
        <v>0</v>
      </c>
      <c r="S12" s="335">
        <v>12</v>
      </c>
      <c r="T12" s="203">
        <f t="shared" si="5"/>
        <v>1.9166666666666667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19</v>
      </c>
      <c r="E13" s="221">
        <f t="shared" si="0"/>
        <v>11</v>
      </c>
      <c r="F13" s="338">
        <f>'أخذ التمام الصباحي'!D10</f>
        <v>0</v>
      </c>
      <c r="G13" s="335">
        <v>4</v>
      </c>
      <c r="H13" s="204">
        <f t="shared" si="1"/>
        <v>4.75</v>
      </c>
      <c r="I13" s="336">
        <v>90</v>
      </c>
      <c r="J13" s="338">
        <f>'أخذ التمام الصباحي'!F10</f>
        <v>72</v>
      </c>
      <c r="K13" s="221">
        <f t="shared" si="2"/>
        <v>18</v>
      </c>
      <c r="L13" s="355">
        <f>'أخذ التمام الصباحي'!G10</f>
        <v>17</v>
      </c>
      <c r="M13" s="335">
        <v>26</v>
      </c>
      <c r="N13" s="203">
        <f t="shared" si="3"/>
        <v>2.7692307692307692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170</v>
      </c>
      <c r="W13" s="221">
        <f t="shared" si="6"/>
        <v>10</v>
      </c>
      <c r="X13" s="335">
        <f>'أخذ التمام الصباحي'!M10</f>
        <v>17</v>
      </c>
      <c r="Y13" s="335">
        <v>10</v>
      </c>
      <c r="Z13" s="203">
        <f t="shared" ref="Z13:Z29" si="7">V13/Y13</f>
        <v>17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15</v>
      </c>
      <c r="E14" s="221">
        <f t="shared" si="0"/>
        <v>15</v>
      </c>
      <c r="F14" s="338">
        <f>'أخذ التمام الصباحي'!D11</f>
        <v>0</v>
      </c>
      <c r="G14" s="335">
        <v>9</v>
      </c>
      <c r="H14" s="204">
        <f t="shared" si="1"/>
        <v>1.6666666666666667</v>
      </c>
      <c r="I14" s="336">
        <v>90</v>
      </c>
      <c r="J14" s="338">
        <f>'أخذ التمام الصباحي'!F11</f>
        <v>63</v>
      </c>
      <c r="K14" s="221">
        <f t="shared" si="2"/>
        <v>27</v>
      </c>
      <c r="L14" s="355">
        <f>'أخذ التمام الصباحي'!G11</f>
        <v>17</v>
      </c>
      <c r="M14" s="335">
        <v>24</v>
      </c>
      <c r="N14" s="203">
        <f t="shared" si="3"/>
        <v>2.625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158</v>
      </c>
      <c r="W14" s="221">
        <f t="shared" si="6"/>
        <v>22</v>
      </c>
      <c r="X14" s="338">
        <f>'أخذ التمام الصباحي'!M11</f>
        <v>0</v>
      </c>
      <c r="Y14" s="335">
        <v>22</v>
      </c>
      <c r="Z14" s="203">
        <f t="shared" si="7"/>
        <v>7.1818181818181817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165</v>
      </c>
      <c r="K15" s="221">
        <f t="shared" si="2"/>
        <v>15</v>
      </c>
      <c r="L15" s="355">
        <f>'أخذ التمام الصباحي'!G12</f>
        <v>34</v>
      </c>
      <c r="M15" s="335">
        <v>52</v>
      </c>
      <c r="N15" s="203">
        <f t="shared" si="3"/>
        <v>3.1730769230769229</v>
      </c>
      <c r="O15" s="336">
        <v>60</v>
      </c>
      <c r="P15" s="335">
        <f>'أخذ التمام الصباحي'!I12</f>
        <v>54</v>
      </c>
      <c r="Q15" s="221">
        <f t="shared" si="4"/>
        <v>6</v>
      </c>
      <c r="R15" s="335">
        <f>'أخذ التمام الصباحي'!J12</f>
        <v>17</v>
      </c>
      <c r="S15" s="335">
        <v>14</v>
      </c>
      <c r="T15" s="203">
        <f t="shared" si="5"/>
        <v>3.8571428571428572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147</v>
      </c>
      <c r="K16" s="221">
        <f t="shared" si="2"/>
        <v>33</v>
      </c>
      <c r="L16" s="355">
        <f>'أخذ التمام الصباحي'!G13</f>
        <v>85</v>
      </c>
      <c r="M16" s="335">
        <v>42</v>
      </c>
      <c r="N16" s="203">
        <f t="shared" si="3"/>
        <v>3.5</v>
      </c>
      <c r="O16" s="336">
        <v>45</v>
      </c>
      <c r="P16" s="338">
        <f>'أخذ التمام الصباحي'!I13</f>
        <v>17</v>
      </c>
      <c r="Q16" s="221">
        <f t="shared" si="4"/>
        <v>28</v>
      </c>
      <c r="R16" s="338">
        <f>'أخذ التمام الصباحي'!J13</f>
        <v>17</v>
      </c>
      <c r="S16" s="335">
        <v>11</v>
      </c>
      <c r="T16" s="203">
        <f t="shared" si="5"/>
        <v>1.5454545454545454</v>
      </c>
      <c r="U16" s="336">
        <v>120</v>
      </c>
      <c r="V16" s="335">
        <f>'أخذ التمام الصباحي'!L13</f>
        <v>96</v>
      </c>
      <c r="W16" s="221">
        <f t="shared" si="6"/>
        <v>24</v>
      </c>
      <c r="X16" s="335">
        <f>'أخذ التمام الصباحي'!M13</f>
        <v>0</v>
      </c>
      <c r="Y16" s="335">
        <v>31</v>
      </c>
      <c r="Z16" s="203">
        <f t="shared" si="7"/>
        <v>3.096774193548387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63</v>
      </c>
      <c r="K17" s="221">
        <f t="shared" si="2"/>
        <v>27</v>
      </c>
      <c r="L17" s="355">
        <f>'أخذ التمام الصباحي'!G14</f>
        <v>34</v>
      </c>
      <c r="M17" s="335">
        <v>12</v>
      </c>
      <c r="N17" s="203">
        <f t="shared" si="3"/>
        <v>5.25</v>
      </c>
      <c r="O17" s="336">
        <v>30</v>
      </c>
      <c r="P17" s="338">
        <f>'أخذ التمام الصباحي'!I14</f>
        <v>21</v>
      </c>
      <c r="Q17" s="221">
        <f t="shared" si="4"/>
        <v>9</v>
      </c>
      <c r="R17" s="338">
        <f>'أخذ التمام الصباحي'!J14</f>
        <v>0</v>
      </c>
      <c r="S17" s="335">
        <v>6</v>
      </c>
      <c r="T17" s="203">
        <f>P17/S17</f>
        <v>3.5</v>
      </c>
      <c r="U17" s="336">
        <v>180</v>
      </c>
      <c r="V17" s="338">
        <f>'أخذ التمام الصباحي'!L14</f>
        <v>114</v>
      </c>
      <c r="W17" s="221">
        <f t="shared" si="6"/>
        <v>66</v>
      </c>
      <c r="X17" s="338">
        <f>'أخذ التمام الصباحي'!M14</f>
        <v>68</v>
      </c>
      <c r="Y17" s="335">
        <v>64</v>
      </c>
      <c r="Z17" s="203">
        <f t="shared" si="7"/>
        <v>1.78125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20</v>
      </c>
      <c r="K18" s="221">
        <f t="shared" si="2"/>
        <v>70</v>
      </c>
      <c r="L18" s="355">
        <f>'أخذ التمام الصباحي'!G15</f>
        <v>51</v>
      </c>
      <c r="M18" s="335">
        <v>10</v>
      </c>
      <c r="N18" s="203">
        <f t="shared" si="3"/>
        <v>2</v>
      </c>
      <c r="O18" s="336">
        <v>30</v>
      </c>
      <c r="P18" s="338">
        <f>'أخذ التمام الصباحي'!I15</f>
        <v>24</v>
      </c>
      <c r="Q18" s="221">
        <f t="shared" si="4"/>
        <v>6</v>
      </c>
      <c r="R18" s="338">
        <f>'أخذ التمام الصباحي'!J15</f>
        <v>17</v>
      </c>
      <c r="S18" s="335">
        <v>4</v>
      </c>
      <c r="T18" s="203">
        <f t="shared" si="5"/>
        <v>6</v>
      </c>
      <c r="U18" s="336">
        <v>60</v>
      </c>
      <c r="V18" s="338">
        <f>'أخذ التمام الصباحي'!L15</f>
        <v>36</v>
      </c>
      <c r="W18" s="194">
        <f t="shared" si="6"/>
        <v>24</v>
      </c>
      <c r="X18" s="338">
        <f>'أخذ التمام الصباحي'!M15</f>
        <v>0</v>
      </c>
      <c r="Y18" s="335">
        <v>5</v>
      </c>
      <c r="Z18" s="335">
        <f t="shared" si="7"/>
        <v>7.2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54</v>
      </c>
      <c r="K19" s="221">
        <f t="shared" si="2"/>
        <v>6</v>
      </c>
      <c r="L19" s="355">
        <f>'أخذ التمام الصباحي'!G16</f>
        <v>34</v>
      </c>
      <c r="M19" s="335">
        <v>5</v>
      </c>
      <c r="N19" s="203">
        <f t="shared" si="3"/>
        <v>10.8</v>
      </c>
      <c r="O19" s="336">
        <v>30</v>
      </c>
      <c r="P19" s="338">
        <f>'أخذ التمام الصباحي'!I16</f>
        <v>14</v>
      </c>
      <c r="Q19" s="221">
        <f t="shared" si="4"/>
        <v>16</v>
      </c>
      <c r="R19" s="338">
        <f>'أخذ التمام الصباحي'!J16</f>
        <v>0</v>
      </c>
      <c r="S19" s="335">
        <v>2</v>
      </c>
      <c r="T19" s="203">
        <f t="shared" si="5"/>
        <v>7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67</v>
      </c>
      <c r="K20" s="221">
        <f t="shared" si="2"/>
        <v>23</v>
      </c>
      <c r="L20" s="355">
        <f>'أخذ التمام الصباحي'!G17</f>
        <v>0</v>
      </c>
      <c r="M20" s="335">
        <v>4</v>
      </c>
      <c r="N20" s="203">
        <f t="shared" si="3"/>
        <v>16.75</v>
      </c>
      <c r="O20" s="336">
        <v>30</v>
      </c>
      <c r="P20" s="338">
        <f>'أخذ التمام الصباحي'!I17</f>
        <v>26</v>
      </c>
      <c r="Q20" s="221">
        <f t="shared" si="4"/>
        <v>4</v>
      </c>
      <c r="R20" s="338">
        <f>'أخذ التمام الصباحي'!J17</f>
        <v>0</v>
      </c>
      <c r="S20" s="335">
        <v>3</v>
      </c>
      <c r="T20" s="203">
        <f t="shared" si="5"/>
        <v>8.6666666666666661</v>
      </c>
      <c r="U20" s="336">
        <v>180</v>
      </c>
      <c r="V20" s="335">
        <f>'أخذ التمام الصباحي'!L17</f>
        <v>149</v>
      </c>
      <c r="W20" s="221">
        <f t="shared" si="6"/>
        <v>31</v>
      </c>
      <c r="X20" s="335">
        <f>'أخذ التمام الصباحي'!M17</f>
        <v>0</v>
      </c>
      <c r="Y20" s="335">
        <v>10</v>
      </c>
      <c r="Z20" s="203">
        <f t="shared" si="7"/>
        <v>14.9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69</v>
      </c>
      <c r="K21" s="221">
        <f t="shared" si="2"/>
        <v>21</v>
      </c>
      <c r="L21" s="355">
        <f>'أخذ التمام الصباحي'!G18</f>
        <v>17</v>
      </c>
      <c r="M21" s="335">
        <v>30</v>
      </c>
      <c r="N21" s="203">
        <f t="shared" si="3"/>
        <v>2.2999999999999998</v>
      </c>
      <c r="O21" s="336">
        <v>30</v>
      </c>
      <c r="P21" s="338">
        <f>'أخذ التمام الصباحي'!I18</f>
        <v>12</v>
      </c>
      <c r="Q21" s="221">
        <f t="shared" si="4"/>
        <v>18</v>
      </c>
      <c r="R21" s="338">
        <f>'أخذ التمام الصباحي'!J18</f>
        <v>17</v>
      </c>
      <c r="S21" s="335">
        <v>9</v>
      </c>
      <c r="T21" s="203">
        <f t="shared" si="5"/>
        <v>1.3333333333333333</v>
      </c>
      <c r="U21" s="336">
        <v>180</v>
      </c>
      <c r="V21" s="338">
        <f>'أخذ التمام الصباحي'!L18</f>
        <v>147</v>
      </c>
      <c r="W21" s="221">
        <f t="shared" si="6"/>
        <v>33</v>
      </c>
      <c r="X21" s="338">
        <f>'أخذ التمام الصباحي'!M18</f>
        <v>17</v>
      </c>
      <c r="Y21" s="335">
        <v>27</v>
      </c>
      <c r="Z21" s="203">
        <f t="shared" si="7"/>
        <v>5.4444444444444446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38</v>
      </c>
      <c r="K22" s="221">
        <f t="shared" si="2"/>
        <v>52</v>
      </c>
      <c r="L22" s="355">
        <f>'أخذ التمام الصباحي'!G19</f>
        <v>51</v>
      </c>
      <c r="M22" s="335">
        <v>8</v>
      </c>
      <c r="N22" s="203">
        <f t="shared" si="3"/>
        <v>4.75</v>
      </c>
      <c r="O22" s="336">
        <v>30</v>
      </c>
      <c r="P22" s="338">
        <f>'أخذ التمام الصباحي'!I19</f>
        <v>14</v>
      </c>
      <c r="Q22" s="221">
        <f t="shared" si="4"/>
        <v>16</v>
      </c>
      <c r="R22" s="338">
        <f>'أخذ التمام الصباحي'!J19</f>
        <v>0</v>
      </c>
      <c r="S22" s="335">
        <v>2</v>
      </c>
      <c r="T22" s="203">
        <f t="shared" si="5"/>
        <v>7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24</v>
      </c>
      <c r="E23" s="194">
        <f t="shared" si="0"/>
        <v>6</v>
      </c>
      <c r="F23" s="194">
        <f>'أخذ التمام الصباحي'!D20</f>
        <v>0</v>
      </c>
      <c r="G23" s="194">
        <v>0.6</v>
      </c>
      <c r="H23" s="194">
        <f t="shared" si="1"/>
        <v>40</v>
      </c>
      <c r="I23" s="336">
        <v>60</v>
      </c>
      <c r="J23" s="338">
        <f>'أخذ التمام الصباحي'!F20</f>
        <v>47</v>
      </c>
      <c r="K23" s="221">
        <f t="shared" si="2"/>
        <v>13</v>
      </c>
      <c r="L23" s="355">
        <f>'أخذ التمام الصباحي'!G20</f>
        <v>0</v>
      </c>
      <c r="M23" s="335">
        <v>3</v>
      </c>
      <c r="N23" s="203">
        <f t="shared" si="3"/>
        <v>15.666666666666666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82</v>
      </c>
      <c r="W23" s="221">
        <f t="shared" si="6"/>
        <v>38</v>
      </c>
      <c r="X23" s="335">
        <f>'أخذ التمام الصباحي'!M20</f>
        <v>0</v>
      </c>
      <c r="Y23" s="335">
        <v>12</v>
      </c>
      <c r="Z23" s="203">
        <f t="shared" si="7"/>
        <v>6.833333333333333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20</v>
      </c>
      <c r="K24" s="221">
        <f t="shared" si="2"/>
        <v>40</v>
      </c>
      <c r="L24" s="355">
        <f>'أخذ التمام الصباحي'!G21</f>
        <v>0</v>
      </c>
      <c r="M24" s="335">
        <v>6</v>
      </c>
      <c r="N24" s="203">
        <f t="shared" si="3"/>
        <v>3.3333333333333335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90</v>
      </c>
      <c r="W24" s="221">
        <f t="shared" si="6"/>
        <v>30</v>
      </c>
      <c r="X24" s="338">
        <f>'أخذ التمام الصباحي'!M21</f>
        <v>0</v>
      </c>
      <c r="Y24" s="335">
        <v>9</v>
      </c>
      <c r="Z24" s="203">
        <f t="shared" si="7"/>
        <v>10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77</v>
      </c>
      <c r="K25" s="221">
        <f t="shared" si="2"/>
        <v>13</v>
      </c>
      <c r="L25" s="355">
        <f>'أخذ التمام الصباحي'!G22</f>
        <v>17</v>
      </c>
      <c r="M25" s="335">
        <v>15</v>
      </c>
      <c r="N25" s="203">
        <f t="shared" si="3"/>
        <v>5.1333333333333337</v>
      </c>
      <c r="O25" s="336">
        <v>30</v>
      </c>
      <c r="P25" s="335">
        <f>'أخذ التمام الصباحي'!I22</f>
        <v>24</v>
      </c>
      <c r="Q25" s="221">
        <f t="shared" si="4"/>
        <v>6</v>
      </c>
      <c r="R25" s="335">
        <f>'أخذ التمام الصباحي'!J22</f>
        <v>0</v>
      </c>
      <c r="S25" s="335">
        <v>3</v>
      </c>
      <c r="T25" s="203">
        <f t="shared" si="5"/>
        <v>8</v>
      </c>
      <c r="U25" s="336">
        <v>180</v>
      </c>
      <c r="V25" s="338">
        <f>'أخذ التمام الصباحي'!L22</f>
        <v>149</v>
      </c>
      <c r="W25" s="221">
        <f t="shared" si="6"/>
        <v>31</v>
      </c>
      <c r="X25" s="338">
        <f>'أخذ التمام الصباحي'!M22</f>
        <v>34</v>
      </c>
      <c r="Y25" s="335">
        <v>52</v>
      </c>
      <c r="Z25" s="203">
        <f t="shared" si="7"/>
        <v>2.8653846153846154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50</v>
      </c>
      <c r="K26" s="221">
        <f t="shared" si="2"/>
        <v>40</v>
      </c>
      <c r="L26" s="355">
        <f>'أخذ التمام الصباحي'!G23</f>
        <v>17</v>
      </c>
      <c r="M26" s="335">
        <v>17</v>
      </c>
      <c r="N26" s="203">
        <f t="shared" si="3"/>
        <v>2.9411764705882355</v>
      </c>
      <c r="O26" s="336">
        <v>30</v>
      </c>
      <c r="P26" s="338">
        <f>'أخذ التمام الصباحي'!I23</f>
        <v>14</v>
      </c>
      <c r="Q26" s="221">
        <f t="shared" si="4"/>
        <v>16</v>
      </c>
      <c r="R26" s="338">
        <f>'أخذ التمام الصباحي'!J23</f>
        <v>0</v>
      </c>
      <c r="S26" s="335">
        <v>4</v>
      </c>
      <c r="T26" s="203">
        <f t="shared" si="5"/>
        <v>3.5</v>
      </c>
      <c r="U26" s="336">
        <v>180</v>
      </c>
      <c r="V26" s="338">
        <f>'أخذ التمام الصباحي'!L23</f>
        <v>140</v>
      </c>
      <c r="W26" s="221">
        <f t="shared" si="6"/>
        <v>40</v>
      </c>
      <c r="X26" s="338">
        <f>'أخذ التمام الصباحي'!M23</f>
        <v>34</v>
      </c>
      <c r="Y26" s="335">
        <v>49</v>
      </c>
      <c r="Z26" s="203">
        <f t="shared" si="7"/>
        <v>2.8571428571428572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0</v>
      </c>
      <c r="K27" s="221">
        <f t="shared" si="2"/>
        <v>90</v>
      </c>
      <c r="L27" s="355">
        <f>'أخذ التمام الصباحي'!G24</f>
        <v>0</v>
      </c>
      <c r="M27" s="335">
        <v>12</v>
      </c>
      <c r="N27" s="203">
        <f t="shared" si="3"/>
        <v>0</v>
      </c>
      <c r="O27" s="336">
        <v>30</v>
      </c>
      <c r="P27" s="338">
        <f>'أخذ التمام الصباحي'!I24</f>
        <v>0</v>
      </c>
      <c r="Q27" s="221">
        <f t="shared" si="4"/>
        <v>30</v>
      </c>
      <c r="R27" s="338">
        <f>'أخذ التمام الصباحي'!J24</f>
        <v>0</v>
      </c>
      <c r="S27" s="335">
        <v>2</v>
      </c>
      <c r="T27" s="203">
        <f t="shared" si="5"/>
        <v>0</v>
      </c>
      <c r="U27" s="336">
        <v>180</v>
      </c>
      <c r="V27" s="338">
        <f>'أخذ التمام الصباحي'!L24</f>
        <v>0</v>
      </c>
      <c r="W27" s="221">
        <f t="shared" si="6"/>
        <v>180</v>
      </c>
      <c r="X27" s="338">
        <f>'أخذ التمام الصباحي'!M24</f>
        <v>0</v>
      </c>
      <c r="Y27" s="335">
        <v>30</v>
      </c>
      <c r="Z27" s="203">
        <f t="shared" si="7"/>
        <v>0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78</v>
      </c>
      <c r="K28" s="221">
        <f t="shared" si="2"/>
        <v>12</v>
      </c>
      <c r="L28" s="355">
        <f>'أخذ التمام الصباحي'!G25</f>
        <v>0</v>
      </c>
      <c r="M28" s="335">
        <v>9</v>
      </c>
      <c r="N28" s="203">
        <f t="shared" si="3"/>
        <v>8.6666666666666661</v>
      </c>
      <c r="O28" s="336">
        <v>30</v>
      </c>
      <c r="P28" s="338">
        <f>'أخذ التمام الصباحي'!I25</f>
        <v>20</v>
      </c>
      <c r="Q28" s="221">
        <f t="shared" si="4"/>
        <v>10</v>
      </c>
      <c r="R28" s="338">
        <f>'أخذ التمام الصباحي'!J25</f>
        <v>0</v>
      </c>
      <c r="S28" s="335">
        <v>2</v>
      </c>
      <c r="T28" s="203">
        <f t="shared" si="5"/>
        <v>10</v>
      </c>
      <c r="U28" s="336">
        <v>180</v>
      </c>
      <c r="V28" s="338">
        <f>'أخذ التمام الصباحي'!L25</f>
        <v>166</v>
      </c>
      <c r="W28" s="221">
        <f t="shared" si="6"/>
        <v>14</v>
      </c>
      <c r="X28" s="338">
        <f>'أخذ التمام الصباحي'!M25</f>
        <v>0</v>
      </c>
      <c r="Y28" s="335">
        <v>26</v>
      </c>
      <c r="Z28" s="203">
        <f t="shared" si="7"/>
        <v>6.384615384615385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77</v>
      </c>
      <c r="E29" s="194">
        <f t="shared" ref="E29" si="8">C29-D29</f>
        <v>13</v>
      </c>
      <c r="F29" s="194">
        <f>'أخذ التمام الصباحي'!D26</f>
        <v>17</v>
      </c>
      <c r="G29" s="194">
        <v>5</v>
      </c>
      <c r="H29" s="194">
        <f t="shared" ref="H29" si="9">D29/G29</f>
        <v>15.4</v>
      </c>
      <c r="I29" s="336">
        <v>45</v>
      </c>
      <c r="J29" s="338">
        <f>'أخذ التمام الصباحي'!F26</f>
        <v>37</v>
      </c>
      <c r="K29" s="221">
        <f t="shared" si="2"/>
        <v>8</v>
      </c>
      <c r="L29" s="355">
        <f>'أخذ التمام الصباحي'!G26</f>
        <v>17</v>
      </c>
      <c r="M29" s="335">
        <v>9</v>
      </c>
      <c r="N29" s="203">
        <f t="shared" si="3"/>
        <v>4.1111111111111107</v>
      </c>
      <c r="O29" s="336">
        <v>45</v>
      </c>
      <c r="P29" s="338">
        <f>'أخذ التمام الصباحي'!I26</f>
        <v>34</v>
      </c>
      <c r="Q29" s="221">
        <f t="shared" si="4"/>
        <v>11</v>
      </c>
      <c r="R29" s="338">
        <f>'أخذ التمام الصباحي'!J26</f>
        <v>0</v>
      </c>
      <c r="S29" s="335">
        <v>2</v>
      </c>
      <c r="T29" s="203">
        <f t="shared" si="5"/>
        <v>17</v>
      </c>
      <c r="U29" s="336">
        <v>180</v>
      </c>
      <c r="V29" s="338">
        <f>'أخذ التمام الصباحي'!L26</f>
        <v>155</v>
      </c>
      <c r="W29" s="221">
        <f t="shared" si="6"/>
        <v>25</v>
      </c>
      <c r="X29" s="338">
        <f>'أخذ التمام الصباحي'!M26</f>
        <v>17</v>
      </c>
      <c r="Y29" s="335">
        <v>21</v>
      </c>
      <c r="Z29" s="203">
        <f t="shared" si="7"/>
        <v>7.3809523809523814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116</v>
      </c>
      <c r="K30" s="221">
        <f t="shared" si="2"/>
        <v>19</v>
      </c>
      <c r="L30" s="355">
        <f>'أخذ التمام الصباحي'!G27</f>
        <v>17</v>
      </c>
      <c r="M30" s="335">
        <v>6</v>
      </c>
      <c r="N30" s="203">
        <f t="shared" si="3"/>
        <v>19.333333333333332</v>
      </c>
      <c r="O30" s="336">
        <v>45</v>
      </c>
      <c r="P30" s="338">
        <f>'أخذ التمام الصباحي'!I27</f>
        <v>38</v>
      </c>
      <c r="Q30" s="221">
        <f t="shared" si="4"/>
        <v>7</v>
      </c>
      <c r="R30" s="338">
        <f>'أخذ التمام الصباحي'!J27</f>
        <v>0</v>
      </c>
      <c r="S30" s="335">
        <v>2</v>
      </c>
      <c r="T30" s="203">
        <f t="shared" si="5"/>
        <v>19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139</v>
      </c>
      <c r="K31" s="221">
        <f t="shared" si="2"/>
        <v>41</v>
      </c>
      <c r="L31" s="355">
        <f>'أخذ التمام الصباحي'!G28</f>
        <v>34</v>
      </c>
      <c r="M31" s="339">
        <v>20</v>
      </c>
      <c r="N31" s="203">
        <f t="shared" si="3"/>
        <v>6.95</v>
      </c>
      <c r="O31" s="336">
        <v>90</v>
      </c>
      <c r="P31" s="338">
        <f>'أخذ التمام الصباحي'!I28</f>
        <v>78</v>
      </c>
      <c r="Q31" s="221">
        <f t="shared" si="4"/>
        <v>12</v>
      </c>
      <c r="R31" s="338">
        <f>'أخذ التمام الصباحي'!J28</f>
        <v>17</v>
      </c>
      <c r="S31" s="339">
        <v>7</v>
      </c>
      <c r="T31" s="203">
        <f t="shared" si="5"/>
        <v>11.142857142857142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96</v>
      </c>
      <c r="K32" s="221">
        <f t="shared" si="2"/>
        <v>84</v>
      </c>
      <c r="L32" s="355">
        <f>'أخذ التمام الصباحي'!G29</f>
        <v>85</v>
      </c>
      <c r="M32" s="339">
        <v>24</v>
      </c>
      <c r="N32" s="203">
        <f t="shared" si="3"/>
        <v>4</v>
      </c>
      <c r="O32" s="336">
        <v>90</v>
      </c>
      <c r="P32" s="338">
        <f>'أخذ التمام الصباحي'!I29</f>
        <v>71</v>
      </c>
      <c r="Q32" s="221">
        <f t="shared" si="4"/>
        <v>19</v>
      </c>
      <c r="R32" s="338">
        <f>'أخذ التمام الصباحي'!J29</f>
        <v>17</v>
      </c>
      <c r="S32" s="339">
        <v>7</v>
      </c>
      <c r="T32" s="203">
        <f t="shared" si="5"/>
        <v>10.142857142857142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83</v>
      </c>
      <c r="K33" s="221">
        <f t="shared" si="2"/>
        <v>97</v>
      </c>
      <c r="L33" s="355">
        <f>'أخذ التمام الصباحي'!G30</f>
        <v>102</v>
      </c>
      <c r="M33" s="339">
        <v>27</v>
      </c>
      <c r="N33" s="203">
        <f t="shared" si="3"/>
        <v>3.074074074074074</v>
      </c>
      <c r="O33" s="336">
        <v>90</v>
      </c>
      <c r="P33" s="338">
        <f>'أخذ التمام الصباحي'!I30</f>
        <v>85</v>
      </c>
      <c r="Q33" s="221">
        <f t="shared" si="4"/>
        <v>5</v>
      </c>
      <c r="R33" s="338">
        <f>'أخذ التمام الصباحي'!J30</f>
        <v>0</v>
      </c>
      <c r="S33" s="339">
        <v>6</v>
      </c>
      <c r="T33" s="203">
        <f t="shared" si="5"/>
        <v>14.166666666666666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77</v>
      </c>
      <c r="K34" s="221">
        <f t="shared" si="2"/>
        <v>103</v>
      </c>
      <c r="L34" s="355">
        <f>'أخذ التمام الصباحي'!G31</f>
        <v>102</v>
      </c>
      <c r="M34" s="339">
        <v>38</v>
      </c>
      <c r="N34" s="203">
        <f t="shared" si="3"/>
        <v>2.0263157894736841</v>
      </c>
      <c r="O34" s="336">
        <v>90</v>
      </c>
      <c r="P34" s="338">
        <f>'أخذ التمام الصباحي'!I31</f>
        <v>65</v>
      </c>
      <c r="Q34" s="221">
        <f t="shared" si="4"/>
        <v>25</v>
      </c>
      <c r="R34" s="338">
        <f>'أخذ التمام الصباحي'!J31</f>
        <v>0</v>
      </c>
      <c r="S34" s="339">
        <v>8</v>
      </c>
      <c r="T34" s="203">
        <f t="shared" si="5"/>
        <v>8.125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1" t="s">
        <v>34</v>
      </c>
      <c r="B39" s="381"/>
      <c r="C39" s="206">
        <f>SUM(C8:C38)</f>
        <v>255</v>
      </c>
      <c r="D39" s="206">
        <f t="shared" ref="D39:Z39" si="16">SUM(D8:D38)</f>
        <v>242</v>
      </c>
      <c r="E39" s="206">
        <f t="shared" si="16"/>
        <v>13</v>
      </c>
      <c r="F39" s="206">
        <f t="shared" si="16"/>
        <v>51</v>
      </c>
      <c r="G39" s="206">
        <f t="shared" si="16"/>
        <v>59.6</v>
      </c>
      <c r="H39" s="206">
        <f t="shared" si="16"/>
        <v>69.611111111111114</v>
      </c>
      <c r="I39" s="206">
        <f t="shared" si="16"/>
        <v>3570</v>
      </c>
      <c r="J39" s="206">
        <f t="shared" si="16"/>
        <v>1779</v>
      </c>
      <c r="K39" s="206">
        <f t="shared" si="16"/>
        <v>1791</v>
      </c>
      <c r="L39" s="206">
        <f t="shared" si="16"/>
        <v>884</v>
      </c>
      <c r="M39" s="206">
        <f t="shared" si="16"/>
        <v>654</v>
      </c>
      <c r="N39" s="206">
        <f t="shared" si="16"/>
        <v>135.90705410307203</v>
      </c>
      <c r="O39" s="206">
        <f t="shared" si="16"/>
        <v>1380</v>
      </c>
      <c r="P39" s="206">
        <f t="shared" si="16"/>
        <v>698</v>
      </c>
      <c r="Q39" s="206">
        <f t="shared" si="16"/>
        <v>682</v>
      </c>
      <c r="R39" s="206">
        <f t="shared" si="16"/>
        <v>153</v>
      </c>
      <c r="S39" s="206">
        <f t="shared" si="16"/>
        <v>159.5</v>
      </c>
      <c r="T39" s="206">
        <f t="shared" si="16"/>
        <v>153.7478354978355</v>
      </c>
      <c r="U39" s="206">
        <f t="shared" si="16"/>
        <v>2580</v>
      </c>
      <c r="V39" s="206">
        <f t="shared" si="16"/>
        <v>1830</v>
      </c>
      <c r="W39" s="206">
        <f t="shared" si="16"/>
        <v>750</v>
      </c>
      <c r="X39" s="206">
        <f t="shared" si="16"/>
        <v>187</v>
      </c>
      <c r="Y39" s="206">
        <f t="shared" si="16"/>
        <v>404</v>
      </c>
      <c r="Z39" s="206">
        <f t="shared" si="16"/>
        <v>122.59238205790625</v>
      </c>
    </row>
    <row r="40" spans="1:26" ht="20.100000000000001" customHeight="1" thickBot="1" x14ac:dyDescent="0.25">
      <c r="A40" s="368" t="s">
        <v>35</v>
      </c>
      <c r="B40" s="368"/>
      <c r="C40" s="372">
        <f>C39+I39+O39+U39</f>
        <v>7785</v>
      </c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373"/>
      <c r="Z40" s="374"/>
    </row>
    <row r="41" spans="1:26" ht="20.100000000000001" customHeight="1" thickBot="1" x14ac:dyDescent="0.25">
      <c r="A41" s="368" t="s">
        <v>36</v>
      </c>
      <c r="B41" s="368"/>
      <c r="C41" s="372">
        <f>D39+J39+P39+V39</f>
        <v>4549</v>
      </c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4"/>
    </row>
    <row r="42" spans="1:26" ht="20.100000000000001" customHeight="1" thickBot="1" x14ac:dyDescent="0.25">
      <c r="A42" s="368" t="s">
        <v>37</v>
      </c>
      <c r="B42" s="368"/>
      <c r="C42" s="372">
        <f>E39+K39+Q39+W39</f>
        <v>3236</v>
      </c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4"/>
    </row>
    <row r="43" spans="1:26" ht="20.100000000000001" customHeight="1" thickBot="1" x14ac:dyDescent="0.25">
      <c r="A43" s="368" t="s">
        <v>38</v>
      </c>
      <c r="B43" s="368"/>
      <c r="C43" s="375">
        <f>C41/C40</f>
        <v>0.58432883750802822</v>
      </c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77"/>
    </row>
    <row r="44" spans="1:26" ht="20.100000000000001" customHeight="1" thickBot="1" x14ac:dyDescent="0.25">
      <c r="A44" s="368" t="s">
        <v>39</v>
      </c>
      <c r="B44" s="368"/>
      <c r="C44" s="372">
        <f>F39+L39+R39+X39</f>
        <v>1275</v>
      </c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4"/>
    </row>
    <row r="45" spans="1:26" ht="15.75" thickBot="1" x14ac:dyDescent="0.25">
      <c r="A45" s="368" t="s">
        <v>40</v>
      </c>
      <c r="B45" s="368"/>
      <c r="C45" s="378">
        <f>C44/'التمام الصباحي'!$C$41:$Z$41</f>
        <v>0.2802813805231919</v>
      </c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80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1"/>
    </customSheetView>
    <customSheetView guid="{18C0F7AC-4BB1-46DE-8A01-8E31FE0585FC}" scale="70" fitToPage="1">
      <pane xSplit="2" ySplit="7" topLeftCell="C8" activePane="bottomRight" state="frozen"/>
      <selection pane="bottomRight" activeCell="A9" sqref="A9:XFD9"/>
      <pageMargins left="0.25" right="0.25" top="0.75" bottom="0.75" header="0.3" footer="0.3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5" ht="15.75" x14ac:dyDescent="0.25">
      <c r="A2" s="371" t="s">
        <v>1</v>
      </c>
      <c r="B2" s="371"/>
      <c r="C2" s="371"/>
      <c r="D2" s="371"/>
      <c r="E2" s="371"/>
    </row>
    <row r="3" spans="1:25" ht="15.75" x14ac:dyDescent="0.25">
      <c r="A3" s="371" t="s">
        <v>2</v>
      </c>
      <c r="B3" s="371"/>
      <c r="C3" s="371"/>
      <c r="D3" s="371"/>
      <c r="E3" s="371"/>
    </row>
    <row r="5" spans="1:25" ht="32.25" customHeight="1" thickBot="1" x14ac:dyDescent="0.3">
      <c r="G5" s="199"/>
      <c r="H5" s="370" t="s">
        <v>162</v>
      </c>
      <c r="I5" s="370"/>
      <c r="J5" s="370"/>
      <c r="K5" s="370"/>
      <c r="L5" s="370"/>
      <c r="M5" s="370"/>
      <c r="N5" s="370"/>
      <c r="O5" s="370"/>
      <c r="T5" s="200" t="s">
        <v>41</v>
      </c>
    </row>
    <row r="6" spans="1:25" ht="20.100000000000001" customHeight="1" thickBot="1" x14ac:dyDescent="0.25">
      <c r="A6" s="369" t="s">
        <v>14</v>
      </c>
      <c r="B6" s="369" t="s">
        <v>3</v>
      </c>
      <c r="C6" s="369" t="s">
        <v>4</v>
      </c>
      <c r="D6" s="483" t="s">
        <v>5</v>
      </c>
      <c r="E6" s="484"/>
      <c r="F6" s="484"/>
      <c r="G6" s="485"/>
      <c r="H6" s="369" t="s">
        <v>4</v>
      </c>
      <c r="I6" s="483" t="s">
        <v>11</v>
      </c>
      <c r="J6" s="484"/>
      <c r="K6" s="484"/>
      <c r="L6" s="485"/>
      <c r="M6" s="369" t="s">
        <v>4</v>
      </c>
      <c r="N6" s="483" t="s">
        <v>12</v>
      </c>
      <c r="O6" s="484"/>
      <c r="P6" s="484"/>
      <c r="Q6" s="485"/>
      <c r="R6" s="36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9</v>
      </c>
      <c r="G7" s="201" t="s">
        <v>10</v>
      </c>
      <c r="H7" s="369"/>
      <c r="I7" s="201" t="s">
        <v>6</v>
      </c>
      <c r="J7" s="201" t="s">
        <v>7</v>
      </c>
      <c r="K7" s="201" t="s">
        <v>9</v>
      </c>
      <c r="L7" s="201" t="s">
        <v>10</v>
      </c>
      <c r="M7" s="369"/>
      <c r="N7" s="201" t="s">
        <v>6</v>
      </c>
      <c r="O7" s="201" t="s">
        <v>7</v>
      </c>
      <c r="P7" s="201" t="s">
        <v>9</v>
      </c>
      <c r="Q7" s="201" t="s">
        <v>10</v>
      </c>
      <c r="R7" s="36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</v>
      </c>
      <c r="J8" s="221">
        <f>'خطة الإمداد'!F32</f>
        <v>85</v>
      </c>
      <c r="K8" s="261">
        <v>19</v>
      </c>
      <c r="L8" s="203">
        <f>I8/K8</f>
        <v>0.26315789473684209</v>
      </c>
      <c r="M8" s="262">
        <v>30</v>
      </c>
      <c r="N8" s="261">
        <f>M8-O8</f>
        <v>2</v>
      </c>
      <c r="O8" s="221">
        <f>'خطة الإمداد'!G32</f>
        <v>28</v>
      </c>
      <c r="P8" s="261">
        <v>5</v>
      </c>
      <c r="Q8" s="203">
        <f>N8/P8</f>
        <v>0.4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23</v>
      </c>
      <c r="E10" s="261">
        <f>'خطة الإمداد'!E35</f>
        <v>7</v>
      </c>
      <c r="F10" s="261">
        <v>4</v>
      </c>
      <c r="G10" s="204">
        <f>D10/F10</f>
        <v>5.75</v>
      </c>
      <c r="H10" s="262">
        <v>60</v>
      </c>
      <c r="I10" s="261">
        <f t="shared" ref="I10:I27" si="1">H10-J10</f>
        <v>10</v>
      </c>
      <c r="J10" s="221">
        <f>'خطة الإمداد'!F35</f>
        <v>50</v>
      </c>
      <c r="K10" s="261">
        <v>21</v>
      </c>
      <c r="L10" s="203">
        <f t="shared" ref="L10:L21" si="2">I10/K10</f>
        <v>0.47619047619047616</v>
      </c>
      <c r="M10" s="262">
        <v>30</v>
      </c>
      <c r="N10" s="261">
        <f t="shared" ref="N10:N27" si="3">M10-O10</f>
        <v>9</v>
      </c>
      <c r="O10" s="221">
        <f>'خطة الإمداد'!G35</f>
        <v>21</v>
      </c>
      <c r="P10" s="261">
        <v>5</v>
      </c>
      <c r="Q10" s="203">
        <f>N10/P10</f>
        <v>1.8</v>
      </c>
      <c r="R10" s="262">
        <v>180</v>
      </c>
      <c r="S10" s="221">
        <f t="shared" ref="S10:S27" si="4">R10-T10</f>
        <v>172</v>
      </c>
      <c r="T10" s="261">
        <f>'خطة الإمداد'!H35</f>
        <v>8</v>
      </c>
      <c r="U10" s="261">
        <v>3</v>
      </c>
      <c r="V10" s="203">
        <f>S10/U10</f>
        <v>57.333333333333336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10</v>
      </c>
      <c r="J11" s="221">
        <f>'خطة الإمداد'!F36</f>
        <v>50</v>
      </c>
      <c r="K11" s="261">
        <v>34</v>
      </c>
      <c r="L11" s="203">
        <f t="shared" si="2"/>
        <v>0.29411764705882354</v>
      </c>
      <c r="M11" s="262">
        <v>30</v>
      </c>
      <c r="N11" s="261">
        <f t="shared" si="3"/>
        <v>11</v>
      </c>
      <c r="O11" s="221">
        <f>'خطة الإمداد'!G36</f>
        <v>19</v>
      </c>
      <c r="P11" s="261">
        <v>8</v>
      </c>
      <c r="Q11" s="203">
        <f>N11/P11</f>
        <v>1.375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15</v>
      </c>
      <c r="E12" s="261">
        <f>'خطة الإمداد'!E37</f>
        <v>15</v>
      </c>
      <c r="F12" s="261">
        <v>4</v>
      </c>
      <c r="G12" s="204">
        <f>D12/F12</f>
        <v>3.75</v>
      </c>
      <c r="H12" s="262">
        <v>90</v>
      </c>
      <c r="I12" s="261">
        <f t="shared" si="1"/>
        <v>46</v>
      </c>
      <c r="J12" s="221">
        <f>'خطة الإمداد'!F37</f>
        <v>44</v>
      </c>
      <c r="K12" s="261">
        <v>19</v>
      </c>
      <c r="L12" s="203">
        <f t="shared" si="2"/>
        <v>2.4210526315789473</v>
      </c>
      <c r="M12" s="263"/>
      <c r="N12" s="263"/>
      <c r="O12" s="263"/>
      <c r="P12" s="263"/>
      <c r="Q12" s="205"/>
      <c r="R12" s="262">
        <v>180</v>
      </c>
      <c r="S12" s="221">
        <f t="shared" si="4"/>
        <v>160</v>
      </c>
      <c r="T12" s="261">
        <f>'خطة الإمداد'!H37</f>
        <v>20</v>
      </c>
      <c r="U12" s="261">
        <v>8</v>
      </c>
      <c r="V12" s="203">
        <f>S12/U12</f>
        <v>20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6</v>
      </c>
      <c r="E13" s="261">
        <f>'خطة الإمداد'!E38</f>
        <v>24</v>
      </c>
      <c r="F13" s="261">
        <v>4</v>
      </c>
      <c r="G13" s="204">
        <f>D13/F13</f>
        <v>1.5</v>
      </c>
      <c r="H13" s="262">
        <v>90</v>
      </c>
      <c r="I13" s="261">
        <f t="shared" si="1"/>
        <v>39</v>
      </c>
      <c r="J13" s="221">
        <f>'خطة الإمداد'!F38</f>
        <v>51</v>
      </c>
      <c r="K13" s="261">
        <v>16</v>
      </c>
      <c r="L13" s="203">
        <f t="shared" si="2"/>
        <v>2.4375</v>
      </c>
      <c r="M13" s="263"/>
      <c r="N13" s="263"/>
      <c r="O13" s="263"/>
      <c r="P13" s="263"/>
      <c r="Q13" s="205"/>
      <c r="R13" s="262">
        <v>180</v>
      </c>
      <c r="S13" s="221">
        <f t="shared" si="4"/>
        <v>136</v>
      </c>
      <c r="T13" s="261">
        <f>'خطة الإمداد'!H38</f>
        <v>44</v>
      </c>
      <c r="U13" s="261">
        <v>19</v>
      </c>
      <c r="V13" s="203">
        <f>S13/U13</f>
        <v>7.1578947368421053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113</v>
      </c>
      <c r="J14" s="221">
        <f>'خطة الإمداد'!F39</f>
        <v>67</v>
      </c>
      <c r="K14" s="261">
        <v>39</v>
      </c>
      <c r="L14" s="203">
        <f t="shared" si="2"/>
        <v>2.8974358974358974</v>
      </c>
      <c r="M14" s="262">
        <v>60</v>
      </c>
      <c r="N14" s="261">
        <f t="shared" si="3"/>
        <v>40</v>
      </c>
      <c r="O14" s="221">
        <f>'خطة الإمداد'!G39</f>
        <v>20</v>
      </c>
      <c r="P14" s="261">
        <v>7</v>
      </c>
      <c r="Q14" s="203">
        <f t="shared" ref="Q14:Q21" si="5">N14/P14</f>
        <v>5.7142857142857144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105</v>
      </c>
      <c r="J15" s="221">
        <f>'خطة الإمداد'!F40</f>
        <v>75</v>
      </c>
      <c r="K15" s="261">
        <v>36</v>
      </c>
      <c r="L15" s="203">
        <f t="shared" si="2"/>
        <v>2.9166666666666665</v>
      </c>
      <c r="M15" s="262">
        <v>45</v>
      </c>
      <c r="N15" s="261">
        <f t="shared" si="3"/>
        <v>6</v>
      </c>
      <c r="O15" s="221">
        <f>'خطة الإمداد'!G40</f>
        <v>39</v>
      </c>
      <c r="P15" s="261">
        <v>8</v>
      </c>
      <c r="Q15" s="203">
        <f t="shared" si="5"/>
        <v>0.75</v>
      </c>
      <c r="R15" s="262">
        <v>120</v>
      </c>
      <c r="S15" s="221">
        <f t="shared" si="4"/>
        <v>65</v>
      </c>
      <c r="T15" s="261">
        <f>'خطة الإمداد'!H40</f>
        <v>55</v>
      </c>
      <c r="U15" s="261">
        <v>26</v>
      </c>
      <c r="V15" s="203">
        <f>S15/U15</f>
        <v>2.5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51</v>
      </c>
      <c r="J16" s="221">
        <f>'خطة الإمداد'!F41</f>
        <v>39</v>
      </c>
      <c r="K16" s="261">
        <v>6</v>
      </c>
      <c r="L16" s="203">
        <f t="shared" si="2"/>
        <v>8.5</v>
      </c>
      <c r="M16" s="262">
        <v>30</v>
      </c>
      <c r="N16" s="261">
        <f t="shared" si="3"/>
        <v>15</v>
      </c>
      <c r="O16" s="221">
        <f>'خطة الإمداد'!G41</f>
        <v>15</v>
      </c>
      <c r="P16" s="261">
        <v>2</v>
      </c>
      <c r="Q16" s="203">
        <f t="shared" si="5"/>
        <v>7.5</v>
      </c>
      <c r="R16" s="262">
        <v>180</v>
      </c>
      <c r="S16" s="221">
        <f t="shared" si="4"/>
        <v>50</v>
      </c>
      <c r="T16" s="261">
        <f>'خطة الإمداد'!H41</f>
        <v>130</v>
      </c>
      <c r="U16" s="261">
        <v>56</v>
      </c>
      <c r="V16" s="203">
        <f>S16/U16</f>
        <v>0.8928571428571429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10</v>
      </c>
      <c r="J17" s="221">
        <f>'خطة الإمداد'!F42</f>
        <v>80</v>
      </c>
      <c r="K17" s="261">
        <v>5</v>
      </c>
      <c r="L17" s="203">
        <f t="shared" si="2"/>
        <v>2</v>
      </c>
      <c r="M17" s="262">
        <v>30</v>
      </c>
      <c r="N17" s="261">
        <f t="shared" si="3"/>
        <v>20</v>
      </c>
      <c r="O17" s="221">
        <f>'خطة الإمداد'!G42</f>
        <v>10</v>
      </c>
      <c r="P17" s="261">
        <v>1</v>
      </c>
      <c r="Q17" s="203">
        <f t="shared" si="5"/>
        <v>20</v>
      </c>
      <c r="R17" s="262">
        <v>60</v>
      </c>
      <c r="S17" s="194">
        <f t="shared" si="4"/>
        <v>31</v>
      </c>
      <c r="T17" s="261">
        <f>'خطة الإمداد'!H42</f>
        <v>29</v>
      </c>
      <c r="U17" s="261">
        <v>2</v>
      </c>
      <c r="V17" s="261">
        <f>S17/U17</f>
        <v>15.5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49</v>
      </c>
      <c r="J18" s="221">
        <f>'خطة الإمداد'!F43</f>
        <v>11</v>
      </c>
      <c r="K18" s="261">
        <v>2</v>
      </c>
      <c r="L18" s="203">
        <f t="shared" si="2"/>
        <v>24.5</v>
      </c>
      <c r="M18" s="262">
        <v>30</v>
      </c>
      <c r="N18" s="261">
        <f t="shared" si="3"/>
        <v>12</v>
      </c>
      <c r="O18" s="221">
        <f>'خطة الإمداد'!G43</f>
        <v>18</v>
      </c>
      <c r="P18" s="261">
        <v>5</v>
      </c>
      <c r="Q18" s="203">
        <f t="shared" si="5"/>
        <v>2.4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63</v>
      </c>
      <c r="J19" s="221">
        <f>'خطة الإمداد'!F44</f>
        <v>27</v>
      </c>
      <c r="K19" s="261">
        <v>6</v>
      </c>
      <c r="L19" s="203">
        <f t="shared" si="2"/>
        <v>10.5</v>
      </c>
      <c r="M19" s="262">
        <v>30</v>
      </c>
      <c r="N19" s="261">
        <f t="shared" si="3"/>
        <v>23</v>
      </c>
      <c r="O19" s="221">
        <f>'خطة الإمداد'!G44</f>
        <v>7</v>
      </c>
      <c r="P19" s="261">
        <v>2</v>
      </c>
      <c r="Q19" s="203">
        <f t="shared" si="5"/>
        <v>11.5</v>
      </c>
      <c r="R19" s="262">
        <v>180</v>
      </c>
      <c r="S19" s="221">
        <f t="shared" si="4"/>
        <v>139</v>
      </c>
      <c r="T19" s="261">
        <f>'خطة الإمداد'!H44</f>
        <v>41</v>
      </c>
      <c r="U19" s="261">
        <v>16</v>
      </c>
      <c r="V19" s="203">
        <f>S19/U19</f>
        <v>8.6875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39</v>
      </c>
      <c r="J20" s="221">
        <f>'خطة الإمداد'!F45</f>
        <v>51</v>
      </c>
      <c r="K20" s="261">
        <v>7</v>
      </c>
      <c r="L20" s="203">
        <f t="shared" si="2"/>
        <v>5.5714285714285712</v>
      </c>
      <c r="M20" s="262">
        <v>30</v>
      </c>
      <c r="N20" s="261">
        <f t="shared" si="3"/>
        <v>3</v>
      </c>
      <c r="O20" s="221">
        <f>'خطة الإمداد'!G45</f>
        <v>27</v>
      </c>
      <c r="P20" s="261">
        <v>1</v>
      </c>
      <c r="Q20" s="203">
        <f t="shared" si="5"/>
        <v>3</v>
      </c>
      <c r="R20" s="262">
        <v>180</v>
      </c>
      <c r="S20" s="221">
        <f t="shared" si="4"/>
        <v>120</v>
      </c>
      <c r="T20" s="261">
        <f>'خطة الإمداد'!H45</f>
        <v>60</v>
      </c>
      <c r="U20" s="261">
        <v>18</v>
      </c>
      <c r="V20" s="203">
        <f>S20/U20</f>
        <v>6.666666666666667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30</v>
      </c>
      <c r="J21" s="221">
        <f>'خطة الإمداد'!F46</f>
        <v>60</v>
      </c>
      <c r="K21" s="261">
        <v>5</v>
      </c>
      <c r="L21" s="203">
        <f t="shared" si="2"/>
        <v>6</v>
      </c>
      <c r="M21" s="262">
        <v>30</v>
      </c>
      <c r="N21" s="261">
        <f t="shared" si="3"/>
        <v>12</v>
      </c>
      <c r="O21" s="221">
        <f>'خطة الإمداد'!G46</f>
        <v>18</v>
      </c>
      <c r="P21" s="261">
        <v>1</v>
      </c>
      <c r="Q21" s="203">
        <f t="shared" si="5"/>
        <v>12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23.4</v>
      </c>
      <c r="E22" s="194">
        <f>'خطة الإمداد'!E47</f>
        <v>6.6</v>
      </c>
      <c r="F22" s="194">
        <v>0.2</v>
      </c>
      <c r="G22" s="194">
        <f>D22/F22</f>
        <v>116.99999999999999</v>
      </c>
      <c r="H22" s="262">
        <v>60</v>
      </c>
      <c r="I22" s="261">
        <f t="shared" si="1"/>
        <v>44</v>
      </c>
      <c r="J22" s="221">
        <f>'خطة الإمداد'!F47</f>
        <v>16</v>
      </c>
      <c r="K22" s="261">
        <v>1</v>
      </c>
      <c r="L22" s="203">
        <f t="shared" ref="L22:L27" si="6">I22/K22</f>
        <v>44</v>
      </c>
      <c r="M22" s="263"/>
      <c r="N22" s="263"/>
      <c r="O22" s="263"/>
      <c r="P22" s="263"/>
      <c r="Q22" s="205"/>
      <c r="R22" s="262">
        <v>120</v>
      </c>
      <c r="S22" s="221">
        <f t="shared" si="4"/>
        <v>70</v>
      </c>
      <c r="T22" s="261">
        <f>'خطة الإمداد'!H47</f>
        <v>50</v>
      </c>
      <c r="U22" s="261">
        <v>14</v>
      </c>
      <c r="V22" s="203">
        <f t="shared" ref="V22:V27" si="7">S22/U22</f>
        <v>5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14</v>
      </c>
      <c r="J23" s="221">
        <f>'خطة الإمداد'!F48</f>
        <v>46</v>
      </c>
      <c r="K23" s="261">
        <v>1</v>
      </c>
      <c r="L23" s="203">
        <f t="shared" si="6"/>
        <v>14</v>
      </c>
      <c r="M23" s="263"/>
      <c r="N23" s="263"/>
      <c r="O23" s="263"/>
      <c r="P23" s="263"/>
      <c r="Q23" s="205"/>
      <c r="R23" s="262">
        <v>120</v>
      </c>
      <c r="S23" s="221">
        <f t="shared" si="4"/>
        <v>81</v>
      </c>
      <c r="T23" s="261">
        <f>'خطة الإمداد'!H48</f>
        <v>39</v>
      </c>
      <c r="U23" s="261">
        <v>7</v>
      </c>
      <c r="V23" s="203">
        <f t="shared" si="7"/>
        <v>11.571428571428571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62</v>
      </c>
      <c r="J24" s="221">
        <f>'خطة الإمداد'!F49</f>
        <v>28</v>
      </c>
      <c r="K24" s="261">
        <v>11</v>
      </c>
      <c r="L24" s="203">
        <f t="shared" si="6"/>
        <v>5.6363636363636367</v>
      </c>
      <c r="M24" s="262">
        <v>30</v>
      </c>
      <c r="N24" s="261">
        <f t="shared" si="3"/>
        <v>21</v>
      </c>
      <c r="O24" s="221">
        <f>'خطة الإمداد'!G49</f>
        <v>9</v>
      </c>
      <c r="P24" s="261">
        <v>1</v>
      </c>
      <c r="Q24" s="203">
        <f>N24/P24</f>
        <v>21</v>
      </c>
      <c r="R24" s="262">
        <v>180</v>
      </c>
      <c r="S24" s="221">
        <f t="shared" si="4"/>
        <v>97</v>
      </c>
      <c r="T24" s="261">
        <f>'خطة الإمداد'!H49</f>
        <v>83</v>
      </c>
      <c r="U24" s="261">
        <v>42</v>
      </c>
      <c r="V24" s="203">
        <f t="shared" si="7"/>
        <v>2.3095238095238093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33</v>
      </c>
      <c r="J25" s="221">
        <f>'خطة الإمداد'!F50</f>
        <v>57</v>
      </c>
      <c r="K25" s="261">
        <v>14</v>
      </c>
      <c r="L25" s="203">
        <f t="shared" si="6"/>
        <v>2.3571428571428572</v>
      </c>
      <c r="M25" s="262">
        <v>30</v>
      </c>
      <c r="N25" s="261">
        <f t="shared" si="3"/>
        <v>10</v>
      </c>
      <c r="O25" s="221">
        <f>'خطة الإمداد'!G50</f>
        <v>20</v>
      </c>
      <c r="P25" s="261">
        <v>2</v>
      </c>
      <c r="Q25" s="203">
        <f>N25/P25</f>
        <v>5</v>
      </c>
      <c r="R25" s="262">
        <v>180</v>
      </c>
      <c r="S25" s="221">
        <f t="shared" si="4"/>
        <v>91</v>
      </c>
      <c r="T25" s="261">
        <f>'خطة الإمداد'!H50</f>
        <v>89</v>
      </c>
      <c r="U25" s="261">
        <v>35</v>
      </c>
      <c r="V25" s="203">
        <f t="shared" si="7"/>
        <v>2.6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-12</v>
      </c>
      <c r="J26" s="221">
        <f>'خطة الإمداد'!F51</f>
        <v>102</v>
      </c>
      <c r="K26" s="261">
        <v>6</v>
      </c>
      <c r="L26" s="203">
        <f t="shared" si="6"/>
        <v>-2</v>
      </c>
      <c r="M26" s="262">
        <v>30</v>
      </c>
      <c r="N26" s="261">
        <f t="shared" si="3"/>
        <v>-2</v>
      </c>
      <c r="O26" s="221">
        <f>'خطة الإمداد'!G51</f>
        <v>32</v>
      </c>
      <c r="P26" s="261">
        <v>1</v>
      </c>
      <c r="Q26" s="203">
        <f>N26/P26</f>
        <v>-2</v>
      </c>
      <c r="R26" s="262">
        <v>180</v>
      </c>
      <c r="S26" s="221">
        <f t="shared" si="4"/>
        <v>-30</v>
      </c>
      <c r="T26" s="261">
        <f>'خطة الإمداد'!H51</f>
        <v>210</v>
      </c>
      <c r="U26" s="261">
        <v>21</v>
      </c>
      <c r="V26" s="203">
        <f t="shared" si="7"/>
        <v>-1.4285714285714286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69</v>
      </c>
      <c r="J27" s="221">
        <f>'خطة الإمداد'!F52</f>
        <v>21</v>
      </c>
      <c r="K27" s="261">
        <v>7</v>
      </c>
      <c r="L27" s="203">
        <f t="shared" si="6"/>
        <v>9.8571428571428577</v>
      </c>
      <c r="M27" s="262">
        <v>30</v>
      </c>
      <c r="N27" s="261">
        <f t="shared" si="3"/>
        <v>18</v>
      </c>
      <c r="O27" s="221">
        <f>'خطة الإمداد'!G52</f>
        <v>12</v>
      </c>
      <c r="P27" s="261">
        <v>1</v>
      </c>
      <c r="Q27" s="203">
        <f>N27/P27</f>
        <v>18</v>
      </c>
      <c r="R27" s="262">
        <v>180</v>
      </c>
      <c r="S27" s="221">
        <f t="shared" si="4"/>
        <v>140</v>
      </c>
      <c r="T27" s="261">
        <f>'خطة الإمداد'!H52</f>
        <v>40</v>
      </c>
      <c r="U27" s="261">
        <v>22</v>
      </c>
      <c r="V27" s="203">
        <f t="shared" si="7"/>
        <v>6.3636363636363633</v>
      </c>
    </row>
    <row r="28" spans="1:23" ht="24.75" customHeight="1" thickBot="1" x14ac:dyDescent="0.25">
      <c r="A28" s="381" t="s">
        <v>34</v>
      </c>
      <c r="B28" s="381"/>
      <c r="C28" s="206">
        <f>SUM(C8:C27)</f>
        <v>150</v>
      </c>
      <c r="D28" s="206">
        <f>SUM(D8:D27)</f>
        <v>97.4</v>
      </c>
      <c r="E28" s="206">
        <f t="shared" ref="E28:V28" si="8">SUM(E8:E27)</f>
        <v>52.6</v>
      </c>
      <c r="F28" s="206">
        <f t="shared" si="8"/>
        <v>21.2</v>
      </c>
      <c r="G28" s="206">
        <f t="shared" si="8"/>
        <v>131.33333333333331</v>
      </c>
      <c r="H28" s="262">
        <f t="shared" si="8"/>
        <v>1740</v>
      </c>
      <c r="I28" s="206">
        <f t="shared" si="8"/>
        <v>780</v>
      </c>
      <c r="J28" s="206">
        <f t="shared" si="8"/>
        <v>960</v>
      </c>
      <c r="K28" s="206">
        <f t="shared" si="8"/>
        <v>255</v>
      </c>
      <c r="L28" s="207">
        <f t="shared" si="8"/>
        <v>142.62819913574558</v>
      </c>
      <c r="M28" s="262">
        <f t="shared" si="8"/>
        <v>495</v>
      </c>
      <c r="N28" s="206">
        <f t="shared" si="8"/>
        <v>200</v>
      </c>
      <c r="O28" s="206">
        <f t="shared" si="8"/>
        <v>295</v>
      </c>
      <c r="P28" s="206">
        <f t="shared" si="8"/>
        <v>50</v>
      </c>
      <c r="Q28" s="207">
        <f t="shared" si="8"/>
        <v>108.43928571428572</v>
      </c>
      <c r="R28" s="262">
        <f t="shared" si="8"/>
        <v>2220</v>
      </c>
      <c r="S28" s="206">
        <f t="shared" si="8"/>
        <v>1322</v>
      </c>
      <c r="T28" s="206">
        <f t="shared" si="8"/>
        <v>898</v>
      </c>
      <c r="U28" s="206">
        <f t="shared" si="8"/>
        <v>289</v>
      </c>
      <c r="V28" s="207">
        <f t="shared" si="8"/>
        <v>145.15426919571658</v>
      </c>
    </row>
    <row r="29" spans="1:23" ht="20.100000000000001" customHeight="1" thickBot="1" x14ac:dyDescent="0.25">
      <c r="A29" s="368" t="s">
        <v>35</v>
      </c>
      <c r="B29" s="368"/>
      <c r="C29" s="372">
        <f>C28+H28+M28+R28</f>
        <v>4605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4"/>
    </row>
    <row r="30" spans="1:23" ht="20.100000000000001" customHeight="1" thickBot="1" x14ac:dyDescent="0.25">
      <c r="A30" s="368" t="s">
        <v>36</v>
      </c>
      <c r="B30" s="368"/>
      <c r="C30" s="372">
        <f>D28+I28+N28+S28</f>
        <v>2399.4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4"/>
    </row>
    <row r="31" spans="1:23" ht="20.100000000000001" customHeight="1" thickBot="1" x14ac:dyDescent="0.25">
      <c r="A31" s="368" t="s">
        <v>37</v>
      </c>
      <c r="B31" s="368"/>
      <c r="C31" s="372">
        <f>E28+J28+O28+T28</f>
        <v>2205.6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4"/>
    </row>
    <row r="32" spans="1:23" ht="20.100000000000001" customHeight="1" thickBot="1" x14ac:dyDescent="0.25">
      <c r="A32" s="368" t="s">
        <v>38</v>
      </c>
      <c r="B32" s="368"/>
      <c r="C32" s="375">
        <f>C30/C29</f>
        <v>0.52104234527687299</v>
      </c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7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1" t="s">
        <v>94</v>
      </c>
      <c r="R5" s="391"/>
      <c r="S5" s="391"/>
      <c r="T5" s="391"/>
      <c r="U5" s="391"/>
    </row>
    <row r="6" spans="1:21" ht="15.75" customHeight="1" thickBot="1" x14ac:dyDescent="0.25">
      <c r="A6" s="453" t="s">
        <v>3</v>
      </c>
      <c r="B6" s="492">
        <v>80</v>
      </c>
      <c r="C6" s="493"/>
      <c r="D6" s="492">
        <v>92</v>
      </c>
      <c r="E6" s="493"/>
      <c r="F6" s="492">
        <v>95</v>
      </c>
      <c r="G6" s="493"/>
      <c r="H6" s="492" t="s">
        <v>50</v>
      </c>
      <c r="I6" s="493"/>
      <c r="K6" s="453" t="s">
        <v>3</v>
      </c>
      <c r="L6" s="73">
        <v>80</v>
      </c>
      <c r="M6" s="73">
        <v>92</v>
      </c>
      <c r="N6" s="73">
        <v>95</v>
      </c>
      <c r="O6" s="73" t="s">
        <v>50</v>
      </c>
      <c r="Q6" s="494" t="s">
        <v>3</v>
      </c>
      <c r="R6" s="495" t="s">
        <v>95</v>
      </c>
      <c r="S6" s="495" t="s">
        <v>96</v>
      </c>
      <c r="T6" s="495" t="s">
        <v>97</v>
      </c>
      <c r="U6" s="497" t="s">
        <v>98</v>
      </c>
    </row>
    <row r="7" spans="1:21" ht="15.75" thickBot="1" x14ac:dyDescent="0.25">
      <c r="A7" s="455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55"/>
      <c r="L7" s="74" t="s">
        <v>7</v>
      </c>
      <c r="M7" s="74" t="s">
        <v>7</v>
      </c>
      <c r="N7" s="74" t="s">
        <v>7</v>
      </c>
      <c r="O7" s="74" t="s">
        <v>7</v>
      </c>
      <c r="Q7" s="494"/>
      <c r="R7" s="496"/>
      <c r="S7" s="496"/>
      <c r="T7" s="496"/>
      <c r="U7" s="497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60</v>
      </c>
      <c r="E8" s="10">
        <f>'التمام الصباحي'!N8</f>
        <v>1.2</v>
      </c>
      <c r="F8" s="72">
        <f>'التمام الصباحي'!Q8</f>
        <v>20</v>
      </c>
      <c r="G8" s="10">
        <f>'التمام الصباحي'!T8</f>
        <v>1.25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51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1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2</v>
      </c>
      <c r="C9" s="9">
        <f>'التمام الصباحي'!H11</f>
        <v>5.6</v>
      </c>
      <c r="D9" s="72">
        <f>'التمام الصباحي'!K11</f>
        <v>25</v>
      </c>
      <c r="E9" s="10">
        <f>'التمام الصباحي'!N11</f>
        <v>1.4</v>
      </c>
      <c r="F9" s="72">
        <f>'التمام الصباحي'!Q11</f>
        <v>13</v>
      </c>
      <c r="G9" s="10">
        <f>'التمام الصباحي'!T11</f>
        <v>2.125</v>
      </c>
      <c r="H9" s="5">
        <f>'التمام الصباحي'!W11</f>
        <v>2</v>
      </c>
      <c r="I9" s="10">
        <f>'التمام الصباحي'!Z11</f>
        <v>29.666666666666668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0">
        <f>IF((ROUNDDOWN((SUM(M9:M10)/51)-(R9+R10),0.9))&lt;0,0,(ROUNDDOWN((SUM(M9:M10)/51)-(R9+R10),0.9)))</f>
        <v>0</v>
      </c>
      <c r="T9" s="490">
        <f>IF((ROUNDDOWN((SUM(O9:O10)/51)-(R9+R10),0.9))&lt;0,0,(ROUNDDOWN((SUM(O9:O10)/51)-(R9+R10),0.9)))</f>
        <v>0</v>
      </c>
      <c r="U9" s="49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10</v>
      </c>
      <c r="E10" s="10">
        <f>'التمام الصباحي'!N12</f>
        <v>2</v>
      </c>
      <c r="F10" s="72">
        <f>'التمام الصباحي'!Q12</f>
        <v>7</v>
      </c>
      <c r="G10" s="10">
        <f>'التمام الصباحي'!T12</f>
        <v>1.9166666666666667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491"/>
      <c r="T10" s="491"/>
      <c r="U10" s="491"/>
    </row>
    <row r="11" spans="1:21" ht="17.25" thickTop="1" thickBot="1" x14ac:dyDescent="0.3">
      <c r="A11" s="77" t="s">
        <v>18</v>
      </c>
      <c r="B11" s="5">
        <f>'التمام الصباحي'!E13</f>
        <v>11</v>
      </c>
      <c r="C11" s="9">
        <f>'التمام الصباحي'!H13</f>
        <v>4.75</v>
      </c>
      <c r="D11" s="72">
        <f>'التمام الصباحي'!K13</f>
        <v>18</v>
      </c>
      <c r="E11" s="10">
        <f>'التمام الصباحي'!N13</f>
        <v>2.7692307692307692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10</v>
      </c>
      <c r="I11" s="10">
        <f>'التمام الصباحي'!Z13</f>
        <v>17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486">
        <f>IF((ROUNDDOWN((SUM(M11:M12)/51)-(R11+R12),0.9))&lt;0,0,(ROUNDDOWN((SUM(M11:M12)/51)-(R11+R12),0.9)))</f>
        <v>0</v>
      </c>
      <c r="T11" s="486">
        <f t="shared" ref="T11" si="5">IF((ROUNDDOWN((SUM(O11:O12)/51)-(R11+R12),0.9))&lt;0,0,(ROUNDDOWN((SUM(O11:O12)/51)-(R11+R12),0.9)))</f>
        <v>0</v>
      </c>
      <c r="U11" s="486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15</v>
      </c>
      <c r="C12" s="9">
        <f>'التمام الصباحي'!H14</f>
        <v>1.6666666666666667</v>
      </c>
      <c r="D12" s="72">
        <f>'التمام الصباحي'!K14</f>
        <v>27</v>
      </c>
      <c r="E12" s="10">
        <f>'التمام الصباحي'!N14</f>
        <v>2.625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22</v>
      </c>
      <c r="I12" s="10">
        <f>'التمام الصباحي'!Z14</f>
        <v>7.1818181818181817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486"/>
      <c r="T12" s="486"/>
      <c r="U12" s="486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15</v>
      </c>
      <c r="E13" s="10">
        <f>'التمام الصباحي'!N15</f>
        <v>3.1730769230769229</v>
      </c>
      <c r="F13" s="72">
        <f>'التمام الصباحي'!Q15</f>
        <v>6</v>
      </c>
      <c r="G13" s="10">
        <f>'التمام الصباحي'!T15</f>
        <v>3.8571428571428572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490">
        <f>IF((ROUNDDOWN((SUM(M13:M14)/51)-(R13+R14),0.9))&lt;0,0,(ROUNDDOWN((SUM(M13:M14)/51)-(R13+R14),0.9)))</f>
        <v>0</v>
      </c>
      <c r="T13" s="490">
        <f t="shared" ref="T13" si="7">IF((ROUNDDOWN((SUM(O13:O14)/51)-(R13+R14),0.9))&lt;0,0,(ROUNDDOWN((SUM(O13:O14)/51)-(R13+R14),0.9)))</f>
        <v>0</v>
      </c>
      <c r="U13" s="49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33</v>
      </c>
      <c r="E14" s="10">
        <f>'التمام الصباحي'!N16</f>
        <v>3.5</v>
      </c>
      <c r="F14" s="72">
        <f>'التمام الصباحي'!Q16</f>
        <v>28</v>
      </c>
      <c r="G14" s="10">
        <f>'التمام الصباحي'!T16</f>
        <v>1.5454545454545454</v>
      </c>
      <c r="H14" s="5">
        <f>'التمام الصباحي'!W16</f>
        <v>24</v>
      </c>
      <c r="I14" s="10">
        <f>'التمام الصباحي'!Z16</f>
        <v>3.096774193548387</v>
      </c>
      <c r="K14" s="88" t="s">
        <v>21</v>
      </c>
      <c r="L14" s="80"/>
      <c r="M14" s="41">
        <f t="shared" si="1"/>
        <v>17</v>
      </c>
      <c r="N14" s="41">
        <f t="shared" si="2"/>
        <v>17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491"/>
      <c r="T14" s="491"/>
      <c r="U14" s="49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27</v>
      </c>
      <c r="E15" s="10">
        <f>'التمام الصباحي'!N17</f>
        <v>5.25</v>
      </c>
      <c r="F15" s="72">
        <f>'التمام الصباحي'!Q17</f>
        <v>9</v>
      </c>
      <c r="G15" s="10">
        <f>'التمام الصباحي'!T17</f>
        <v>3.5</v>
      </c>
      <c r="H15" s="5">
        <f>'التمام الصباحي'!W17</f>
        <v>66</v>
      </c>
      <c r="I15" s="10">
        <f>'التمام الصباحي'!Z17</f>
        <v>1.78125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70</v>
      </c>
      <c r="E16" s="10">
        <f>'التمام الصباحي'!N18</f>
        <v>2</v>
      </c>
      <c r="F16" s="72">
        <f>'التمام الصباحي'!Q18</f>
        <v>6</v>
      </c>
      <c r="G16" s="10">
        <f>'التمام الصباحي'!T18</f>
        <v>6</v>
      </c>
      <c r="H16" s="5">
        <f>'التمام الصباحي'!W18</f>
        <v>24</v>
      </c>
      <c r="I16" s="10">
        <f>'التمام الصباحي'!Z18</f>
        <v>7.2</v>
      </c>
      <c r="K16" s="85" t="s">
        <v>23</v>
      </c>
      <c r="L16" s="80"/>
      <c r="M16" s="41">
        <f t="shared" si="1"/>
        <v>68</v>
      </c>
      <c r="N16" s="41">
        <f t="shared" si="2"/>
        <v>0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488">
        <f>IF((ROUNDDOWN((SUM(M16:M17)/51)-(R16+R17),0.9))&lt;0,0,(ROUNDDOWN((SUM(M16:M17)/51)-(R16+R17),0.9)))</f>
        <v>0</v>
      </c>
      <c r="T16" s="488">
        <f>IF((ROUNDDOWN((SUM(O16:O17)/51)-(R16+R17),0.9))&lt;0,0,(ROUNDDOWN((SUM(O16:O17)/51)-(R16+R17),0.9)))</f>
        <v>0</v>
      </c>
      <c r="U16" s="488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6</v>
      </c>
      <c r="E17" s="10">
        <f>'التمام الصباحي'!N19</f>
        <v>10.8</v>
      </c>
      <c r="F17" s="72">
        <f>'التمام الصباحي'!Q19</f>
        <v>16</v>
      </c>
      <c r="G17" s="10">
        <f>'التمام الصباحي'!T19</f>
        <v>7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489"/>
      <c r="T17" s="489"/>
      <c r="U17" s="489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23</v>
      </c>
      <c r="E18" s="10">
        <f>'التمام الصباحي'!N20</f>
        <v>16.75</v>
      </c>
      <c r="F18" s="72">
        <f>'التمام الصباحي'!Q20</f>
        <v>4</v>
      </c>
      <c r="G18" s="10">
        <f>'التمام الصباحي'!T20</f>
        <v>8.6666666666666661</v>
      </c>
      <c r="H18" s="5">
        <f>'التمام الصباحي'!W20</f>
        <v>31</v>
      </c>
      <c r="I18" s="10">
        <f>'التمام الصباحي'!Z20</f>
        <v>14.9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21</v>
      </c>
      <c r="E19" s="10">
        <f>'التمام الصباحي'!N21</f>
        <v>2.2999999999999998</v>
      </c>
      <c r="F19" s="72">
        <f>'التمام الصباحي'!Q21</f>
        <v>18</v>
      </c>
      <c r="G19" s="10">
        <f>'التمام الصباحي'!T21</f>
        <v>1.3333333333333333</v>
      </c>
      <c r="H19" s="5">
        <f>'التمام الصباحي'!W21</f>
        <v>33</v>
      </c>
      <c r="I19" s="10">
        <f>'التمام الصباحي'!Z21</f>
        <v>5.4444444444444446</v>
      </c>
      <c r="K19" s="85" t="s">
        <v>25</v>
      </c>
      <c r="L19" s="80"/>
      <c r="M19" s="41">
        <f t="shared" si="1"/>
        <v>17</v>
      </c>
      <c r="N19" s="41">
        <f t="shared" si="2"/>
        <v>17</v>
      </c>
      <c r="O19" s="41">
        <f t="shared" si="4"/>
        <v>17</v>
      </c>
      <c r="P19" s="81"/>
      <c r="Q19" s="86" t="s">
        <v>25</v>
      </c>
      <c r="R19" s="87">
        <f t="shared" si="0"/>
        <v>1</v>
      </c>
      <c r="S19" s="490">
        <f>IF((ROUNDDOWN((SUM(M19:M20)/51)-(R19+R20),0.9))&lt;0,0,(ROUNDDOWN((SUM(M19:M20)/51)-(R19+R20),0.9)))</f>
        <v>0</v>
      </c>
      <c r="T19" s="490">
        <f>IF((ROUNDDOWN((SUM(O19:O20)/51)-(R19+R20),0.9))&lt;0,0,(ROUNDDOWN((SUM(O19:O20)/51)-(R19+R20),0.9)))</f>
        <v>0</v>
      </c>
      <c r="U19" s="49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52</v>
      </c>
      <c r="E20" s="10">
        <f>'التمام الصباحي'!N22</f>
        <v>4.75</v>
      </c>
      <c r="F20" s="72">
        <f>'التمام الصباحي'!Q22</f>
        <v>16</v>
      </c>
      <c r="G20" s="10">
        <f>'التمام الصباحي'!T22</f>
        <v>7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51</v>
      </c>
      <c r="N20" s="41">
        <f t="shared" si="2"/>
        <v>0</v>
      </c>
      <c r="O20" s="80"/>
      <c r="P20" s="81"/>
      <c r="Q20" s="89" t="s">
        <v>27</v>
      </c>
      <c r="R20" s="90">
        <f t="shared" si="0"/>
        <v>1</v>
      </c>
      <c r="S20" s="491"/>
      <c r="T20" s="491"/>
      <c r="U20" s="491"/>
    </row>
    <row r="21" spans="1:21" ht="17.25" thickTop="1" thickBot="1" x14ac:dyDescent="0.3">
      <c r="A21" s="77" t="s">
        <v>28</v>
      </c>
      <c r="B21" s="5">
        <f>'التمام الصباحي'!E23</f>
        <v>6</v>
      </c>
      <c r="C21" s="9">
        <f>'التمام الصباحي'!H23</f>
        <v>40</v>
      </c>
      <c r="D21" s="72">
        <f>'التمام الصباحي'!K23</f>
        <v>13</v>
      </c>
      <c r="E21" s="10">
        <f>'التمام الصباحي'!N23</f>
        <v>15.666666666666666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38</v>
      </c>
      <c r="I21" s="10">
        <f>'التمام الصباحي'!Z23</f>
        <v>6.833333333333333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0</v>
      </c>
      <c r="S21" s="486">
        <f>IF((ROUNDDOWN((SUM(M21:M22)/51)-(R21+R22),0.9))&lt;0,0,(ROUNDDOWN((SUM(M21:M22)/51)-(R21+R22),0.9)))</f>
        <v>0</v>
      </c>
      <c r="T21" s="488">
        <f>IF((ROUNDDOWN((SUM(O21:O22)/51)-(R21+R22),0.9))&lt;0,0,(ROUNDDOWN((SUM(O21:O22)/51)-(R21+R22),0.9)))</f>
        <v>0</v>
      </c>
      <c r="U21" s="488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40</v>
      </c>
      <c r="E22" s="10">
        <f>'التمام الصباحي'!N24</f>
        <v>3.3333333333333335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30</v>
      </c>
      <c r="I22" s="10">
        <f>'التمام الصباحي'!Z24</f>
        <v>10</v>
      </c>
      <c r="K22" s="79" t="s">
        <v>29</v>
      </c>
      <c r="L22" s="80"/>
      <c r="M22" s="41">
        <f t="shared" si="1"/>
        <v>34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1</v>
      </c>
      <c r="S22" s="486"/>
      <c r="T22" s="489"/>
      <c r="U22" s="489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13</v>
      </c>
      <c r="E23" s="10">
        <f>'التمام الصباحي'!N25</f>
        <v>5.1333333333333337</v>
      </c>
      <c r="F23" s="72">
        <f>'التمام الصباحي'!Q25</f>
        <v>6</v>
      </c>
      <c r="G23" s="10">
        <f>'التمام الصباحي'!T25</f>
        <v>8</v>
      </c>
      <c r="H23" s="5">
        <f>'التمام الصباحي'!W25</f>
        <v>31</v>
      </c>
      <c r="I23" s="10">
        <f>'التمام الصباحي'!Z25</f>
        <v>2.8653846153846154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17</v>
      </c>
      <c r="P23" s="81"/>
      <c r="Q23" s="86" t="s">
        <v>30</v>
      </c>
      <c r="R23" s="87">
        <f t="shared" si="0"/>
        <v>0</v>
      </c>
      <c r="S23" s="490">
        <f>IF((ROUNDDOWN((SUM(M23:M24)/51)-(R23+R24),0.9))&lt;0,0,(ROUNDDOWN((SUM(M23:M24)/51)-(R23+R24),0.9)))</f>
        <v>0</v>
      </c>
      <c r="T23" s="490">
        <f>IF((ROUNDDOWN((SUM(O23:O24)/51)-(R23+R24),0.9))&lt;0,0,(ROUNDDOWN((SUM(O23:O24)/51)-(R23+R24),0.9)))</f>
        <v>0</v>
      </c>
      <c r="U23" s="49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40</v>
      </c>
      <c r="E24" s="10">
        <f>'التمام الصباحي'!N26</f>
        <v>2.9411764705882355</v>
      </c>
      <c r="F24" s="72">
        <f>'التمام الصباحي'!Q26</f>
        <v>16</v>
      </c>
      <c r="G24" s="10">
        <f>'التمام الصباحي'!T26</f>
        <v>3.5</v>
      </c>
      <c r="H24" s="5">
        <f>'التمام الصباحي'!W26</f>
        <v>40</v>
      </c>
      <c r="I24" s="10">
        <f>'التمام الصباحي'!Z26</f>
        <v>2.8571428571428572</v>
      </c>
      <c r="K24" s="88" t="s">
        <v>31</v>
      </c>
      <c r="L24" s="80"/>
      <c r="M24" s="41">
        <f t="shared" si="1"/>
        <v>34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491"/>
      <c r="T24" s="491"/>
      <c r="U24" s="49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90</v>
      </c>
      <c r="E25" s="10">
        <f>'التمام الصباحي'!N27</f>
        <v>0</v>
      </c>
      <c r="F25" s="72">
        <f>'التمام الصباحي'!Q27</f>
        <v>30</v>
      </c>
      <c r="G25" s="10">
        <f>'التمام الصباحي'!T27</f>
        <v>0</v>
      </c>
      <c r="H25" s="5">
        <f>'التمام الصباحي'!W27</f>
        <v>180</v>
      </c>
      <c r="I25" s="10">
        <f>'التمام الصباحي'!Z27</f>
        <v>0</v>
      </c>
      <c r="K25" s="91" t="s">
        <v>32</v>
      </c>
      <c r="L25" s="80"/>
      <c r="M25" s="41">
        <f t="shared" si="1"/>
        <v>85</v>
      </c>
      <c r="N25" s="41">
        <f t="shared" si="2"/>
        <v>17</v>
      </c>
      <c r="O25" s="41">
        <f t="shared" si="4"/>
        <v>102</v>
      </c>
      <c r="P25" s="81"/>
      <c r="Q25" s="92" t="s">
        <v>32</v>
      </c>
      <c r="R25" s="93">
        <f t="shared" si="0"/>
        <v>4</v>
      </c>
      <c r="S25" s="486">
        <f>IF((ROUNDDOWN((SUM(M25:M26)/51)-(R25+R26),0.9))&lt;0,0,(ROUNDDOWN((SUM(M25:M26)/51)-(R25+R26),0.9)))</f>
        <v>0</v>
      </c>
      <c r="T25" s="486">
        <f>IF((ROUNDDOWN((SUM(O25:O26)/51)-(R25+R26),0.9))&lt;0,0,(ROUNDDOWN((SUM(O25:O26)/51)-(R25+R26),0.9)))</f>
        <v>0</v>
      </c>
      <c r="U25" s="486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12</v>
      </c>
      <c r="E26" s="10">
        <f>'التمام الصباحي'!N28</f>
        <v>8.6666666666666661</v>
      </c>
      <c r="F26" s="72">
        <f>'التمام الصباحي'!Q28</f>
        <v>10</v>
      </c>
      <c r="G26" s="10">
        <f>'التمام الصباحي'!T28</f>
        <v>10</v>
      </c>
      <c r="H26" s="5">
        <f>'التمام الصباحي'!W28</f>
        <v>14</v>
      </c>
      <c r="I26" s="10">
        <f>'التمام الصباحي'!Z28</f>
        <v>6.384615384615385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0</v>
      </c>
      <c r="P26" s="81"/>
      <c r="Q26" s="51" t="s">
        <v>33</v>
      </c>
      <c r="R26" s="103">
        <f t="shared" si="0"/>
        <v>0</v>
      </c>
      <c r="S26" s="487"/>
      <c r="T26" s="487"/>
      <c r="U26" s="487"/>
    </row>
    <row r="29" spans="1:21" ht="15.75" x14ac:dyDescent="0.2">
      <c r="K29" s="159" t="s">
        <v>117</v>
      </c>
      <c r="M29">
        <f>SUM(L8:O26)</f>
        <v>850</v>
      </c>
      <c r="U29" s="138">
        <f>SUM(R8:U26)</f>
        <v>13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00" t="s">
        <v>123</v>
      </c>
      <c r="C3" s="500"/>
      <c r="D3" s="500"/>
      <c r="F3" s="500" t="s">
        <v>124</v>
      </c>
      <c r="G3" s="500"/>
      <c r="H3" s="500"/>
      <c r="J3" s="409" t="s">
        <v>125</v>
      </c>
      <c r="K3" s="409"/>
      <c r="M3" s="409" t="s">
        <v>127</v>
      </c>
      <c r="N3" s="409"/>
      <c r="P3" s="409" t="s">
        <v>126</v>
      </c>
      <c r="Q3" s="409"/>
    </row>
    <row r="4" spans="2:20" ht="15.75" thickBot="1" x14ac:dyDescent="0.25">
      <c r="B4" s="453" t="s">
        <v>3</v>
      </c>
      <c r="C4" s="401" t="s">
        <v>84</v>
      </c>
      <c r="D4" s="401" t="s">
        <v>88</v>
      </c>
      <c r="F4" s="453" t="s">
        <v>3</v>
      </c>
      <c r="G4" s="401" t="s">
        <v>84</v>
      </c>
      <c r="H4" s="401" t="s">
        <v>88</v>
      </c>
      <c r="J4" s="453" t="s">
        <v>3</v>
      </c>
      <c r="K4" s="401" t="s">
        <v>85</v>
      </c>
      <c r="L4" s="512"/>
      <c r="M4" s="453" t="s">
        <v>3</v>
      </c>
      <c r="N4" s="401" t="s">
        <v>109</v>
      </c>
      <c r="P4" s="453" t="s">
        <v>3</v>
      </c>
      <c r="Q4" s="401" t="s">
        <v>90</v>
      </c>
    </row>
    <row r="5" spans="2:20" ht="15.75" thickBot="1" x14ac:dyDescent="0.25">
      <c r="B5" s="455"/>
      <c r="C5" s="401"/>
      <c r="D5" s="401"/>
      <c r="F5" s="455"/>
      <c r="G5" s="401"/>
      <c r="H5" s="401"/>
      <c r="J5" s="455"/>
      <c r="K5" s="401"/>
      <c r="L5" s="512"/>
      <c r="M5" s="455"/>
      <c r="N5" s="401"/>
      <c r="P5" s="455"/>
      <c r="Q5" s="401"/>
    </row>
    <row r="6" spans="2:20" ht="16.5" thickBot="1" x14ac:dyDescent="0.25">
      <c r="B6" s="165" t="s">
        <v>120</v>
      </c>
      <c r="C6" s="495">
        <f>IF(G20&gt;H20,$C$21*2*$K$21,IF(G20=H20,$C$21*2*$K$21,0))</f>
        <v>72</v>
      </c>
      <c r="D6" s="495">
        <f>IF(G20&gt;H20,$D$21*2*$L$21,IF(G20=H20,$D$21*2*$L$21,0))</f>
        <v>0</v>
      </c>
      <c r="F6" s="165" t="s">
        <v>120</v>
      </c>
      <c r="G6" s="495">
        <f>IF(H20&gt;G20,$C$21*2*$K$21,0)</f>
        <v>0</v>
      </c>
      <c r="H6" s="495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95">
        <f>C36*2*P25</f>
        <v>0</v>
      </c>
      <c r="P6" s="165" t="s">
        <v>30</v>
      </c>
      <c r="Q6" s="495">
        <f>C42*2*O28</f>
        <v>0</v>
      </c>
    </row>
    <row r="7" spans="2:20" ht="16.5" thickBot="1" x14ac:dyDescent="0.25">
      <c r="B7" s="165" t="s">
        <v>121</v>
      </c>
      <c r="C7" s="496"/>
      <c r="D7" s="496"/>
      <c r="F7" s="165" t="s">
        <v>121</v>
      </c>
      <c r="G7" s="496"/>
      <c r="H7" s="496"/>
      <c r="J7" s="165" t="s">
        <v>23</v>
      </c>
      <c r="K7" s="495">
        <f>C32*2*N23</f>
        <v>0</v>
      </c>
      <c r="M7" s="165" t="s">
        <v>27</v>
      </c>
      <c r="N7" s="496"/>
      <c r="P7" s="165" t="s">
        <v>31</v>
      </c>
      <c r="Q7" s="496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96"/>
      <c r="M8" s="165" t="s">
        <v>112</v>
      </c>
      <c r="N8" s="164"/>
      <c r="P8" s="165" t="s">
        <v>32</v>
      </c>
      <c r="Q8" s="495">
        <f>C44*2*O29</f>
        <v>0</v>
      </c>
    </row>
    <row r="9" spans="2:20" ht="16.5" thickBot="1" x14ac:dyDescent="0.25">
      <c r="B9" s="165" t="s">
        <v>16</v>
      </c>
      <c r="C9" s="495">
        <f>IF(G20&gt;H20,$C$24*2*$K$18,IF(G20=H20,$C$24*2*$K$18,0))</f>
        <v>0</v>
      </c>
      <c r="D9" s="495">
        <f>IF(G20&gt;H20,$D$24*2*$L$18,IF(G20=H20,$D$24*2*$L$18,0))</f>
        <v>0</v>
      </c>
      <c r="F9" s="165" t="s">
        <v>16</v>
      </c>
      <c r="G9" s="495">
        <f>IF(H20&gt;G20,$C$24*2*$K$18,0)</f>
        <v>0</v>
      </c>
      <c r="H9" s="495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95">
        <f>C39*2*P27</f>
        <v>608</v>
      </c>
      <c r="P9" s="165" t="s">
        <v>33</v>
      </c>
      <c r="Q9" s="496"/>
    </row>
    <row r="10" spans="2:20" ht="16.5" thickBot="1" x14ac:dyDescent="0.25">
      <c r="B10" s="165" t="s">
        <v>17</v>
      </c>
      <c r="C10" s="496"/>
      <c r="D10" s="496"/>
      <c r="F10" s="165" t="s">
        <v>17</v>
      </c>
      <c r="G10" s="496"/>
      <c r="H10" s="496"/>
      <c r="M10" s="165" t="s">
        <v>29</v>
      </c>
      <c r="N10" s="496"/>
    </row>
    <row r="11" spans="2:20" ht="16.5" thickBot="1" x14ac:dyDescent="0.25">
      <c r="B11" s="165" t="s">
        <v>18</v>
      </c>
      <c r="C11" s="495">
        <f>IF(G20&gt;H20,$C$26*2*$K$19,IF(G20=H20,$C$26*2*$K$19,0))</f>
        <v>64</v>
      </c>
      <c r="D11" s="495">
        <f>IF(G20&gt;H20,$D$26*2*$L$19,IF(G20=H20,$D$26*2*$L$19,0))</f>
        <v>0</v>
      </c>
      <c r="F11" s="165" t="s">
        <v>18</v>
      </c>
      <c r="G11" s="495">
        <f>IF(H20&gt;G20,$C$26*2*$K$19,0)</f>
        <v>0</v>
      </c>
      <c r="H11" s="495">
        <f>IF(H20&gt;G20,$D$26*2*$L$19,0)</f>
        <v>0</v>
      </c>
    </row>
    <row r="12" spans="2:20" ht="16.5" thickBot="1" x14ac:dyDescent="0.25">
      <c r="B12" s="165" t="s">
        <v>19</v>
      </c>
      <c r="C12" s="496"/>
      <c r="D12" s="496"/>
      <c r="F12" s="165" t="s">
        <v>19</v>
      </c>
      <c r="G12" s="496"/>
      <c r="H12" s="496"/>
      <c r="J12" s="501" t="s">
        <v>154</v>
      </c>
      <c r="K12" s="182">
        <f>K6+K7+K9</f>
        <v>0</v>
      </c>
      <c r="M12" s="501" t="s">
        <v>154</v>
      </c>
      <c r="N12" s="182">
        <f>SUM(N6:N10)</f>
        <v>608</v>
      </c>
      <c r="P12" s="501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495">
        <f>IF(G20&gt;H20,$C$28*2*$K$20,IF(G20=H20,$C$28*2*$K$20,0))</f>
        <v>156</v>
      </c>
      <c r="D13" s="495">
        <f>IF(G20&gt;H20,$D$28*2*$L$20,IF(G20=H20,$D$28*2*$L$20,0))</f>
        <v>110</v>
      </c>
      <c r="F13" s="165" t="s">
        <v>20</v>
      </c>
      <c r="G13" s="495">
        <f>IF(H20&gt;G20,$C$28*2*$K$20,0)</f>
        <v>0</v>
      </c>
      <c r="H13" s="495">
        <f>IF(H20&gt;G20,$D$28*2*$L$20,0)</f>
        <v>0</v>
      </c>
      <c r="J13" s="501"/>
      <c r="K13" s="182"/>
      <c r="M13" s="501"/>
      <c r="N13" s="182"/>
      <c r="P13" s="501"/>
      <c r="Q13" s="182"/>
    </row>
    <row r="14" spans="2:20" ht="16.5" thickBot="1" x14ac:dyDescent="0.25">
      <c r="B14" s="165" t="s">
        <v>21</v>
      </c>
      <c r="C14" s="496"/>
      <c r="D14" s="496"/>
      <c r="F14" s="165" t="s">
        <v>21</v>
      </c>
      <c r="G14" s="496"/>
      <c r="H14" s="496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402</v>
      </c>
      <c r="H16" s="166">
        <f>SUM(G6:H14)</f>
        <v>0</v>
      </c>
      <c r="J16" s="508" t="s">
        <v>130</v>
      </c>
      <c r="K16" s="502" t="s">
        <v>131</v>
      </c>
      <c r="L16" s="502"/>
      <c r="M16" s="502"/>
      <c r="N16" s="502" t="s">
        <v>85</v>
      </c>
      <c r="O16" s="502" t="s">
        <v>132</v>
      </c>
      <c r="P16" s="502" t="s">
        <v>86</v>
      </c>
      <c r="Q16" s="502" t="s">
        <v>119</v>
      </c>
      <c r="R16" s="498" t="s">
        <v>133</v>
      </c>
      <c r="S16" s="498" t="s">
        <v>134</v>
      </c>
      <c r="T16" s="498" t="s">
        <v>135</v>
      </c>
    </row>
    <row r="17" spans="2:20" ht="18" x14ac:dyDescent="0.2">
      <c r="B17" s="181"/>
      <c r="J17" s="509"/>
      <c r="K17" s="169" t="s">
        <v>136</v>
      </c>
      <c r="L17" s="169" t="s">
        <v>137</v>
      </c>
      <c r="M17" s="169" t="s">
        <v>138</v>
      </c>
      <c r="N17" s="503"/>
      <c r="O17" s="503"/>
      <c r="P17" s="503"/>
      <c r="Q17" s="503"/>
      <c r="R17" s="499"/>
      <c r="S17" s="499"/>
      <c r="T17" s="499"/>
    </row>
    <row r="18" spans="2:20" ht="16.5" thickBot="1" x14ac:dyDescent="0.25">
      <c r="B18" s="500" t="s">
        <v>129</v>
      </c>
      <c r="C18" s="500"/>
      <c r="D18" s="500"/>
      <c r="F18" s="500"/>
      <c r="G18" s="500"/>
      <c r="H18" s="500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53" t="s">
        <v>3</v>
      </c>
      <c r="C19" s="459" t="s">
        <v>84</v>
      </c>
      <c r="D19" s="459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55"/>
      <c r="C20" s="459"/>
      <c r="D20" s="459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95">
        <f>ROUNDDOWN(SUM(المستودعات!C5:F5)/51,0.9)</f>
        <v>1</v>
      </c>
      <c r="D21" s="495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96"/>
      <c r="D22" s="496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95">
        <f>ROUNDDOWN(SUM(المستودعات!C9:F10)/51,0.9)</f>
        <v>0</v>
      </c>
      <c r="D24" s="495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96"/>
      <c r="D25" s="496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95">
        <f>ROUNDDOWN(SUM(المستودعات!C11:F12)/51,0.9)</f>
        <v>1</v>
      </c>
      <c r="D26" s="495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96"/>
      <c r="D27" s="496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95">
        <f>ROUNDDOWN(SUM(المستودعات!C13:F14)/51,0.9)</f>
        <v>2</v>
      </c>
      <c r="D28" s="495">
        <f>ROUNDDOWN(SUM(المستودعات!G13:I14)/51,0.9)</f>
        <v>1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96"/>
      <c r="D29" s="496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6" t="s">
        <v>85</v>
      </c>
      <c r="C30" s="457"/>
      <c r="D30" s="458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10">
        <f>ROUNDDOWN(SUM(المستودعات!O5:Q5)/51,0.9)</f>
        <v>0</v>
      </c>
      <c r="D31" s="511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04">
        <f>ROUNDDOWN(SUM(المستودعات!O6:Q7)/51,0.9)</f>
        <v>0</v>
      </c>
      <c r="D32" s="505"/>
    </row>
    <row r="33" spans="2:4" ht="16.5" thickBot="1" x14ac:dyDescent="0.25">
      <c r="B33" s="165" t="s">
        <v>24</v>
      </c>
      <c r="C33" s="506"/>
      <c r="D33" s="507"/>
    </row>
    <row r="34" spans="2:4" ht="16.5" thickBot="1" x14ac:dyDescent="0.25">
      <c r="B34" s="165" t="s">
        <v>26</v>
      </c>
      <c r="C34" s="510">
        <f>ROUNDDOWN(SUM(المستودعات!O8:Q8)/51,0.9)</f>
        <v>0</v>
      </c>
      <c r="D34" s="511"/>
    </row>
    <row r="35" spans="2:4" ht="22.5" customHeight="1" thickBot="1" x14ac:dyDescent="0.25">
      <c r="B35" s="456" t="s">
        <v>128</v>
      </c>
      <c r="C35" s="457"/>
      <c r="D35" s="458"/>
    </row>
    <row r="36" spans="2:4" ht="16.5" thickBot="1" x14ac:dyDescent="0.25">
      <c r="B36" s="165" t="s">
        <v>25</v>
      </c>
      <c r="C36" s="504">
        <f>ROUNDDOWN(SUM(المستودعات!J23:K24)/51,0.9)</f>
        <v>0</v>
      </c>
      <c r="D36" s="505"/>
    </row>
    <row r="37" spans="2:4" ht="16.5" thickBot="1" x14ac:dyDescent="0.25">
      <c r="B37" s="165" t="s">
        <v>27</v>
      </c>
      <c r="C37" s="506"/>
      <c r="D37" s="507"/>
    </row>
    <row r="38" spans="2:4" ht="16.5" thickBot="1" x14ac:dyDescent="0.25">
      <c r="B38" s="96" t="s">
        <v>112</v>
      </c>
      <c r="C38" s="510"/>
      <c r="D38" s="511"/>
    </row>
    <row r="39" spans="2:4" ht="16.5" thickBot="1" x14ac:dyDescent="0.25">
      <c r="B39" s="165" t="s">
        <v>28</v>
      </c>
      <c r="C39" s="504">
        <f>ROUNDDOWN(SUM(المستودعات!C28:I29)/51,0.9)</f>
        <v>2</v>
      </c>
      <c r="D39" s="505"/>
    </row>
    <row r="40" spans="2:4" ht="16.5" thickBot="1" x14ac:dyDescent="0.25">
      <c r="B40" s="165" t="s">
        <v>29</v>
      </c>
      <c r="C40" s="506"/>
      <c r="D40" s="507"/>
    </row>
    <row r="41" spans="2:4" ht="21.75" customHeight="1" thickBot="1" x14ac:dyDescent="0.25">
      <c r="B41" s="456" t="s">
        <v>90</v>
      </c>
      <c r="C41" s="457"/>
      <c r="D41" s="458"/>
    </row>
    <row r="42" spans="2:4" ht="16.5" thickBot="1" x14ac:dyDescent="0.25">
      <c r="B42" s="165" t="s">
        <v>30</v>
      </c>
      <c r="C42" s="504">
        <f>ROUNDDOWN(SUM(المستودعات!Q15:Q16)/51,0.9)</f>
        <v>0</v>
      </c>
      <c r="D42" s="505"/>
    </row>
    <row r="43" spans="2:4" ht="16.5" thickBot="1" x14ac:dyDescent="0.25">
      <c r="B43" s="165" t="s">
        <v>31</v>
      </c>
      <c r="C43" s="506"/>
      <c r="D43" s="507"/>
    </row>
    <row r="44" spans="2:4" ht="16.5" thickBot="1" x14ac:dyDescent="0.25">
      <c r="B44" s="165" t="s">
        <v>32</v>
      </c>
      <c r="C44" s="504">
        <f>ROUNDDOWN(SUM(المستودعات!Q17:Q18)/51,0.9)</f>
        <v>0</v>
      </c>
      <c r="D44" s="505"/>
    </row>
    <row r="45" spans="2:4" ht="16.5" thickBot="1" x14ac:dyDescent="0.25">
      <c r="B45" s="165" t="s">
        <v>33</v>
      </c>
      <c r="C45" s="506"/>
      <c r="D45" s="507"/>
    </row>
  </sheetData>
  <customSheetViews>
    <customSheetView guid="{8317B6D8-8A99-4EB0-9DBC-8E9AE0170A4B}" state="hidden" topLeftCell="C1">
      <selection activeCell="L13" sqref="L13"/>
      <pageMargins left="0.7" right="0.7" top="0.75" bottom="0.75" header="0.3" footer="0.3"/>
    </customSheetView>
    <customSheetView guid="{18C0F7AC-4BB1-46DE-8A01-8E31FE0585FC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3" t="s">
        <v>103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2" t="s">
        <v>104</v>
      </c>
      <c r="C4" s="382"/>
      <c r="D4" s="433"/>
      <c r="E4" s="514" t="s">
        <v>84</v>
      </c>
      <c r="F4" s="515"/>
      <c r="G4" s="515"/>
      <c r="H4" s="390"/>
    </row>
    <row r="5" spans="1:15" ht="15.75" thickBot="1" x14ac:dyDescent="0.25">
      <c r="A5" s="432"/>
      <c r="B5" s="389" t="s">
        <v>81</v>
      </c>
      <c r="C5" s="515"/>
      <c r="D5" s="516"/>
      <c r="E5" s="112" t="s">
        <v>81</v>
      </c>
      <c r="F5" s="389" t="s">
        <v>87</v>
      </c>
      <c r="G5" s="515"/>
      <c r="H5" s="390"/>
      <c r="K5" s="453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32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55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85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85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0</v>
      </c>
      <c r="M9" s="41">
        <f>'خطة الإمداد'!M34</f>
        <v>68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0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34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51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1664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1098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3575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2500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8317B6D8-8A99-4EB0-9DBC-8E9AE0170A4B}">
      <selection activeCell="A8" sqref="A8:H8"/>
      <pageMargins left="0.7" right="0.7" top="0.75" bottom="0.75" header="0.3" footer="0.3"/>
      <pageSetup paperSize="9" orientation="portrait" r:id="rId1"/>
    </customSheetView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0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3" t="s">
        <v>105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9" t="s">
        <v>85</v>
      </c>
      <c r="C4" s="515"/>
      <c r="D4" s="515"/>
      <c r="E4" s="515"/>
      <c r="F4" s="515"/>
      <c r="G4" s="515"/>
      <c r="H4" s="390"/>
      <c r="I4" s="278" t="s">
        <v>119</v>
      </c>
    </row>
    <row r="5" spans="1:15" ht="15.75" thickBot="1" x14ac:dyDescent="0.25">
      <c r="A5" s="432"/>
      <c r="B5" s="120" t="s">
        <v>81</v>
      </c>
      <c r="C5" s="517" t="s">
        <v>87</v>
      </c>
      <c r="D5" s="492"/>
      <c r="E5" s="518"/>
      <c r="F5" s="492" t="s">
        <v>83</v>
      </c>
      <c r="G5" s="492"/>
      <c r="H5" s="493"/>
      <c r="I5" s="279" t="s">
        <v>83</v>
      </c>
      <c r="K5" s="45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5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34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34</v>
      </c>
      <c r="N8" s="41">
        <f>'خطة الإمداد'!N41</f>
        <v>0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68</v>
      </c>
      <c r="N9" s="41">
        <f>'خطة الإمداد'!N42</f>
        <v>0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22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23"/>
      <c r="C16" s="52" t="s">
        <v>93</v>
      </c>
      <c r="D16" s="53">
        <f>[1]التعاون.ملخص!$D$6</f>
        <v>0</v>
      </c>
    </row>
    <row r="17" spans="2:4" ht="16.5" thickBot="1" x14ac:dyDescent="0.25">
      <c r="B17" s="523"/>
      <c r="C17" s="59" t="s">
        <v>87</v>
      </c>
      <c r="D17" s="60" t="e">
        <f>[1]موبيل.ملخص!$D$5</f>
        <v>#REF!</v>
      </c>
    </row>
    <row r="18" spans="2:4" ht="16.5" thickBot="1" x14ac:dyDescent="0.25">
      <c r="B18" s="520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9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20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9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21"/>
      <c r="C22" s="61" t="s">
        <v>87</v>
      </c>
      <c r="D22" s="62" t="e">
        <f>[1]موبيل.ملخص!$D$6</f>
        <v>#REF!</v>
      </c>
    </row>
  </sheetData>
  <customSheetViews>
    <customSheetView guid="{8317B6D8-8A99-4EB0-9DBC-8E9AE0170A4B}">
      <selection activeCell="H7" sqref="H7"/>
      <pageMargins left="0.7" right="0.7" top="0.75" bottom="0.75" header="0.3" footer="0.3"/>
    </customSheetView>
    <customSheetView guid="{18C0F7AC-4BB1-46DE-8A01-8E31FE0585FC}">
      <selection activeCell="D15" sqref="D15:D22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8317B6D8-8A99-4EB0-9DBC-8E9AE0170A4B}" state="hidden">
      <selection activeCell="B2" sqref="B2:H5"/>
      <pageMargins left="0.7" right="0.7" top="0.75" bottom="0.75" header="0.3" footer="0.3"/>
    </customSheetView>
    <customSheetView guid="{18C0F7AC-4BB1-46DE-8A01-8E31FE0585FC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3" t="s">
        <v>106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89" t="s">
        <v>91</v>
      </c>
      <c r="C4" s="515"/>
      <c r="D4" s="515"/>
      <c r="E4" s="515"/>
      <c r="F4" s="515"/>
      <c r="G4" s="515"/>
      <c r="H4" s="515"/>
      <c r="I4" s="390"/>
    </row>
    <row r="5" spans="1:15" ht="15.75" thickBot="1" x14ac:dyDescent="0.25">
      <c r="A5" s="432"/>
      <c r="B5" s="494" t="s">
        <v>81</v>
      </c>
      <c r="C5" s="494"/>
      <c r="D5" s="510"/>
      <c r="E5" s="527" t="s">
        <v>83</v>
      </c>
      <c r="F5" s="528"/>
      <c r="G5" s="511" t="s">
        <v>87</v>
      </c>
      <c r="H5" s="494"/>
      <c r="I5" s="494"/>
      <c r="K5" s="45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5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5"/>
      <c r="C15" s="52" t="s">
        <v>93</v>
      </c>
      <c r="D15" s="57">
        <f>[1]التعاون.ملخص!$D$7</f>
        <v>166</v>
      </c>
    </row>
    <row r="16" spans="1:15" ht="16.5" thickBot="1" x14ac:dyDescent="0.3">
      <c r="B16" s="52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100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5"/>
      <c r="C20" s="70" t="s">
        <v>93</v>
      </c>
      <c r="D20" s="71">
        <f>[1]التعاون.ملخص!$D$9</f>
        <v>232</v>
      </c>
    </row>
    <row r="21" spans="2:4" ht="16.5" thickBot="1" x14ac:dyDescent="0.3">
      <c r="B21" s="526"/>
      <c r="C21" s="70" t="s">
        <v>87</v>
      </c>
      <c r="D21" s="71" t="e">
        <f>[1]موبيل.ملخص!$D$9</f>
        <v>#REF!</v>
      </c>
    </row>
  </sheetData>
  <customSheetViews>
    <customSheetView guid="{8317B6D8-8A99-4EB0-9DBC-8E9AE0170A4B}">
      <selection activeCell="A4" sqref="A4:I10"/>
      <pageMargins left="0.7" right="0.7" top="0.75" bottom="0.75" header="0.3" footer="0.3"/>
    </customSheetView>
    <customSheetView guid="{18C0F7AC-4BB1-46DE-8A01-8E31FE0585FC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8317B6D8-8A99-4EB0-9DBC-8E9AE0170A4B}" state="hidden">
      <selection activeCell="B2" sqref="B2:I5"/>
      <pageMargins left="0.7" right="0.7" top="0.75" bottom="0.75" header="0.3" footer="0.3"/>
    </customSheetView>
    <customSheetView guid="{18C0F7AC-4BB1-46DE-8A01-8E31FE0585FC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53" t="s">
        <v>3</v>
      </c>
      <c r="B4" s="389" t="s">
        <v>90</v>
      </c>
      <c r="C4" s="515"/>
      <c r="D4" s="515"/>
      <c r="E4" s="515"/>
      <c r="F4" s="390"/>
    </row>
    <row r="5" spans="1:13" ht="15.75" thickBot="1" x14ac:dyDescent="0.25">
      <c r="A5" s="454"/>
      <c r="B5" s="389" t="s">
        <v>83</v>
      </c>
      <c r="C5" s="515"/>
      <c r="D5" s="514" t="s">
        <v>81</v>
      </c>
      <c r="E5" s="516"/>
      <c r="F5" s="109" t="s">
        <v>107</v>
      </c>
      <c r="I5" s="453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55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55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34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102</v>
      </c>
      <c r="L10" s="41">
        <f>'خطة الإمداد'!N51</f>
        <v>17</v>
      </c>
      <c r="M10" s="41">
        <f>'خطة الإمداد'!O51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8317B6D8-8A99-4EB0-9DBC-8E9AE0170A4B}">
      <selection activeCell="D19" sqref="D19"/>
      <pageMargins left="0.7" right="0.7" top="0.75" bottom="0.75" header="0.3" footer="0.3"/>
      <pageSetup paperSize="9" orientation="portrait" r:id="rId1"/>
    </customSheetView>
    <customSheetView guid="{18C0F7AC-4BB1-46DE-8A01-8E31FE0585FC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94" t="s">
        <v>0</v>
      </c>
      <c r="B1" s="394"/>
      <c r="C1" s="394"/>
      <c r="D1" s="394"/>
      <c r="E1" s="394"/>
      <c r="Q1" s="392"/>
      <c r="R1" s="392"/>
    </row>
    <row r="2" spans="1:18" ht="15.75" x14ac:dyDescent="0.25">
      <c r="A2" s="394" t="s">
        <v>1</v>
      </c>
      <c r="B2" s="394"/>
      <c r="C2" s="394"/>
      <c r="D2" s="394"/>
      <c r="E2" s="394"/>
    </row>
    <row r="3" spans="1:18" ht="15.75" x14ac:dyDescent="0.25">
      <c r="A3" s="394" t="s">
        <v>2</v>
      </c>
      <c r="B3" s="394"/>
      <c r="C3" s="394"/>
      <c r="D3" s="394"/>
      <c r="E3" s="394"/>
    </row>
    <row r="4" spans="1:18" ht="48.75" customHeight="1" thickBot="1" x14ac:dyDescent="0.3">
      <c r="F4" s="391" t="s">
        <v>194</v>
      </c>
      <c r="G4" s="391"/>
      <c r="H4" s="391"/>
      <c r="I4" s="391"/>
      <c r="J4" s="391"/>
      <c r="K4" s="391"/>
      <c r="L4" s="391"/>
      <c r="M4" s="391"/>
      <c r="P4" s="391" t="s">
        <v>51</v>
      </c>
      <c r="Q4" s="391"/>
      <c r="R4" s="30"/>
    </row>
    <row r="5" spans="1:18" ht="20.100000000000001" customHeight="1" thickBot="1" x14ac:dyDescent="0.25">
      <c r="A5" s="401" t="s">
        <v>14</v>
      </c>
      <c r="B5" s="401" t="s">
        <v>3</v>
      </c>
      <c r="C5" s="382" t="s">
        <v>5</v>
      </c>
      <c r="D5" s="382"/>
      <c r="E5" s="382"/>
      <c r="F5" s="382" t="s">
        <v>11</v>
      </c>
      <c r="G5" s="382"/>
      <c r="H5" s="382"/>
      <c r="I5" s="382" t="s">
        <v>12</v>
      </c>
      <c r="J5" s="382"/>
      <c r="K5" s="382"/>
      <c r="L5" s="382" t="s">
        <v>50</v>
      </c>
      <c r="M5" s="382"/>
      <c r="N5" s="382"/>
      <c r="O5" s="389" t="s">
        <v>45</v>
      </c>
      <c r="P5" s="390"/>
      <c r="Q5" s="398" t="s">
        <v>49</v>
      </c>
    </row>
    <row r="6" spans="1:18" ht="20.100000000000001" customHeight="1" thickBot="1" x14ac:dyDescent="0.25">
      <c r="A6" s="401"/>
      <c r="B6" s="401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99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10144</v>
      </c>
      <c r="G7" s="2">
        <f>F7*6.75</f>
        <v>68472</v>
      </c>
      <c r="H7" s="2">
        <f>F7*0.33</f>
        <v>3347.52</v>
      </c>
      <c r="I7" s="2">
        <f>'أخذ التمام الصباحي'!K5</f>
        <v>3177</v>
      </c>
      <c r="J7" s="2">
        <f>I7*7.75</f>
        <v>24621.75</v>
      </c>
      <c r="K7" s="2">
        <f>I7*0.45</f>
        <v>1429.65</v>
      </c>
      <c r="L7" s="6"/>
      <c r="M7" s="6"/>
      <c r="N7" s="6"/>
      <c r="O7" s="7">
        <f>SUM(D7,G7,J7,M7)/100</f>
        <v>930.9375</v>
      </c>
      <c r="P7" s="10">
        <f>'أخذ التمام الصباحي'!Q5</f>
        <v>870</v>
      </c>
      <c r="Q7" s="7">
        <f t="shared" ref="Q7:Q27" si="0">P7-O7</f>
        <v>-60.9375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27647</v>
      </c>
      <c r="G8" s="287">
        <f>F8*6.75</f>
        <v>186617.25</v>
      </c>
      <c r="H8" s="287">
        <f>F8*0.33</f>
        <v>9123.51</v>
      </c>
      <c r="I8" s="287">
        <f>'أخذ التمام الصباحي'!K6</f>
        <v>8456</v>
      </c>
      <c r="J8" s="287">
        <f>I8*7.75</f>
        <v>65534</v>
      </c>
      <c r="K8" s="287">
        <f>I8*0.45</f>
        <v>3805.2000000000003</v>
      </c>
      <c r="L8" s="6"/>
      <c r="M8" s="6"/>
      <c r="N8" s="6"/>
      <c r="O8" s="7">
        <f>SUM(D8,G8,J8,M8)/100</f>
        <v>2521.5124999999998</v>
      </c>
      <c r="P8" s="10">
        <f>'أخذ التمام الصباحي'!Q6</f>
        <v>0</v>
      </c>
      <c r="Q8" s="7">
        <f t="shared" si="0"/>
        <v>-2521.5124999999998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5491</v>
      </c>
      <c r="D9" s="5">
        <f t="shared" ref="D9" si="1">C9*5.5</f>
        <v>30200.5</v>
      </c>
      <c r="E9" s="5">
        <f>C9*0.25</f>
        <v>1372.75</v>
      </c>
      <c r="F9" s="292">
        <f>'أخذ التمام الصباحي'!H7</f>
        <v>3195</v>
      </c>
      <c r="G9" s="292">
        <f t="shared" ref="G9:G27" si="2">F9*6.75</f>
        <v>21566.25</v>
      </c>
      <c r="H9" s="292">
        <f t="shared" ref="H9:H27" si="3">F9*0.33</f>
        <v>1054.3500000000001</v>
      </c>
      <c r="I9" s="292">
        <f>'أخذ التمام الصباحي'!K7</f>
        <v>550</v>
      </c>
      <c r="J9" s="292">
        <f t="shared" ref="J9:J27" si="4">I9*7.75</f>
        <v>4262.5</v>
      </c>
      <c r="K9" s="292">
        <f t="shared" ref="K9:K27" si="5">I9*0.45</f>
        <v>247.5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560.29250000000002</v>
      </c>
      <c r="P9" s="10">
        <f>'أخذ التمام الصباحي'!Q7</f>
        <v>339</v>
      </c>
      <c r="Q9" s="7">
        <f t="shared" si="0"/>
        <v>-221.29250000000002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4173</v>
      </c>
      <c r="D10" s="5">
        <f t="shared" ref="D10:D22" si="7">C10*5.5</f>
        <v>22951.5</v>
      </c>
      <c r="E10" s="5">
        <f>C10*0.25</f>
        <v>1043.25</v>
      </c>
      <c r="F10" s="292">
        <f>'أخذ التمام الصباحي'!H8</f>
        <v>26275</v>
      </c>
      <c r="G10" s="292">
        <f t="shared" si="2"/>
        <v>177356.25</v>
      </c>
      <c r="H10" s="292">
        <f t="shared" si="3"/>
        <v>8670.75</v>
      </c>
      <c r="I10" s="292">
        <f>'أخذ التمام الصباحي'!K8</f>
        <v>9557</v>
      </c>
      <c r="J10" s="292">
        <f t="shared" si="4"/>
        <v>74066.75</v>
      </c>
      <c r="K10" s="292">
        <f t="shared" si="5"/>
        <v>4300.6500000000005</v>
      </c>
      <c r="L10" s="2">
        <f>'أخذ التمام الصباحي'!N8</f>
        <v>3931</v>
      </c>
      <c r="M10" s="2">
        <f t="shared" ref="M10:M27" si="8">L10*5.5</f>
        <v>21620.5</v>
      </c>
      <c r="N10" s="2">
        <f>L10*0.26</f>
        <v>1022.0600000000001</v>
      </c>
      <c r="O10" s="7">
        <f t="shared" ref="O10:O27" si="9">SUM(D10,G10,J10,M10)/100</f>
        <v>2959.95</v>
      </c>
      <c r="P10" s="10">
        <f>'أخذ التمام الصباحي'!Q8</f>
        <v>3382</v>
      </c>
      <c r="Q10" s="7">
        <f t="shared" si="0"/>
        <v>422.05000000000018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35314</v>
      </c>
      <c r="G11" s="292">
        <f t="shared" si="2"/>
        <v>238369.5</v>
      </c>
      <c r="H11" s="292">
        <f t="shared" si="3"/>
        <v>11653.62</v>
      </c>
      <c r="I11" s="292">
        <f>'أخذ التمام الصباحي'!K9</f>
        <v>8684</v>
      </c>
      <c r="J11" s="292">
        <f t="shared" si="4"/>
        <v>67301</v>
      </c>
      <c r="K11" s="292">
        <f t="shared" si="5"/>
        <v>3907.8</v>
      </c>
      <c r="L11" s="6"/>
      <c r="M11" s="6"/>
      <c r="N11" s="6"/>
      <c r="O11" s="7">
        <f t="shared" si="9"/>
        <v>3056.7049999999999</v>
      </c>
      <c r="P11" s="10">
        <f>'أخذ التمام الصباحي'!Q9</f>
        <v>3250</v>
      </c>
      <c r="Q11" s="7">
        <f t="shared" si="0"/>
        <v>193.29500000000007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309</v>
      </c>
      <c r="D12" s="5">
        <f t="shared" si="7"/>
        <v>1699.5</v>
      </c>
      <c r="E12" s="5">
        <f t="shared" si="10"/>
        <v>77.25</v>
      </c>
      <c r="F12" s="292">
        <f>'أخذ التمام الصباحي'!H10</f>
        <v>1231</v>
      </c>
      <c r="G12" s="292">
        <f t="shared" si="2"/>
        <v>8309.25</v>
      </c>
      <c r="H12" s="292">
        <f t="shared" si="3"/>
        <v>406.23</v>
      </c>
      <c r="I12" s="6"/>
      <c r="J12" s="6"/>
      <c r="K12" s="6"/>
      <c r="L12" s="20">
        <f>'أخذ التمام الصباحي'!N10</f>
        <v>898</v>
      </c>
      <c r="M12" s="2">
        <f t="shared" si="8"/>
        <v>4939</v>
      </c>
      <c r="N12" s="2">
        <f>L12*0.26</f>
        <v>233.48000000000002</v>
      </c>
      <c r="O12" s="7">
        <f t="shared" si="9"/>
        <v>149.47749999999999</v>
      </c>
      <c r="P12" s="10">
        <f>'أخذ التمام الصباحي'!Q10</f>
        <v>179.5</v>
      </c>
      <c r="Q12" s="7">
        <f t="shared" si="0"/>
        <v>30.022500000000008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2910</v>
      </c>
      <c r="D13" s="5">
        <f t="shared" si="7"/>
        <v>16005</v>
      </c>
      <c r="E13" s="5">
        <f t="shared" si="10"/>
        <v>727.5</v>
      </c>
      <c r="F13" s="292">
        <f>'أخذ التمام الصباحي'!H11</f>
        <v>7460</v>
      </c>
      <c r="G13" s="292">
        <f t="shared" si="2"/>
        <v>50355</v>
      </c>
      <c r="H13" s="292">
        <f t="shared" si="3"/>
        <v>2461.8000000000002</v>
      </c>
      <c r="I13" s="6"/>
      <c r="J13" s="6"/>
      <c r="K13" s="6"/>
      <c r="L13" s="20">
        <f>'أخذ التمام الصباحي'!N11</f>
        <v>7396</v>
      </c>
      <c r="M13" s="2">
        <f t="shared" si="8"/>
        <v>40678</v>
      </c>
      <c r="N13" s="2">
        <f>L13*0.26</f>
        <v>1922.96</v>
      </c>
      <c r="O13" s="7">
        <f t="shared" si="9"/>
        <v>1070.3800000000001</v>
      </c>
      <c r="P13" s="10">
        <f>'أخذ التمام الصباحي'!Q11</f>
        <v>1150</v>
      </c>
      <c r="Q13" s="7">
        <f t="shared" si="0"/>
        <v>79.619999999999891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22195</v>
      </c>
      <c r="G14" s="292">
        <f t="shared" si="2"/>
        <v>149816.25</v>
      </c>
      <c r="H14" s="292">
        <f t="shared" si="3"/>
        <v>7324.35</v>
      </c>
      <c r="I14" s="292">
        <f>'أخذ التمام الصباحي'!K12</f>
        <v>141</v>
      </c>
      <c r="J14" s="292">
        <f t="shared" si="4"/>
        <v>1092.75</v>
      </c>
      <c r="K14" s="292">
        <f t="shared" si="5"/>
        <v>63.45</v>
      </c>
      <c r="L14" s="6"/>
      <c r="M14" s="6"/>
      <c r="N14" s="6"/>
      <c r="O14" s="7">
        <f t="shared" si="9"/>
        <v>1509.09</v>
      </c>
      <c r="P14" s="10">
        <f>'أخذ التمام الصباحي'!Q12</f>
        <v>1360</v>
      </c>
      <c r="Q14" s="7">
        <f t="shared" si="0"/>
        <v>-149.08999999999992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33140</v>
      </c>
      <c r="G15" s="292">
        <f t="shared" si="2"/>
        <v>223695</v>
      </c>
      <c r="H15" s="292">
        <f t="shared" si="3"/>
        <v>10936.2</v>
      </c>
      <c r="I15" s="292">
        <f>'أخذ التمام الصباحي'!K13</f>
        <v>13300</v>
      </c>
      <c r="J15" s="292">
        <f t="shared" si="4"/>
        <v>103075</v>
      </c>
      <c r="K15" s="292">
        <f t="shared" si="5"/>
        <v>5985</v>
      </c>
      <c r="L15" s="20">
        <f>'أخذ التمام الصباحي'!N13</f>
        <v>23300</v>
      </c>
      <c r="M15" s="2">
        <f t="shared" si="8"/>
        <v>128150</v>
      </c>
      <c r="N15" s="2">
        <f>L15*0.26</f>
        <v>6058</v>
      </c>
      <c r="O15" s="7">
        <f t="shared" si="9"/>
        <v>4549.2</v>
      </c>
      <c r="P15" s="10">
        <f>'أخذ التمام الصباحي'!Q13</f>
        <v>0</v>
      </c>
      <c r="Q15" s="7">
        <f t="shared" si="0"/>
        <v>-4549.2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2215</v>
      </c>
      <c r="G16" s="292">
        <f t="shared" si="2"/>
        <v>14951.25</v>
      </c>
      <c r="H16" s="292">
        <f t="shared" si="3"/>
        <v>730.95</v>
      </c>
      <c r="I16" s="292">
        <f>'أخذ التمام الصباحي'!K14</f>
        <v>879</v>
      </c>
      <c r="J16" s="292">
        <f t="shared" si="4"/>
        <v>6812.25</v>
      </c>
      <c r="K16" s="292">
        <f t="shared" si="5"/>
        <v>395.55</v>
      </c>
      <c r="L16" s="20">
        <f>'أخذ التمام الصباحي'!N14</f>
        <v>6228</v>
      </c>
      <c r="M16" s="2">
        <f t="shared" si="8"/>
        <v>34254</v>
      </c>
      <c r="N16" s="139">
        <f>L16*0.26</f>
        <v>1619.28</v>
      </c>
      <c r="O16" s="7">
        <f t="shared" si="9"/>
        <v>560.17499999999995</v>
      </c>
      <c r="P16" s="10">
        <f>'أخذ التمام الصباحي'!Q14</f>
        <v>894</v>
      </c>
      <c r="Q16" s="7">
        <f t="shared" si="0"/>
        <v>333.82500000000005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10855</v>
      </c>
      <c r="G17" s="292">
        <f t="shared" si="2"/>
        <v>73271.25</v>
      </c>
      <c r="H17" s="292">
        <f t="shared" si="3"/>
        <v>3582.15</v>
      </c>
      <c r="I17" s="292">
        <f>'أخذ التمام الصباحي'!K15</f>
        <v>2903</v>
      </c>
      <c r="J17" s="292">
        <f t="shared" si="4"/>
        <v>22498.25</v>
      </c>
      <c r="K17" s="292">
        <f t="shared" si="5"/>
        <v>1306.3500000000001</v>
      </c>
      <c r="L17" s="20">
        <f>'أخذ التمام الصباحي'!N15</f>
        <v>4404</v>
      </c>
      <c r="M17" s="2">
        <f t="shared" si="8"/>
        <v>24222</v>
      </c>
      <c r="N17" s="139">
        <f>L17*0.26</f>
        <v>1145.04</v>
      </c>
      <c r="O17" s="7">
        <f t="shared" si="9"/>
        <v>1199.915</v>
      </c>
      <c r="P17" s="10">
        <f>'أخذ التمام الصباحي'!Q15</f>
        <v>1779</v>
      </c>
      <c r="Q17" s="7">
        <f t="shared" si="0"/>
        <v>579.08500000000004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342</v>
      </c>
      <c r="G18" s="292">
        <f t="shared" si="2"/>
        <v>2308.5</v>
      </c>
      <c r="H18" s="292">
        <f t="shared" si="3"/>
        <v>112.86</v>
      </c>
      <c r="I18" s="292">
        <f>'أخذ التمام الصباحي'!K16</f>
        <v>168</v>
      </c>
      <c r="J18" s="292">
        <f t="shared" si="4"/>
        <v>1302</v>
      </c>
      <c r="K18" s="292">
        <f t="shared" si="5"/>
        <v>75.600000000000009</v>
      </c>
      <c r="L18" s="6"/>
      <c r="M18" s="6"/>
      <c r="N18" s="6"/>
      <c r="O18" s="7">
        <f t="shared" si="9"/>
        <v>36.104999999999997</v>
      </c>
      <c r="P18" s="10">
        <f>'أخذ التمام الصباحي'!Q16</f>
        <v>62</v>
      </c>
      <c r="Q18" s="7">
        <f t="shared" si="0"/>
        <v>25.895000000000003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2876</v>
      </c>
      <c r="G19" s="292">
        <f t="shared" si="2"/>
        <v>19413</v>
      </c>
      <c r="H19" s="292">
        <f t="shared" si="3"/>
        <v>949.08</v>
      </c>
      <c r="I19" s="292">
        <f>'أخذ التمام الصباحي'!K17</f>
        <v>1201</v>
      </c>
      <c r="J19" s="292">
        <f t="shared" si="4"/>
        <v>9307.75</v>
      </c>
      <c r="K19" s="292">
        <f t="shared" si="5"/>
        <v>540.45000000000005</v>
      </c>
      <c r="L19" s="20">
        <f>'أخذ التمام الصباحي'!N17</f>
        <v>3076</v>
      </c>
      <c r="M19" s="2">
        <f t="shared" si="8"/>
        <v>16918</v>
      </c>
      <c r="N19" s="2">
        <f>L19*0.26</f>
        <v>799.76</v>
      </c>
      <c r="O19" s="7">
        <f t="shared" si="9"/>
        <v>456.38749999999999</v>
      </c>
      <c r="P19" s="10">
        <f>'أخذ التمام الصباحي'!Q17</f>
        <v>800</v>
      </c>
      <c r="Q19" s="7">
        <f t="shared" si="0"/>
        <v>343.61250000000001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20857</v>
      </c>
      <c r="G20" s="292">
        <f t="shared" si="2"/>
        <v>140784.75</v>
      </c>
      <c r="H20" s="292">
        <f t="shared" si="3"/>
        <v>6882.81</v>
      </c>
      <c r="I20" s="292">
        <f>'أخذ التمام الصباحي'!K18</f>
        <v>6463</v>
      </c>
      <c r="J20" s="292">
        <f t="shared" si="4"/>
        <v>50088.25</v>
      </c>
      <c r="K20" s="292">
        <f t="shared" si="5"/>
        <v>2908.35</v>
      </c>
      <c r="L20" s="20">
        <f>'أخذ التمام الصباحي'!N18</f>
        <v>16163</v>
      </c>
      <c r="M20" s="2">
        <f t="shared" si="8"/>
        <v>88896.5</v>
      </c>
      <c r="N20" s="139">
        <f>L20*0.26</f>
        <v>4202.38</v>
      </c>
      <c r="O20" s="7">
        <f t="shared" si="9"/>
        <v>2797.6950000000002</v>
      </c>
      <c r="P20" s="10">
        <f>'أخذ التمام الصباحي'!Q18</f>
        <v>2940</v>
      </c>
      <c r="Q20" s="7">
        <f t="shared" si="0"/>
        <v>142.30499999999984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1125</v>
      </c>
      <c r="G21" s="292">
        <f t="shared" si="2"/>
        <v>7593.75</v>
      </c>
      <c r="H21" s="292">
        <f t="shared" si="3"/>
        <v>371.25</v>
      </c>
      <c r="I21" s="292">
        <f>'أخذ التمام الصباحي'!K19</f>
        <v>247</v>
      </c>
      <c r="J21" s="292">
        <f t="shared" si="4"/>
        <v>1914.25</v>
      </c>
      <c r="K21" s="292">
        <f t="shared" si="5"/>
        <v>111.15</v>
      </c>
      <c r="L21" s="6"/>
      <c r="M21" s="6"/>
      <c r="N21" s="6"/>
      <c r="O21" s="7">
        <f t="shared" si="9"/>
        <v>95.08</v>
      </c>
      <c r="P21" s="10">
        <f>'أخذ التمام الصباحي'!Q19</f>
        <v>100</v>
      </c>
      <c r="Q21" s="7">
        <f t="shared" si="0"/>
        <v>4.9200000000000017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235</v>
      </c>
      <c r="D22" s="5">
        <f t="shared" si="7"/>
        <v>1292.5</v>
      </c>
      <c r="E22" s="5">
        <f>C22*0.25</f>
        <v>58.75</v>
      </c>
      <c r="F22" s="292">
        <f>'أخذ التمام الصباحي'!H20</f>
        <v>1068</v>
      </c>
      <c r="G22" s="292">
        <f t="shared" si="2"/>
        <v>7209</v>
      </c>
      <c r="H22" s="292">
        <f t="shared" si="3"/>
        <v>352.44</v>
      </c>
      <c r="I22" s="6"/>
      <c r="J22" s="6"/>
      <c r="K22" s="6"/>
      <c r="L22" s="20">
        <f>'أخذ التمام الصباحي'!N20</f>
        <v>3790</v>
      </c>
      <c r="M22" s="2">
        <f t="shared" si="8"/>
        <v>20845</v>
      </c>
      <c r="N22" s="2">
        <f t="shared" ref="N22:N27" si="11">L22*0.26</f>
        <v>985.4</v>
      </c>
      <c r="O22" s="7">
        <f t="shared" si="9"/>
        <v>293.46499999999997</v>
      </c>
      <c r="P22" s="10">
        <f>'أخذ التمام الصباحي'!Q20</f>
        <v>360</v>
      </c>
      <c r="Q22" s="7">
        <f t="shared" si="0"/>
        <v>66.535000000000025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3526</v>
      </c>
      <c r="G23" s="292">
        <f t="shared" si="2"/>
        <v>23800.5</v>
      </c>
      <c r="H23" s="292">
        <f t="shared" si="3"/>
        <v>1163.5800000000002</v>
      </c>
      <c r="I23" s="6"/>
      <c r="J23" s="6"/>
      <c r="K23" s="6"/>
      <c r="L23" s="20">
        <f>'أخذ التمام الصباحي'!N21</f>
        <v>1027</v>
      </c>
      <c r="M23" s="2">
        <f t="shared" si="8"/>
        <v>5648.5</v>
      </c>
      <c r="N23" s="183">
        <f t="shared" si="11"/>
        <v>267.02</v>
      </c>
      <c r="O23" s="7">
        <f t="shared" si="9"/>
        <v>294.49</v>
      </c>
      <c r="P23" s="10">
        <f>'أخذ التمام الصباحي'!Q21</f>
        <v>125</v>
      </c>
      <c r="Q23" s="7">
        <f t="shared" si="0"/>
        <v>-169.49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21750</v>
      </c>
      <c r="G24" s="292">
        <f t="shared" si="2"/>
        <v>146812.5</v>
      </c>
      <c r="H24" s="292">
        <f t="shared" si="3"/>
        <v>7177.5</v>
      </c>
      <c r="I24" s="292">
        <f>'أخذ التمام الصباحي'!K22</f>
        <v>3625</v>
      </c>
      <c r="J24" s="292">
        <f t="shared" si="4"/>
        <v>28093.75</v>
      </c>
      <c r="K24" s="292">
        <f t="shared" si="5"/>
        <v>1631.25</v>
      </c>
      <c r="L24" s="20">
        <f>'أخذ التمام الصباحي'!N22</f>
        <v>61648</v>
      </c>
      <c r="M24" s="2">
        <f t="shared" si="8"/>
        <v>339064</v>
      </c>
      <c r="N24" s="183">
        <f t="shared" si="11"/>
        <v>16028.480000000001</v>
      </c>
      <c r="O24" s="7">
        <f t="shared" si="9"/>
        <v>5139.7025000000003</v>
      </c>
      <c r="P24" s="10">
        <f>'أخذ التمام الصباحي'!Q22</f>
        <v>7270</v>
      </c>
      <c r="Q24" s="7">
        <f t="shared" si="0"/>
        <v>2130.2974999999997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17241</v>
      </c>
      <c r="G25" s="292">
        <f t="shared" si="2"/>
        <v>116376.75</v>
      </c>
      <c r="H25" s="292">
        <f t="shared" si="3"/>
        <v>5689.5300000000007</v>
      </c>
      <c r="I25" s="292">
        <f>'أخذ التمام الصباحي'!K23</f>
        <v>3138</v>
      </c>
      <c r="J25" s="292">
        <f t="shared" si="4"/>
        <v>24319.5</v>
      </c>
      <c r="K25" s="292">
        <f t="shared" si="5"/>
        <v>1412.1000000000001</v>
      </c>
      <c r="L25" s="20">
        <f>'أخذ التمام الصباحي'!N23</f>
        <v>48253</v>
      </c>
      <c r="M25" s="2">
        <f t="shared" si="8"/>
        <v>265391.5</v>
      </c>
      <c r="N25" s="183">
        <f t="shared" si="11"/>
        <v>12545.78</v>
      </c>
      <c r="O25" s="7">
        <f t="shared" si="9"/>
        <v>4060.8775000000001</v>
      </c>
      <c r="P25" s="10">
        <f>'أخذ التمام الصباحي'!Q23</f>
        <v>5270</v>
      </c>
      <c r="Q25" s="7">
        <f t="shared" si="0"/>
        <v>1209.1224999999999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0</v>
      </c>
      <c r="G26" s="292">
        <f t="shared" si="2"/>
        <v>0</v>
      </c>
      <c r="H26" s="292">
        <f t="shared" si="3"/>
        <v>0</v>
      </c>
      <c r="I26" s="292">
        <f>'أخذ التمام الصباحي'!K24</f>
        <v>0</v>
      </c>
      <c r="J26" s="292">
        <f t="shared" si="4"/>
        <v>0</v>
      </c>
      <c r="K26" s="292">
        <f t="shared" si="5"/>
        <v>0</v>
      </c>
      <c r="L26" s="20">
        <f>'أخذ التمام الصباحي'!N24</f>
        <v>0</v>
      </c>
      <c r="M26" s="2">
        <f t="shared" si="8"/>
        <v>0</v>
      </c>
      <c r="N26" s="183">
        <f t="shared" si="11"/>
        <v>0</v>
      </c>
      <c r="O26" s="7">
        <f t="shared" si="9"/>
        <v>0</v>
      </c>
      <c r="P26" s="10">
        <f>'أخذ التمام الصباحي'!Q24</f>
        <v>0</v>
      </c>
      <c r="Q26" s="7">
        <f t="shared" si="0"/>
        <v>0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10305</v>
      </c>
      <c r="G27" s="292">
        <f t="shared" si="2"/>
        <v>69558.75</v>
      </c>
      <c r="H27" s="292">
        <f t="shared" si="3"/>
        <v>3400.65</v>
      </c>
      <c r="I27" s="292">
        <f>'أخذ التمام الصباحي'!K25</f>
        <v>1755</v>
      </c>
      <c r="J27" s="292">
        <f t="shared" si="4"/>
        <v>13601.25</v>
      </c>
      <c r="K27" s="292">
        <f t="shared" si="5"/>
        <v>789.75</v>
      </c>
      <c r="L27" s="20">
        <f>'أخذ التمام الصباحي'!N25</f>
        <v>26344</v>
      </c>
      <c r="M27" s="2">
        <f t="shared" si="8"/>
        <v>144892</v>
      </c>
      <c r="N27" s="183">
        <f t="shared" si="11"/>
        <v>6849.4400000000005</v>
      </c>
      <c r="O27" s="7">
        <f t="shared" si="9"/>
        <v>2280.52</v>
      </c>
      <c r="P27" s="10">
        <f>'أخذ التمام الصباحي'!Q25</f>
        <v>3220</v>
      </c>
      <c r="Q27" s="7">
        <f t="shared" si="0"/>
        <v>939.48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4040</v>
      </c>
      <c r="D28" s="5">
        <f t="shared" ref="D28" si="12">C28*5.5</f>
        <v>22220</v>
      </c>
      <c r="E28" s="5">
        <f t="shared" ref="E28" si="13">C28*0.25</f>
        <v>1010</v>
      </c>
      <c r="F28" s="301">
        <f>'أخذ التمام الصباحي'!H26</f>
        <v>7950</v>
      </c>
      <c r="G28" s="301">
        <f t="shared" ref="G28" si="14">F28*6.75</f>
        <v>53662.5</v>
      </c>
      <c r="H28" s="301">
        <f t="shared" ref="H28" si="15">F28*0.33</f>
        <v>2623.5</v>
      </c>
      <c r="I28" s="301">
        <f>'أخذ التمام الصباحي'!K26</f>
        <v>2083</v>
      </c>
      <c r="J28" s="301">
        <f t="shared" ref="J28" si="16">I28*7.75</f>
        <v>16143.25</v>
      </c>
      <c r="K28" s="301">
        <f t="shared" ref="K28" si="17">I28*0.45</f>
        <v>937.35</v>
      </c>
      <c r="L28" s="301">
        <f>'أخذ التمام الصباحي'!N26</f>
        <v>12457</v>
      </c>
      <c r="M28" s="301">
        <f t="shared" ref="M28" si="18">L28*5.5</f>
        <v>68513.5</v>
      </c>
      <c r="N28" s="301">
        <f t="shared" ref="N28" si="19">L28*0.26</f>
        <v>3238.82</v>
      </c>
      <c r="O28" s="7">
        <f t="shared" ref="O28" si="20">SUM(D28,G28,J28,M28)/100</f>
        <v>1605.3924999999999</v>
      </c>
      <c r="P28" s="10">
        <f>'أخذ التمام الصباحي'!Q26</f>
        <v>490</v>
      </c>
      <c r="Q28" s="7">
        <f t="shared" ref="Q28" si="21">P28-O28</f>
        <v>-1115.3924999999999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5399</v>
      </c>
      <c r="G29" s="321">
        <f t="shared" ref="G29:G33" si="24">F29*6.75</f>
        <v>36443.25</v>
      </c>
      <c r="H29" s="321">
        <f t="shared" ref="H29:H33" si="25">F29*0.33</f>
        <v>1781.67</v>
      </c>
      <c r="I29" s="5">
        <f>'أخذ التمام الصباحي'!K27</f>
        <v>1441</v>
      </c>
      <c r="J29" s="321">
        <f t="shared" ref="J29:J33" si="26">I29*7.75</f>
        <v>11167.75</v>
      </c>
      <c r="K29" s="321">
        <f t="shared" ref="K29:K33" si="27">I29*0.45</f>
        <v>648.45000000000005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476.11</v>
      </c>
      <c r="P29" s="10">
        <f>'أخذ التمام الصباحي'!Q27</f>
        <v>450</v>
      </c>
      <c r="Q29" s="7">
        <f t="shared" ref="Q29:Q33" si="31">P29-O29</f>
        <v>-26.110000000000014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26264</v>
      </c>
      <c r="G30" s="321">
        <f t="shared" si="24"/>
        <v>177282</v>
      </c>
      <c r="H30" s="321">
        <f t="shared" si="25"/>
        <v>8667.1200000000008</v>
      </c>
      <c r="I30" s="5">
        <f>'أخذ التمام الصباحي'!K28</f>
        <v>8604</v>
      </c>
      <c r="J30" s="321">
        <f t="shared" si="26"/>
        <v>66681</v>
      </c>
      <c r="K30" s="321">
        <f t="shared" si="27"/>
        <v>3871.8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2439.63</v>
      </c>
      <c r="P30" s="10">
        <f>'أخذ التمام الصباحي'!Q28</f>
        <v>1225</v>
      </c>
      <c r="Q30" s="7">
        <f t="shared" si="31"/>
        <v>-1214.6300000000001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32482</v>
      </c>
      <c r="G31" s="321">
        <f t="shared" si="24"/>
        <v>219253.5</v>
      </c>
      <c r="H31" s="321">
        <f t="shared" si="25"/>
        <v>10719.060000000001</v>
      </c>
      <c r="I31" s="5">
        <f>'أخذ التمام الصباحي'!K29</f>
        <v>11758</v>
      </c>
      <c r="J31" s="321">
        <f t="shared" si="26"/>
        <v>91124.5</v>
      </c>
      <c r="K31" s="321">
        <f t="shared" si="27"/>
        <v>5291.1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3103.78</v>
      </c>
      <c r="P31" s="10">
        <f>'أخذ التمام الصباحي'!Q29</f>
        <v>4020</v>
      </c>
      <c r="Q31" s="7">
        <f t="shared" si="31"/>
        <v>916.2199999999998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34827</v>
      </c>
      <c r="G32" s="321">
        <f t="shared" si="24"/>
        <v>235082.25</v>
      </c>
      <c r="H32" s="321">
        <f t="shared" si="25"/>
        <v>11492.91</v>
      </c>
      <c r="I32" s="5">
        <f>'أخذ التمام الصباحي'!K30</f>
        <v>9631</v>
      </c>
      <c r="J32" s="321">
        <f t="shared" si="26"/>
        <v>74640.25</v>
      </c>
      <c r="K32" s="321">
        <f t="shared" si="27"/>
        <v>4333.95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3097.2249999999999</v>
      </c>
      <c r="P32" s="10">
        <f>'أخذ التمام الصباحي'!Q30</f>
        <v>475</v>
      </c>
      <c r="Q32" s="7">
        <f t="shared" si="31"/>
        <v>-2622.2249999999999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59823</v>
      </c>
      <c r="G33" s="321">
        <f t="shared" si="24"/>
        <v>403805.25</v>
      </c>
      <c r="H33" s="321">
        <f t="shared" si="25"/>
        <v>19741.59</v>
      </c>
      <c r="I33" s="5">
        <f>'أخذ التمام الصباحي'!K31</f>
        <v>12898</v>
      </c>
      <c r="J33" s="321">
        <f t="shared" si="26"/>
        <v>99959.5</v>
      </c>
      <c r="K33" s="321">
        <f t="shared" si="27"/>
        <v>5804.1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5037.6475</v>
      </c>
      <c r="P33" s="10">
        <f>'أخذ التمام الصباحي'!Q31</f>
        <v>7800</v>
      </c>
      <c r="Q33" s="7">
        <f t="shared" si="31"/>
        <v>2762.3525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0" t="s">
        <v>34</v>
      </c>
      <c r="B38" s="400"/>
      <c r="C38" s="43">
        <f>SUM(C7:C37)</f>
        <v>17158</v>
      </c>
      <c r="D38" s="43">
        <f t="shared" ref="D38:Q38" si="42">SUM(D7:D37)</f>
        <v>94369</v>
      </c>
      <c r="E38" s="43">
        <f t="shared" si="42"/>
        <v>4289.5</v>
      </c>
      <c r="F38" s="43">
        <f t="shared" si="42"/>
        <v>425506</v>
      </c>
      <c r="G38" s="43">
        <f t="shared" si="42"/>
        <v>2872165.5</v>
      </c>
      <c r="H38" s="43">
        <f t="shared" si="42"/>
        <v>140416.98000000001</v>
      </c>
      <c r="I38" s="43">
        <f t="shared" si="42"/>
        <v>110659</v>
      </c>
      <c r="J38" s="43">
        <f t="shared" si="42"/>
        <v>857607.25</v>
      </c>
      <c r="K38" s="43">
        <f t="shared" si="42"/>
        <v>49796.549999999988</v>
      </c>
      <c r="L38" s="43">
        <f t="shared" si="42"/>
        <v>218915</v>
      </c>
      <c r="M38" s="43">
        <f t="shared" si="42"/>
        <v>1204032.5</v>
      </c>
      <c r="N38" s="43">
        <f t="shared" si="42"/>
        <v>56917.9</v>
      </c>
      <c r="O38" s="43">
        <f t="shared" si="42"/>
        <v>50281.7425</v>
      </c>
      <c r="P38" s="43">
        <f t="shared" si="42"/>
        <v>47810.5</v>
      </c>
      <c r="Q38" s="43">
        <f t="shared" si="42"/>
        <v>-2471.2424999999994</v>
      </c>
    </row>
    <row r="39" spans="1:17" ht="32.25" customHeight="1" thickBot="1" x14ac:dyDescent="0.25">
      <c r="A39" s="393" t="s">
        <v>75</v>
      </c>
      <c r="B39" s="393"/>
      <c r="C39" s="383">
        <f>C38+F38+I38+L38</f>
        <v>772238</v>
      </c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5"/>
    </row>
    <row r="40" spans="1:17" ht="30.75" customHeight="1" thickBot="1" x14ac:dyDescent="0.25">
      <c r="A40" s="393" t="s">
        <v>47</v>
      </c>
      <c r="B40" s="393"/>
      <c r="C40" s="386">
        <f>D38+G38+J38+M38</f>
        <v>5028174.25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8"/>
    </row>
    <row r="41" spans="1:17" ht="30.75" customHeight="1" thickBot="1" x14ac:dyDescent="0.25">
      <c r="A41" s="393" t="s">
        <v>48</v>
      </c>
      <c r="B41" s="393"/>
      <c r="C41" s="395">
        <f>E38+H38+K38+N38</f>
        <v>251420.93</v>
      </c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7"/>
    </row>
  </sheetData>
  <customSheetViews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1"/>
    </customSheetView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53" t="s">
        <v>3</v>
      </c>
      <c r="B4" s="389" t="s">
        <v>165</v>
      </c>
      <c r="C4" s="515"/>
      <c r="D4" s="515"/>
      <c r="E4" s="515"/>
      <c r="F4" s="390"/>
    </row>
    <row r="5" spans="1:13" ht="15.75" thickBot="1" x14ac:dyDescent="0.25">
      <c r="A5" s="454"/>
      <c r="B5" s="389" t="s">
        <v>83</v>
      </c>
      <c r="C5" s="515"/>
      <c r="D5" s="514" t="s">
        <v>81</v>
      </c>
      <c r="E5" s="516"/>
      <c r="F5" s="308" t="s">
        <v>107</v>
      </c>
      <c r="I5" s="453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55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55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34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102</v>
      </c>
      <c r="L10" s="41">
        <f>'خطة الإمداد'!N51</f>
        <v>17</v>
      </c>
      <c r="M10" s="41">
        <f>'خطة الإمداد'!O51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2" t="str">
        <f>'منطقة القاهرة'!A4</f>
        <v>المحطة</v>
      </c>
      <c r="B1" s="382" t="str">
        <f>'منطقة القاهرة'!B4</f>
        <v xml:space="preserve">الهايكستب </v>
      </c>
      <c r="C1" s="382">
        <f>'منطقة القاهرة'!C4</f>
        <v>0</v>
      </c>
      <c r="D1" s="433">
        <f>'منطقة القاهرة'!D4</f>
        <v>0</v>
      </c>
      <c r="E1" s="514" t="str">
        <f>'منطقة القاهرة'!E4</f>
        <v>مسطرد</v>
      </c>
      <c r="F1" s="515">
        <f>'منطقة القاهرة'!F4</f>
        <v>0</v>
      </c>
      <c r="G1" s="515">
        <f>'منطقة القاهرة'!G4</f>
        <v>0</v>
      </c>
      <c r="H1" s="390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2">
        <f>'منطقة القاهرة'!A5</f>
        <v>0</v>
      </c>
      <c r="B2" s="389" t="str">
        <f>'منطقة القاهرة'!B5</f>
        <v>تعاون</v>
      </c>
      <c r="C2" s="515">
        <f>'منطقة القاهرة'!C5</f>
        <v>0</v>
      </c>
      <c r="D2" s="516">
        <f>'منطقة القاهرة'!D5</f>
        <v>0</v>
      </c>
      <c r="E2" s="269" t="str">
        <f>'منطقة القاهرة'!E5</f>
        <v>تعاون</v>
      </c>
      <c r="F2" s="389" t="str">
        <f>'منطقة القاهرة'!F5</f>
        <v>موبيل</v>
      </c>
      <c r="G2" s="515">
        <f>'منطقة القاهرة'!G5</f>
        <v>0</v>
      </c>
      <c r="H2" s="390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1664</v>
      </c>
    </row>
    <row r="3" spans="1:13" ht="16.5" thickBot="1" x14ac:dyDescent="0.3">
      <c r="A3" s="432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1098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3575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22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2500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0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21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22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2" t="str">
        <f>'منطقة السويس'!A4</f>
        <v>المحطة</v>
      </c>
      <c r="B13" s="389" t="str">
        <f>'منطقة السويس'!B4</f>
        <v>السويس</v>
      </c>
      <c r="C13" s="515">
        <f>'منطقة السويس'!C4</f>
        <v>0</v>
      </c>
      <c r="D13" s="515">
        <f>'منطقة السويس'!D4</f>
        <v>0</v>
      </c>
      <c r="E13" s="515">
        <f>'منطقة السويس'!E4</f>
        <v>0</v>
      </c>
      <c r="F13" s="515">
        <f>'منطقة السويس'!F4</f>
        <v>0</v>
      </c>
      <c r="G13" s="515">
        <f>'منطقة السويس'!G4</f>
        <v>0</v>
      </c>
      <c r="H13" s="390">
        <f>'منطقة السويس'!H4</f>
        <v>0</v>
      </c>
      <c r="I13" s="276" t="s">
        <v>119</v>
      </c>
      <c r="K13" s="523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2">
        <f>'منطقة السويس'!A5</f>
        <v>0</v>
      </c>
      <c r="B14" s="120" t="str">
        <f>'منطقة السويس'!B5</f>
        <v>تعاون</v>
      </c>
      <c r="C14" s="517" t="str">
        <f>'منطقة السويس'!C5</f>
        <v>موبيل</v>
      </c>
      <c r="D14" s="492">
        <f>'منطقة السويس'!D5</f>
        <v>0</v>
      </c>
      <c r="E14" s="518">
        <f>'منطقة السويس'!E5</f>
        <v>0</v>
      </c>
      <c r="F14" s="492" t="str">
        <f>'منطقة السويس'!F5</f>
        <v>مصر</v>
      </c>
      <c r="G14" s="492">
        <f>'منطقة السويس'!G5</f>
        <v>0</v>
      </c>
      <c r="H14" s="493">
        <f>'منطقة السويس'!H5</f>
        <v>0</v>
      </c>
      <c r="I14" s="275" t="s">
        <v>83</v>
      </c>
      <c r="K14" s="523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2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20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9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20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9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21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2" t="str">
        <f>'منطقة الاسكندرية'!A4</f>
        <v>المحطة</v>
      </c>
      <c r="B22" s="389" t="str">
        <f>'منطقة الاسكندرية'!B4</f>
        <v>الماكس</v>
      </c>
      <c r="C22" s="515">
        <f>'منطقة الاسكندرية'!C4</f>
        <v>0</v>
      </c>
      <c r="D22" s="515">
        <f>'منطقة الاسكندرية'!D4</f>
        <v>0</v>
      </c>
      <c r="E22" s="515">
        <f>'منطقة الاسكندرية'!E4</f>
        <v>0</v>
      </c>
      <c r="F22" s="515">
        <f>'منطقة الاسكندرية'!F4</f>
        <v>0</v>
      </c>
      <c r="G22" s="515">
        <f>'منطقة الاسكندرية'!G4</f>
        <v>0</v>
      </c>
      <c r="H22" s="515">
        <f>'منطقة الاسكندرية'!H4</f>
        <v>0</v>
      </c>
      <c r="I22" s="390">
        <f>'منطقة الاسكندرية'!I4</f>
        <v>0</v>
      </c>
      <c r="K22" s="52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166</v>
      </c>
    </row>
    <row r="23" spans="1:13" ht="16.5" thickBot="1" x14ac:dyDescent="0.3">
      <c r="A23" s="432">
        <f>'منطقة الاسكندرية'!A5</f>
        <v>0</v>
      </c>
      <c r="B23" s="494" t="str">
        <f>'منطقة الاسكندرية'!B5</f>
        <v>تعاون</v>
      </c>
      <c r="C23" s="494">
        <f>'منطقة الاسكندرية'!C5</f>
        <v>0</v>
      </c>
      <c r="D23" s="510">
        <f>'منطقة الاسكندرية'!D5</f>
        <v>0</v>
      </c>
      <c r="E23" s="527" t="str">
        <f>'منطقة الاسكندرية'!E5</f>
        <v>مصر</v>
      </c>
      <c r="F23" s="528">
        <f>'منطقة الاسكندرية'!F5</f>
        <v>0</v>
      </c>
      <c r="G23" s="511" t="str">
        <f>'منطقة الاسكندرية'!G5</f>
        <v>موبيل</v>
      </c>
      <c r="H23" s="494">
        <f>'منطقة الاسكندرية'!H5</f>
        <v>0</v>
      </c>
      <c r="I23" s="494">
        <f>'منطقة الاسكندرية'!I5</f>
        <v>0</v>
      </c>
      <c r="K23" s="52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2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100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2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232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9"/>
      <c r="D30" s="529"/>
    </row>
    <row r="31" spans="1:13" ht="16.5" thickBot="1" x14ac:dyDescent="0.3">
      <c r="A31" s="453" t="str">
        <f>'منطقة طنطا'!A4</f>
        <v>المحطة</v>
      </c>
      <c r="B31" s="389" t="str">
        <f>'منطقة طنطا'!B4</f>
        <v>طنطا</v>
      </c>
      <c r="C31" s="515">
        <f>'منطقة طنطا'!C4</f>
        <v>0</v>
      </c>
      <c r="D31" s="515">
        <f>'منطقة طنطا'!D4</f>
        <v>0</v>
      </c>
      <c r="E31" s="515">
        <f>'منطقة طنطا'!E4</f>
        <v>0</v>
      </c>
      <c r="F31" s="390">
        <f>'منطقة طنطا'!F4</f>
        <v>0</v>
      </c>
      <c r="H31" s="78"/>
      <c r="I31" s="78"/>
      <c r="J31" s="78"/>
      <c r="K31" s="522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54">
        <f>'منطقة طنطا'!A5</f>
        <v>0</v>
      </c>
      <c r="B32" s="389" t="str">
        <f>'منطقة طنطا'!B5</f>
        <v>مصر</v>
      </c>
      <c r="C32" s="515">
        <f>'منطقة طنطا'!C5</f>
        <v>0</v>
      </c>
      <c r="D32" s="514" t="str">
        <f>'منطقة طنطا'!D5</f>
        <v>تعاون</v>
      </c>
      <c r="E32" s="516">
        <f>'منطقة طنطا'!E5</f>
        <v>0</v>
      </c>
      <c r="F32" s="266" t="str">
        <f>'منطقة طنطا'!F5</f>
        <v>تعاون هايكستب</v>
      </c>
      <c r="K32" s="521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55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22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21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09" t="s">
        <v>0</v>
      </c>
      <c r="B1" s="409"/>
      <c r="C1" s="409"/>
      <c r="D1" s="409"/>
      <c r="O1" s="408"/>
      <c r="P1" s="408"/>
    </row>
    <row r="2" spans="1:17" ht="15" x14ac:dyDescent="0.2">
      <c r="A2" s="409" t="s">
        <v>1</v>
      </c>
      <c r="B2" s="409"/>
      <c r="C2" s="409"/>
      <c r="D2" s="409"/>
    </row>
    <row r="3" spans="1:17" ht="15" x14ac:dyDescent="0.2">
      <c r="A3" s="409" t="s">
        <v>2</v>
      </c>
      <c r="B3" s="409"/>
      <c r="C3" s="409"/>
      <c r="D3" s="409"/>
    </row>
    <row r="4" spans="1:17" ht="15" x14ac:dyDescent="0.2">
      <c r="A4" s="409" t="s">
        <v>53</v>
      </c>
      <c r="B4" s="409"/>
      <c r="C4" s="409"/>
      <c r="D4" s="409"/>
    </row>
    <row r="5" spans="1:17" ht="15" x14ac:dyDescent="0.2">
      <c r="A5" s="402" t="s">
        <v>195</v>
      </c>
      <c r="B5" s="402"/>
      <c r="C5" s="402"/>
      <c r="D5" s="402"/>
    </row>
    <row r="6" spans="1:17" ht="24" thickBot="1" x14ac:dyDescent="0.25">
      <c r="H6" s="413" t="s">
        <v>54</v>
      </c>
      <c r="I6" s="413"/>
      <c r="J6" s="413"/>
      <c r="K6" s="413"/>
    </row>
    <row r="7" spans="1:17" ht="20.25" customHeight="1" thickBot="1" x14ac:dyDescent="0.25">
      <c r="B7" s="404" t="s">
        <v>55</v>
      </c>
      <c r="C7" s="405"/>
      <c r="D7" s="405"/>
      <c r="E7" s="406"/>
      <c r="F7" s="17"/>
      <c r="G7" s="17"/>
      <c r="H7" s="17"/>
      <c r="I7" s="17"/>
      <c r="J7" s="17"/>
      <c r="K7" s="17"/>
      <c r="L7" s="17"/>
      <c r="M7" s="17"/>
      <c r="N7" s="17"/>
      <c r="O7" s="17"/>
      <c r="P7" s="404" t="s">
        <v>51</v>
      </c>
      <c r="Q7" s="406"/>
    </row>
    <row r="8" spans="1:17" ht="13.5" thickBot="1" x14ac:dyDescent="0.25">
      <c r="B8" s="407" t="s">
        <v>52</v>
      </c>
      <c r="C8" s="403" t="s">
        <v>5</v>
      </c>
      <c r="D8" s="403"/>
      <c r="E8" s="403"/>
      <c r="F8" s="403" t="s">
        <v>11</v>
      </c>
      <c r="G8" s="403"/>
      <c r="H8" s="403"/>
      <c r="I8" s="403" t="s">
        <v>12</v>
      </c>
      <c r="J8" s="403"/>
      <c r="K8" s="403"/>
      <c r="L8" s="403" t="s">
        <v>50</v>
      </c>
      <c r="M8" s="403"/>
      <c r="N8" s="403"/>
      <c r="O8" s="403" t="s">
        <v>56</v>
      </c>
      <c r="P8" s="403"/>
      <c r="Q8" s="403"/>
    </row>
    <row r="9" spans="1:17" ht="13.5" thickBot="1" x14ac:dyDescent="0.25">
      <c r="B9" s="407"/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3"/>
      <c r="P9" s="403"/>
      <c r="Q9" s="403"/>
    </row>
    <row r="10" spans="1:17" ht="20.100000000000001" customHeight="1" thickBot="1" x14ac:dyDescent="0.25">
      <c r="B10" s="407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884000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187000</v>
      </c>
      <c r="N11" s="13" t="e">
        <f>M11/L11</f>
        <v>#DIV/0!</v>
      </c>
      <c r="O11" s="140">
        <f>C11+F11+I11+L11</f>
        <v>0</v>
      </c>
      <c r="P11" s="140">
        <f>D11+G11+J11+M11</f>
        <v>1275000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4" t="s">
        <v>61</v>
      </c>
      <c r="C15" s="405"/>
      <c r="D15" s="405"/>
      <c r="E15" s="406"/>
      <c r="P15" s="404" t="s">
        <v>51</v>
      </c>
      <c r="Q15" s="406"/>
    </row>
    <row r="16" spans="1:17" ht="13.5" thickBot="1" x14ac:dyDescent="0.25">
      <c r="B16" s="407" t="s">
        <v>52</v>
      </c>
      <c r="C16" s="403" t="s">
        <v>5</v>
      </c>
      <c r="D16" s="403"/>
      <c r="E16" s="403"/>
      <c r="F16" s="403" t="s">
        <v>11</v>
      </c>
      <c r="G16" s="403"/>
      <c r="H16" s="403"/>
      <c r="I16" s="403" t="s">
        <v>12</v>
      </c>
      <c r="J16" s="403"/>
      <c r="K16" s="403"/>
      <c r="L16" s="403" t="s">
        <v>50</v>
      </c>
      <c r="M16" s="403"/>
      <c r="N16" s="403"/>
      <c r="O16" s="403" t="s">
        <v>56</v>
      </c>
      <c r="P16" s="403"/>
      <c r="Q16" s="403"/>
    </row>
    <row r="17" spans="2:17" ht="13.5" thickBot="1" x14ac:dyDescent="0.25">
      <c r="B17" s="407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</row>
    <row r="18" spans="2:17" ht="20.100000000000001" customHeight="1" thickBot="1" x14ac:dyDescent="0.25">
      <c r="B18" s="407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17158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425506</v>
      </c>
      <c r="G19" s="209">
        <f>'موقف المحطات'!$G$20</f>
        <v>884000</v>
      </c>
      <c r="H19" s="13">
        <f>G19/F19</f>
        <v>2.0775265213651513</v>
      </c>
      <c r="I19" s="209">
        <f>'موقف المحطات'!$I$20</f>
        <v>110659</v>
      </c>
      <c r="J19" s="209">
        <f>'موقف المحطات'!$J$20</f>
        <v>153000</v>
      </c>
      <c r="K19" s="13">
        <f>J19/I19</f>
        <v>1.3826259048066583</v>
      </c>
      <c r="L19" s="209">
        <f>'موقف المحطات'!$L$20</f>
        <v>218915</v>
      </c>
      <c r="M19" s="209">
        <f>'موقف المحطات'!$M$20</f>
        <v>187000</v>
      </c>
      <c r="N19" s="13">
        <f>M19/L19</f>
        <v>0.85421282232830098</v>
      </c>
      <c r="O19" s="140">
        <f>C19+F19+I19+L19</f>
        <v>772238</v>
      </c>
      <c r="P19" s="140">
        <f>D19+G19+J19+M19</f>
        <v>1224000</v>
      </c>
      <c r="Q19" s="13">
        <f>P19/O19</f>
        <v>1.5850035869770718</v>
      </c>
    </row>
    <row r="20" spans="2:17" ht="22.5" customHeight="1" thickBot="1" x14ac:dyDescent="0.25">
      <c r="B20" s="145" t="s">
        <v>64</v>
      </c>
      <c r="C20" s="140">
        <f>المبيعات!C38</f>
        <v>17158</v>
      </c>
      <c r="D20" s="140">
        <f>D11</f>
        <v>51000</v>
      </c>
      <c r="E20" s="13">
        <f>IFERROR(D20/C20,0)</f>
        <v>2.972374402611027</v>
      </c>
      <c r="F20" s="140">
        <f>المبيعات!F38</f>
        <v>425506</v>
      </c>
      <c r="G20" s="140">
        <f>G11</f>
        <v>884000</v>
      </c>
      <c r="H20" s="13">
        <f>IFERROR(G20/F20,0)</f>
        <v>2.0775265213651513</v>
      </c>
      <c r="I20" s="140">
        <f>المبيعات!I38</f>
        <v>110659</v>
      </c>
      <c r="J20" s="140">
        <f>J11</f>
        <v>153000</v>
      </c>
      <c r="K20" s="13">
        <f>IFERROR(J20/I20,0)</f>
        <v>1.3826259048066583</v>
      </c>
      <c r="L20" s="140">
        <f>المبيعات!L38</f>
        <v>218915</v>
      </c>
      <c r="M20" s="140">
        <f>M11</f>
        <v>187000</v>
      </c>
      <c r="N20" s="13">
        <f>IFERROR(M20/L20,0)</f>
        <v>0.85421282232830098</v>
      </c>
      <c r="O20" s="140">
        <f>C20+F20+I20+L20</f>
        <v>772238</v>
      </c>
      <c r="P20" s="140">
        <f>P11</f>
        <v>1275000</v>
      </c>
      <c r="Q20" s="13">
        <f>IFERROR(P20/O20,0)</f>
        <v>1.6510454031011166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4" t="s">
        <v>72</v>
      </c>
      <c r="C24" s="405"/>
      <c r="D24" s="405"/>
      <c r="E24" s="406"/>
      <c r="P24" s="416" t="s">
        <v>51</v>
      </c>
      <c r="Q24" s="417"/>
    </row>
    <row r="25" spans="2:17" ht="18" customHeight="1" thickBot="1" x14ac:dyDescent="0.25">
      <c r="B25" s="414" t="s">
        <v>52</v>
      </c>
      <c r="C25" s="410" t="s">
        <v>163</v>
      </c>
      <c r="D25" s="411"/>
      <c r="E25" s="412"/>
      <c r="F25" s="410" t="s">
        <v>158</v>
      </c>
      <c r="G25" s="411"/>
      <c r="H25" s="412"/>
      <c r="I25" s="410" t="s">
        <v>121</v>
      </c>
      <c r="J25" s="411"/>
      <c r="K25" s="412"/>
      <c r="L25" s="410" t="s">
        <v>112</v>
      </c>
      <c r="M25" s="411"/>
      <c r="N25" s="412"/>
      <c r="O25" s="410" t="s">
        <v>113</v>
      </c>
      <c r="P25" s="411"/>
      <c r="Q25" s="412"/>
    </row>
    <row r="26" spans="2:17" ht="16.5" customHeight="1" thickBot="1" x14ac:dyDescent="0.25">
      <c r="B26" s="41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27647</v>
      </c>
      <c r="D28" s="147">
        <f>'أخذ التمام الصباحي'!K6</f>
        <v>8456</v>
      </c>
      <c r="E28" s="224"/>
      <c r="F28" s="147">
        <f>'أخذ التمام الصباحي'!H7</f>
        <v>3195</v>
      </c>
      <c r="G28" s="147">
        <f>'أخذ التمام الصباحي'!K7</f>
        <v>550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8" t="s">
        <v>173</v>
      </c>
      <c r="C32" s="419"/>
      <c r="D32" s="419"/>
      <c r="E32" s="419"/>
      <c r="F32" s="420" t="s">
        <v>60</v>
      </c>
      <c r="G32" s="421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255</v>
      </c>
      <c r="D34" s="147">
        <f>'التمام الصباحي'!I39</f>
        <v>3570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242</v>
      </c>
      <c r="D35" s="147">
        <f>'التمام الصباحي'!J39</f>
        <v>1779</v>
      </c>
      <c r="E35" s="143">
        <f>'التمام الصباحي'!P39</f>
        <v>698</v>
      </c>
      <c r="F35" s="147">
        <f>'التمام الصباحي'!V39</f>
        <v>1830</v>
      </c>
      <c r="G35" s="147">
        <f>SUM(C35:F35)</f>
        <v>4549</v>
      </c>
    </row>
    <row r="36" spans="2:8" ht="20.25" customHeight="1" thickBot="1" x14ac:dyDescent="0.25">
      <c r="B36" s="39" t="s">
        <v>37</v>
      </c>
      <c r="C36" s="404">
        <f>'التمام الصباحي'!C42:Z42</f>
        <v>3236</v>
      </c>
      <c r="D36" s="405"/>
      <c r="E36" s="405"/>
      <c r="F36" s="405"/>
      <c r="G36" s="406"/>
      <c r="H36" s="157"/>
    </row>
    <row r="37" spans="2:8" ht="18.75" customHeight="1" thickBot="1" x14ac:dyDescent="0.25">
      <c r="B37" s="39" t="s">
        <v>68</v>
      </c>
      <c r="C37" s="404">
        <f>'احتياجات المحطات'!M29</f>
        <v>850</v>
      </c>
      <c r="D37" s="405"/>
      <c r="E37" s="405"/>
      <c r="F37" s="405"/>
      <c r="G37" s="406"/>
      <c r="H37" s="157"/>
    </row>
    <row r="38" spans="2:8" ht="21" customHeight="1" thickBot="1" x14ac:dyDescent="0.25">
      <c r="B38" s="39" t="s">
        <v>69</v>
      </c>
      <c r="C38" s="404">
        <f>G35+C37</f>
        <v>5399</v>
      </c>
      <c r="D38" s="405"/>
      <c r="E38" s="405"/>
      <c r="F38" s="405"/>
      <c r="G38" s="406"/>
      <c r="H38" s="157"/>
    </row>
    <row r="39" spans="2:8" ht="19.5" customHeight="1" thickBot="1" x14ac:dyDescent="0.25">
      <c r="B39" s="141" t="s">
        <v>70</v>
      </c>
      <c r="C39" s="404">
        <f>C36-C37</f>
        <v>2386</v>
      </c>
      <c r="D39" s="405"/>
      <c r="E39" s="405"/>
      <c r="F39" s="405"/>
      <c r="G39" s="406"/>
      <c r="H39" s="157"/>
    </row>
    <row r="40" spans="2:8" ht="20.100000000000001" customHeight="1" thickBot="1" x14ac:dyDescent="0.25">
      <c r="B40" s="141" t="s">
        <v>71</v>
      </c>
      <c r="C40" s="404">
        <f>P19/1000</f>
        <v>1224</v>
      </c>
      <c r="D40" s="405"/>
      <c r="E40" s="405"/>
      <c r="F40" s="405"/>
      <c r="G40" s="406"/>
      <c r="H40" s="157"/>
    </row>
    <row r="41" spans="2:8" ht="20.100000000000001" customHeight="1" thickBot="1" x14ac:dyDescent="0.25">
      <c r="B41" s="141" t="s">
        <v>110</v>
      </c>
      <c r="C41" s="422">
        <f>C37/C36</f>
        <v>0.2626699629171817</v>
      </c>
      <c r="D41" s="423"/>
      <c r="E41" s="423"/>
      <c r="F41" s="423"/>
      <c r="G41" s="424"/>
      <c r="H41" s="158"/>
    </row>
    <row r="42" spans="2:8" ht="20.100000000000001" customHeight="1" thickBot="1" x14ac:dyDescent="0.25">
      <c r="B42" s="147" t="s">
        <v>111</v>
      </c>
      <c r="C42" s="422">
        <f>'التمام الصباحي'!C45:Z45</f>
        <v>0.2802813805231919</v>
      </c>
      <c r="D42" s="423"/>
      <c r="E42" s="423"/>
      <c r="F42" s="423"/>
      <c r="G42" s="424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8" t="s">
        <v>174</v>
      </c>
      <c r="C46" s="419"/>
      <c r="D46" s="425"/>
      <c r="F46" s="421" t="s">
        <v>116</v>
      </c>
      <c r="G46" s="421"/>
    </row>
    <row r="47" spans="2:8" ht="18.75" customHeight="1" thickBot="1" x14ac:dyDescent="0.25">
      <c r="B47" s="144" t="s">
        <v>52</v>
      </c>
      <c r="C47" s="410" t="s">
        <v>114</v>
      </c>
      <c r="D47" s="412"/>
      <c r="E47" s="410" t="s">
        <v>115</v>
      </c>
      <c r="F47" s="412"/>
      <c r="G47" s="145" t="s">
        <v>34</v>
      </c>
    </row>
    <row r="48" spans="2:8" ht="18.75" customHeight="1" thickBot="1" x14ac:dyDescent="0.25">
      <c r="B48" s="210">
        <v>43647</v>
      </c>
      <c r="C48" s="429" t="e">
        <f>المستودعات!#REF!/51</f>
        <v>#REF!</v>
      </c>
      <c r="D48" s="406"/>
      <c r="E48" s="404"/>
      <c r="F48" s="40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8" t="s">
        <v>175</v>
      </c>
      <c r="C52" s="419"/>
      <c r="D52" s="419"/>
      <c r="E52" s="419"/>
      <c r="F52" s="419"/>
      <c r="G52" s="425"/>
    </row>
    <row r="53" spans="2:7" ht="20.100000000000001" customHeight="1" thickBot="1" x14ac:dyDescent="0.25">
      <c r="B53" s="414" t="s">
        <v>65</v>
      </c>
      <c r="C53" s="410" t="s">
        <v>73</v>
      </c>
      <c r="D53" s="411"/>
      <c r="E53" s="412"/>
      <c r="F53" s="430" t="s">
        <v>50</v>
      </c>
      <c r="G53" s="430" t="s">
        <v>74</v>
      </c>
    </row>
    <row r="54" spans="2:7" ht="20.100000000000001" customHeight="1" thickBot="1" x14ac:dyDescent="0.25">
      <c r="B54" s="415"/>
      <c r="C54" s="145">
        <v>80</v>
      </c>
      <c r="D54" s="145">
        <v>92</v>
      </c>
      <c r="E54" s="145">
        <v>95</v>
      </c>
      <c r="F54" s="431"/>
      <c r="G54" s="431"/>
    </row>
    <row r="55" spans="2:7" ht="19.5" customHeight="1" thickBot="1" x14ac:dyDescent="0.25">
      <c r="B55" s="29" t="s">
        <v>77</v>
      </c>
      <c r="C55" s="140">
        <f>المبيعات!D38</f>
        <v>94369</v>
      </c>
      <c r="D55" s="140">
        <f>المبيعات!G38</f>
        <v>2872165.5</v>
      </c>
      <c r="E55" s="149">
        <f>المبيعات!J38</f>
        <v>857607.25</v>
      </c>
      <c r="F55" s="140">
        <f>المبيعات!M38</f>
        <v>1204032.5</v>
      </c>
      <c r="G55" s="35">
        <f>C55+D55+E55+F55</f>
        <v>5028174.25</v>
      </c>
    </row>
    <row r="56" spans="2:7" ht="17.25" customHeight="1" thickBot="1" x14ac:dyDescent="0.25">
      <c r="B56" s="145" t="s">
        <v>78</v>
      </c>
      <c r="C56" s="140">
        <f>المبيعات!E38</f>
        <v>4289.5</v>
      </c>
      <c r="D56" s="140">
        <f>المبيعات!H38</f>
        <v>140416.98000000001</v>
      </c>
      <c r="E56" s="140">
        <f>المبيعات!K38</f>
        <v>49796.549999999988</v>
      </c>
      <c r="F56" s="140">
        <f>المبيعات!N38</f>
        <v>56917.9</v>
      </c>
      <c r="G56" s="35">
        <f>F56+E56+D56+C56</f>
        <v>251420.93</v>
      </c>
    </row>
    <row r="57" spans="2:7" ht="17.25" customHeight="1" thickBot="1" x14ac:dyDescent="0.25">
      <c r="B57" s="145" t="s">
        <v>79</v>
      </c>
      <c r="C57" s="426">
        <f>المبيعات!P38</f>
        <v>47810.5</v>
      </c>
      <c r="D57" s="427"/>
      <c r="E57" s="427"/>
      <c r="F57" s="428"/>
      <c r="G57" s="36">
        <f>C57</f>
        <v>47810.5</v>
      </c>
    </row>
  </sheetData>
  <sheetProtection selectLockedCells="1"/>
  <customSheetViews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M27" sqref="M27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2" t="s">
        <v>14</v>
      </c>
      <c r="B3" s="432" t="s">
        <v>3</v>
      </c>
      <c r="C3" s="382" t="s">
        <v>5</v>
      </c>
      <c r="D3" s="382"/>
      <c r="E3" s="433"/>
      <c r="F3" s="434" t="s">
        <v>11</v>
      </c>
      <c r="G3" s="382"/>
      <c r="H3" s="433"/>
      <c r="I3" s="390" t="s">
        <v>12</v>
      </c>
      <c r="J3" s="382"/>
      <c r="K3" s="389"/>
      <c r="L3" s="434" t="s">
        <v>50</v>
      </c>
      <c r="M3" s="382"/>
      <c r="N3" s="433"/>
      <c r="O3" s="390" t="s">
        <v>45</v>
      </c>
      <c r="P3" s="382"/>
      <c r="Q3" s="382"/>
      <c r="R3" s="398" t="s">
        <v>160</v>
      </c>
    </row>
    <row r="4" spans="1:20" ht="15.75" thickBot="1" x14ac:dyDescent="0.25">
      <c r="A4" s="432"/>
      <c r="B4" s="432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99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30</v>
      </c>
      <c r="G5" s="194">
        <v>34</v>
      </c>
      <c r="H5" s="213">
        <v>10144</v>
      </c>
      <c r="I5" s="211">
        <v>10</v>
      </c>
      <c r="J5" s="5">
        <v>17</v>
      </c>
      <c r="K5" s="213">
        <v>3177</v>
      </c>
      <c r="L5" s="214"/>
      <c r="M5" s="192"/>
      <c r="N5" s="215"/>
      <c r="O5" s="217">
        <v>870</v>
      </c>
      <c r="P5" s="218"/>
      <c r="Q5" s="294">
        <f t="shared" ref="Q5:Q26" si="0">P5+O5</f>
        <v>870</v>
      </c>
      <c r="R5" s="220" t="s">
        <v>205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25</v>
      </c>
      <c r="G6" s="194">
        <v>68</v>
      </c>
      <c r="H6" s="213">
        <v>27647</v>
      </c>
      <c r="I6" s="211">
        <v>12</v>
      </c>
      <c r="J6" s="5">
        <v>17</v>
      </c>
      <c r="K6" s="213">
        <v>8456</v>
      </c>
      <c r="L6" s="214"/>
      <c r="M6" s="192"/>
      <c r="N6" s="215"/>
      <c r="O6" s="217"/>
      <c r="P6" s="218"/>
      <c r="Q6" s="294">
        <f t="shared" si="0"/>
        <v>0</v>
      </c>
      <c r="R6" s="220" t="s">
        <v>220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79</v>
      </c>
      <c r="D7" s="5">
        <v>34</v>
      </c>
      <c r="E7" s="213">
        <v>5491</v>
      </c>
      <c r="F7" s="211">
        <v>31</v>
      </c>
      <c r="G7" s="194">
        <v>17</v>
      </c>
      <c r="H7" s="213">
        <v>3195</v>
      </c>
      <c r="I7" s="211">
        <v>25</v>
      </c>
      <c r="J7" s="5">
        <v>17</v>
      </c>
      <c r="K7" s="213">
        <v>550</v>
      </c>
      <c r="L7" s="214"/>
      <c r="M7" s="192"/>
      <c r="N7" s="215"/>
      <c r="O7" s="217">
        <v>339</v>
      </c>
      <c r="P7" s="218"/>
      <c r="Q7" s="294">
        <f t="shared" si="0"/>
        <v>339</v>
      </c>
      <c r="R7" s="220" t="s">
        <v>212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28</v>
      </c>
      <c r="D8" s="5"/>
      <c r="E8" s="213">
        <v>4173</v>
      </c>
      <c r="F8" s="211">
        <v>35</v>
      </c>
      <c r="G8" s="194">
        <v>17</v>
      </c>
      <c r="H8" s="213">
        <v>26275</v>
      </c>
      <c r="I8" s="211">
        <v>17</v>
      </c>
      <c r="J8" s="5"/>
      <c r="K8" s="213">
        <v>9557</v>
      </c>
      <c r="L8" s="211">
        <v>178</v>
      </c>
      <c r="M8" s="5"/>
      <c r="N8" s="216">
        <v>3931</v>
      </c>
      <c r="O8" s="217">
        <v>3382</v>
      </c>
      <c r="P8" s="219"/>
      <c r="Q8" s="294">
        <f t="shared" si="0"/>
        <v>3382</v>
      </c>
      <c r="R8" s="220" t="s">
        <v>216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80</v>
      </c>
      <c r="G9" s="194">
        <v>17</v>
      </c>
      <c r="H9" s="213">
        <v>35314</v>
      </c>
      <c r="I9" s="211">
        <v>23</v>
      </c>
      <c r="J9" s="5"/>
      <c r="K9" s="213">
        <v>8684</v>
      </c>
      <c r="L9" s="214"/>
      <c r="M9" s="192"/>
      <c r="N9" s="215"/>
      <c r="O9" s="217">
        <v>3250</v>
      </c>
      <c r="P9" s="218"/>
      <c r="Q9" s="294">
        <f t="shared" si="0"/>
        <v>3250</v>
      </c>
      <c r="R9" s="220" t="s">
        <v>219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19</v>
      </c>
      <c r="D10" s="5"/>
      <c r="E10" s="213">
        <v>309</v>
      </c>
      <c r="F10" s="211">
        <v>72</v>
      </c>
      <c r="G10" s="194">
        <v>17</v>
      </c>
      <c r="H10" s="213">
        <v>1231</v>
      </c>
      <c r="I10" s="214"/>
      <c r="J10" s="192"/>
      <c r="K10" s="212"/>
      <c r="L10" s="211">
        <v>170</v>
      </c>
      <c r="M10" s="5">
        <v>17</v>
      </c>
      <c r="N10" s="216">
        <v>898</v>
      </c>
      <c r="O10" s="217">
        <v>179.5</v>
      </c>
      <c r="P10" s="219"/>
      <c r="Q10" s="294">
        <f t="shared" si="0"/>
        <v>179.5</v>
      </c>
      <c r="R10" s="220" t="s">
        <v>214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15</v>
      </c>
      <c r="D11" s="5"/>
      <c r="E11" s="213">
        <v>2910</v>
      </c>
      <c r="F11" s="211">
        <v>63</v>
      </c>
      <c r="G11" s="194">
        <v>17</v>
      </c>
      <c r="H11" s="213">
        <v>7460</v>
      </c>
      <c r="I11" s="214"/>
      <c r="J11" s="192"/>
      <c r="K11" s="212"/>
      <c r="L11" s="211">
        <v>158</v>
      </c>
      <c r="M11" s="5"/>
      <c r="N11" s="216">
        <v>7396</v>
      </c>
      <c r="O11" s="217">
        <v>1150</v>
      </c>
      <c r="P11" s="219"/>
      <c r="Q11" s="294">
        <f t="shared" si="0"/>
        <v>1150</v>
      </c>
      <c r="R11" s="220" t="s">
        <v>201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165</v>
      </c>
      <c r="G12" s="194">
        <v>34</v>
      </c>
      <c r="H12" s="213">
        <v>22195</v>
      </c>
      <c r="I12" s="211">
        <v>54</v>
      </c>
      <c r="J12" s="5">
        <v>17</v>
      </c>
      <c r="K12" s="213">
        <v>141</v>
      </c>
      <c r="L12" s="214"/>
      <c r="M12" s="192"/>
      <c r="N12" s="215"/>
      <c r="O12" s="217">
        <v>1360</v>
      </c>
      <c r="P12" s="218"/>
      <c r="Q12" s="294">
        <f t="shared" si="0"/>
        <v>1360</v>
      </c>
      <c r="R12" s="220" t="s">
        <v>208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147</v>
      </c>
      <c r="G13" s="194">
        <v>85</v>
      </c>
      <c r="H13" s="213">
        <v>33140</v>
      </c>
      <c r="I13" s="211">
        <v>17</v>
      </c>
      <c r="J13" s="5">
        <v>17</v>
      </c>
      <c r="K13" s="213">
        <v>13300</v>
      </c>
      <c r="L13" s="211">
        <v>96</v>
      </c>
      <c r="M13" s="5"/>
      <c r="N13" s="216">
        <v>23300</v>
      </c>
      <c r="O13" s="217"/>
      <c r="P13" s="219"/>
      <c r="Q13" s="294">
        <f t="shared" si="0"/>
        <v>0</v>
      </c>
      <c r="R13" s="220" t="s">
        <v>202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63</v>
      </c>
      <c r="G14" s="194">
        <v>34</v>
      </c>
      <c r="H14" s="213">
        <v>2215</v>
      </c>
      <c r="I14" s="211">
        <v>21</v>
      </c>
      <c r="J14" s="5"/>
      <c r="K14" s="213">
        <v>879</v>
      </c>
      <c r="L14" s="211">
        <v>114</v>
      </c>
      <c r="M14" s="5">
        <v>68</v>
      </c>
      <c r="N14" s="216">
        <v>6228</v>
      </c>
      <c r="O14" s="217">
        <v>894</v>
      </c>
      <c r="P14" s="219"/>
      <c r="Q14" s="294">
        <f t="shared" si="0"/>
        <v>894</v>
      </c>
      <c r="R14" s="220" t="s">
        <v>203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20</v>
      </c>
      <c r="G15" s="194">
        <v>51</v>
      </c>
      <c r="H15" s="213">
        <v>10855</v>
      </c>
      <c r="I15" s="211">
        <v>24</v>
      </c>
      <c r="J15" s="5">
        <v>17</v>
      </c>
      <c r="K15" s="213">
        <v>2903</v>
      </c>
      <c r="L15" s="211">
        <v>36</v>
      </c>
      <c r="M15" s="5"/>
      <c r="N15" s="216">
        <v>4404</v>
      </c>
      <c r="O15" s="217">
        <v>1779</v>
      </c>
      <c r="P15" s="219"/>
      <c r="Q15" s="294">
        <f t="shared" si="0"/>
        <v>1779</v>
      </c>
      <c r="R15" s="220" t="s">
        <v>213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54</v>
      </c>
      <c r="G16" s="194">
        <v>34</v>
      </c>
      <c r="H16" s="213">
        <v>342</v>
      </c>
      <c r="I16" s="211">
        <v>14</v>
      </c>
      <c r="J16" s="5"/>
      <c r="K16" s="213">
        <v>168</v>
      </c>
      <c r="L16" s="214"/>
      <c r="M16" s="192"/>
      <c r="N16" s="215"/>
      <c r="O16" s="217">
        <v>62</v>
      </c>
      <c r="P16" s="218"/>
      <c r="Q16" s="294">
        <f t="shared" si="0"/>
        <v>62</v>
      </c>
      <c r="R16" s="220" t="s">
        <v>207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67</v>
      </c>
      <c r="G17" s="194"/>
      <c r="H17" s="213">
        <v>2876</v>
      </c>
      <c r="I17" s="211">
        <v>26</v>
      </c>
      <c r="J17" s="5"/>
      <c r="K17" s="213">
        <v>1201</v>
      </c>
      <c r="L17" s="211">
        <v>149</v>
      </c>
      <c r="M17" s="5"/>
      <c r="N17" s="216">
        <v>3076</v>
      </c>
      <c r="O17" s="217">
        <v>800</v>
      </c>
      <c r="P17" s="219"/>
      <c r="Q17" s="294">
        <f t="shared" si="0"/>
        <v>800</v>
      </c>
      <c r="R17" s="220" t="s">
        <v>205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69</v>
      </c>
      <c r="G18" s="194">
        <v>17</v>
      </c>
      <c r="H18" s="213">
        <v>20857</v>
      </c>
      <c r="I18" s="211">
        <v>12</v>
      </c>
      <c r="J18" s="5">
        <v>17</v>
      </c>
      <c r="K18" s="213">
        <v>6463</v>
      </c>
      <c r="L18" s="211">
        <v>147</v>
      </c>
      <c r="M18" s="5">
        <v>17</v>
      </c>
      <c r="N18" s="216">
        <v>16163</v>
      </c>
      <c r="O18" s="217">
        <v>1600</v>
      </c>
      <c r="P18" s="219">
        <v>1340</v>
      </c>
      <c r="Q18" s="294">
        <f t="shared" si="0"/>
        <v>2940</v>
      </c>
      <c r="R18" s="220" t="s">
        <v>204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38</v>
      </c>
      <c r="G19" s="194">
        <v>51</v>
      </c>
      <c r="H19" s="213">
        <v>1125</v>
      </c>
      <c r="I19" s="211">
        <v>14</v>
      </c>
      <c r="J19" s="5"/>
      <c r="K19" s="213">
        <v>247</v>
      </c>
      <c r="L19" s="214"/>
      <c r="M19" s="192"/>
      <c r="N19" s="215"/>
      <c r="O19" s="217">
        <v>100</v>
      </c>
      <c r="P19" s="218"/>
      <c r="Q19" s="294">
        <f t="shared" si="0"/>
        <v>100</v>
      </c>
      <c r="R19" s="220" t="s">
        <v>209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24</v>
      </c>
      <c r="D20" s="5"/>
      <c r="E20" s="213">
        <v>235</v>
      </c>
      <c r="F20" s="211">
        <v>47</v>
      </c>
      <c r="G20" s="194"/>
      <c r="H20" s="213">
        <v>1068</v>
      </c>
      <c r="I20" s="214"/>
      <c r="J20" s="192"/>
      <c r="K20" s="212"/>
      <c r="L20" s="211">
        <v>82</v>
      </c>
      <c r="M20" s="5"/>
      <c r="N20" s="216">
        <v>3790</v>
      </c>
      <c r="O20" s="217">
        <v>80</v>
      </c>
      <c r="P20" s="219">
        <v>280</v>
      </c>
      <c r="Q20" s="294">
        <f t="shared" si="0"/>
        <v>360</v>
      </c>
      <c r="R20" s="220" t="s">
        <v>206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20</v>
      </c>
      <c r="G21" s="194"/>
      <c r="H21" s="213">
        <v>3526</v>
      </c>
      <c r="I21" s="214"/>
      <c r="J21" s="192"/>
      <c r="K21" s="212"/>
      <c r="L21" s="211">
        <v>90</v>
      </c>
      <c r="M21" s="5"/>
      <c r="N21" s="216">
        <v>1027</v>
      </c>
      <c r="O21" s="217">
        <v>95</v>
      </c>
      <c r="P21" s="219">
        <v>30</v>
      </c>
      <c r="Q21" s="294">
        <f t="shared" si="0"/>
        <v>125</v>
      </c>
      <c r="R21" s="220" t="s">
        <v>210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77</v>
      </c>
      <c r="G22" s="194">
        <v>17</v>
      </c>
      <c r="H22" s="213">
        <v>21750</v>
      </c>
      <c r="I22" s="211">
        <v>24</v>
      </c>
      <c r="J22" s="5"/>
      <c r="K22" s="213">
        <v>3625</v>
      </c>
      <c r="L22" s="211">
        <v>149</v>
      </c>
      <c r="M22" s="5">
        <v>34</v>
      </c>
      <c r="N22" s="216">
        <v>61648</v>
      </c>
      <c r="O22" s="217">
        <v>2470</v>
      </c>
      <c r="P22" s="219">
        <v>4800</v>
      </c>
      <c r="Q22" s="294">
        <f t="shared" si="0"/>
        <v>7270</v>
      </c>
      <c r="R22" s="220" t="s">
        <v>217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50</v>
      </c>
      <c r="G23" s="194">
        <v>17</v>
      </c>
      <c r="H23" s="213">
        <v>17241</v>
      </c>
      <c r="I23" s="211">
        <v>14</v>
      </c>
      <c r="J23" s="5"/>
      <c r="K23" s="213">
        <v>3138</v>
      </c>
      <c r="L23" s="211">
        <v>140</v>
      </c>
      <c r="M23" s="5">
        <v>34</v>
      </c>
      <c r="N23" s="216">
        <v>48253</v>
      </c>
      <c r="O23" s="217">
        <v>1775</v>
      </c>
      <c r="P23" s="219">
        <v>3495</v>
      </c>
      <c r="Q23" s="294">
        <f t="shared" si="0"/>
        <v>5270</v>
      </c>
      <c r="R23" s="220" t="s">
        <v>204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/>
      <c r="G24" s="194"/>
      <c r="H24" s="213"/>
      <c r="I24" s="211"/>
      <c r="J24" s="5"/>
      <c r="K24" s="213"/>
      <c r="L24" s="211"/>
      <c r="M24" s="5"/>
      <c r="N24" s="216"/>
      <c r="O24" s="217"/>
      <c r="P24" s="219"/>
      <c r="Q24" s="294">
        <f t="shared" si="0"/>
        <v>0</v>
      </c>
      <c r="R24" s="220"/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78</v>
      </c>
      <c r="G25" s="194"/>
      <c r="H25" s="213">
        <v>10305</v>
      </c>
      <c r="I25" s="211">
        <v>20</v>
      </c>
      <c r="J25" s="5"/>
      <c r="K25" s="213">
        <v>1755</v>
      </c>
      <c r="L25" s="211">
        <v>166</v>
      </c>
      <c r="M25" s="5"/>
      <c r="N25" s="216">
        <v>26344</v>
      </c>
      <c r="O25" s="217">
        <v>1105</v>
      </c>
      <c r="P25" s="219">
        <v>2115</v>
      </c>
      <c r="Q25" s="294">
        <f t="shared" si="0"/>
        <v>3220</v>
      </c>
      <c r="R25" s="220" t="s">
        <v>226</v>
      </c>
    </row>
    <row r="26" spans="1:20" ht="16.5" thickBot="1" x14ac:dyDescent="0.3">
      <c r="A26" s="299">
        <v>22</v>
      </c>
      <c r="B26" s="297" t="s">
        <v>112</v>
      </c>
      <c r="C26" s="197">
        <v>77</v>
      </c>
      <c r="D26" s="194">
        <v>17</v>
      </c>
      <c r="E26" s="213">
        <v>4040</v>
      </c>
      <c r="F26" s="211">
        <v>37</v>
      </c>
      <c r="G26" s="194">
        <v>17</v>
      </c>
      <c r="H26" s="213">
        <v>7950</v>
      </c>
      <c r="I26" s="211">
        <v>34</v>
      </c>
      <c r="J26" s="5"/>
      <c r="K26" s="213">
        <v>2083</v>
      </c>
      <c r="L26" s="211">
        <v>155</v>
      </c>
      <c r="M26" s="5">
        <v>17</v>
      </c>
      <c r="N26" s="216">
        <v>12457</v>
      </c>
      <c r="O26" s="217">
        <v>490</v>
      </c>
      <c r="P26" s="219"/>
      <c r="Q26" s="294">
        <f t="shared" si="0"/>
        <v>490</v>
      </c>
      <c r="R26" s="220" t="s">
        <v>215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116</v>
      </c>
      <c r="G27" s="194">
        <v>17</v>
      </c>
      <c r="H27" s="213">
        <v>5399</v>
      </c>
      <c r="I27" s="211">
        <v>38</v>
      </c>
      <c r="J27" s="5"/>
      <c r="K27" s="213">
        <v>1441</v>
      </c>
      <c r="L27" s="214"/>
      <c r="M27" s="192"/>
      <c r="N27" s="215"/>
      <c r="O27" s="217">
        <v>450</v>
      </c>
      <c r="P27" s="218"/>
      <c r="Q27" s="294">
        <f t="shared" ref="Q27:Q30" si="1">P27+O27</f>
        <v>450</v>
      </c>
      <c r="R27" s="220" t="s">
        <v>211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139</v>
      </c>
      <c r="G28" s="194">
        <v>34</v>
      </c>
      <c r="H28" s="213">
        <v>26264</v>
      </c>
      <c r="I28" s="211">
        <v>78</v>
      </c>
      <c r="J28" s="5">
        <v>17</v>
      </c>
      <c r="K28" s="213">
        <v>8604</v>
      </c>
      <c r="L28" s="214"/>
      <c r="M28" s="192"/>
      <c r="N28" s="215"/>
      <c r="O28" s="217">
        <v>1225</v>
      </c>
      <c r="P28" s="218"/>
      <c r="Q28" s="294">
        <f t="shared" si="1"/>
        <v>1225</v>
      </c>
      <c r="R28" s="220" t="s">
        <v>218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96</v>
      </c>
      <c r="G29" s="194">
        <v>85</v>
      </c>
      <c r="H29" s="213">
        <v>32482</v>
      </c>
      <c r="I29" s="211">
        <v>71</v>
      </c>
      <c r="J29" s="5">
        <v>17</v>
      </c>
      <c r="K29" s="213">
        <v>11758</v>
      </c>
      <c r="L29" s="214"/>
      <c r="M29" s="192"/>
      <c r="N29" s="215"/>
      <c r="O29" s="217">
        <v>4020</v>
      </c>
      <c r="P29" s="218"/>
      <c r="Q29" s="294">
        <f t="shared" si="1"/>
        <v>4020</v>
      </c>
      <c r="R29" s="220" t="s">
        <v>227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83</v>
      </c>
      <c r="G30" s="194">
        <v>102</v>
      </c>
      <c r="H30" s="213">
        <v>34827</v>
      </c>
      <c r="I30" s="211">
        <v>85</v>
      </c>
      <c r="J30" s="5"/>
      <c r="K30" s="213">
        <v>9631</v>
      </c>
      <c r="L30" s="214"/>
      <c r="M30" s="192"/>
      <c r="N30" s="215"/>
      <c r="O30" s="217">
        <v>475</v>
      </c>
      <c r="P30" s="218"/>
      <c r="Q30" s="294">
        <f t="shared" si="1"/>
        <v>475</v>
      </c>
      <c r="R30" s="220" t="s">
        <v>224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77</v>
      </c>
      <c r="G31" s="194">
        <v>102</v>
      </c>
      <c r="H31" s="213">
        <v>59823</v>
      </c>
      <c r="I31" s="211">
        <v>65</v>
      </c>
      <c r="J31" s="5"/>
      <c r="K31" s="213">
        <v>12898</v>
      </c>
      <c r="L31" s="214"/>
      <c r="M31" s="192"/>
      <c r="N31" s="215"/>
      <c r="O31" s="217">
        <v>7800</v>
      </c>
      <c r="P31" s="218"/>
      <c r="Q31" s="294">
        <f t="shared" ref="Q31:Q35" si="2">P31+O31</f>
        <v>7800</v>
      </c>
      <c r="R31" s="220" t="s">
        <v>221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884</v>
      </c>
      <c r="J39" s="193">
        <f>SUM(J5:J31)</f>
        <v>153</v>
      </c>
      <c r="M39" s="193">
        <f>SUM(M5:M31)</f>
        <v>187</v>
      </c>
    </row>
  </sheetData>
  <sheetProtection selectLockedCells="1"/>
  <customSheetViews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1"/>
    </customSheetView>
    <customSheetView guid="{18C0F7AC-4BB1-46DE-8A01-8E31FE0585FC}" scale="85" fitToPage="1">
      <selection activeCell="M7" sqref="M7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C10" sqref="C10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41" t="s">
        <v>225</v>
      </c>
      <c r="C7" s="441"/>
      <c r="D7" s="441"/>
      <c r="E7" s="441"/>
      <c r="F7" s="441"/>
      <c r="G7" s="441"/>
      <c r="H7" s="441"/>
      <c r="I7" s="345"/>
      <c r="J7" s="345"/>
    </row>
    <row r="8" spans="2:10" ht="17.25" thickTop="1" thickBot="1" x14ac:dyDescent="0.25">
      <c r="B8" s="442" t="s">
        <v>14</v>
      </c>
      <c r="C8" s="435" t="s">
        <v>180</v>
      </c>
      <c r="D8" s="444" t="s">
        <v>181</v>
      </c>
      <c r="E8" s="445"/>
      <c r="F8" s="446"/>
      <c r="G8" s="435" t="s">
        <v>182</v>
      </c>
      <c r="H8" s="437" t="s">
        <v>183</v>
      </c>
      <c r="I8" s="347"/>
      <c r="J8" s="347"/>
    </row>
    <row r="9" spans="2:10" ht="16.5" thickBot="1" x14ac:dyDescent="0.25">
      <c r="B9" s="443"/>
      <c r="C9" s="436"/>
      <c r="D9" s="340">
        <v>80</v>
      </c>
      <c r="E9" s="340">
        <v>92</v>
      </c>
      <c r="F9" s="340">
        <v>95</v>
      </c>
      <c r="G9" s="436"/>
      <c r="H9" s="438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26264</v>
      </c>
      <c r="F10" s="350">
        <f>'أخذ التمام الصباحي'!$K$28</f>
        <v>8604</v>
      </c>
      <c r="G10" s="342"/>
      <c r="H10" s="343">
        <f>SUM(D10:G10)</f>
        <v>34868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32482</v>
      </c>
      <c r="F11" s="350">
        <f>'أخذ التمام الصباحي'!$K$29</f>
        <v>11758</v>
      </c>
      <c r="G11" s="342"/>
      <c r="H11" s="343">
        <f t="shared" ref="H11" si="0">SUM(D11:G11)</f>
        <v>44240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34827</v>
      </c>
      <c r="F12" s="350">
        <f>'أخذ التمام الصباحي'!$K$30</f>
        <v>9631</v>
      </c>
      <c r="G12" s="342"/>
      <c r="H12" s="343">
        <f>SUM(D12:G12)</f>
        <v>44458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59823</v>
      </c>
      <c r="F13" s="350">
        <f>'أخذ التمام الصباحي'!$K$31</f>
        <v>12898</v>
      </c>
      <c r="G13" s="342"/>
      <c r="H13" s="343">
        <f>SUM(D13:G13)</f>
        <v>72721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27647</v>
      </c>
      <c r="F14" s="350">
        <f>'أخذ التمام الصباحي'!$K$6</f>
        <v>8456</v>
      </c>
      <c r="G14" s="342"/>
      <c r="H14" s="343">
        <f>SUM(D14:G14)</f>
        <v>36103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5491</v>
      </c>
      <c r="E15" s="350">
        <f>'أخذ التمام الصباحي'!$H$7</f>
        <v>3195</v>
      </c>
      <c r="F15" s="350">
        <f>'أخذ التمام الصباحي'!$K$7</f>
        <v>550</v>
      </c>
      <c r="G15" s="342"/>
      <c r="H15" s="343">
        <f t="shared" ref="H15:H17" si="1">SUM(D15:G15)</f>
        <v>9236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4040</v>
      </c>
      <c r="E16" s="350">
        <f>'أخذ التمام الصباحي'!$H$26</f>
        <v>7950</v>
      </c>
      <c r="F16" s="350">
        <f>'أخذ التمام الصباحي'!$K$26</f>
        <v>2083</v>
      </c>
      <c r="G16" s="350">
        <f>'أخذ التمام الصباحي'!$N$26</f>
        <v>12457</v>
      </c>
      <c r="H16" s="343">
        <f t="shared" si="1"/>
        <v>26530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5399</v>
      </c>
      <c r="F17" s="350">
        <f>'أخذ التمام الصباحي'!$K$27</f>
        <v>1441</v>
      </c>
      <c r="G17" s="342"/>
      <c r="H17" s="343">
        <f t="shared" si="1"/>
        <v>6840</v>
      </c>
    </row>
    <row r="18" spans="2:8" ht="54.95" customHeight="1" thickTop="1" thickBot="1" x14ac:dyDescent="0.25">
      <c r="B18" s="439" t="s">
        <v>192</v>
      </c>
      <c r="C18" s="440"/>
      <c r="D18" s="351">
        <f t="shared" ref="D18:G18" si="2">SUM(D10:D17)</f>
        <v>9531</v>
      </c>
      <c r="E18" s="351">
        <f t="shared" si="2"/>
        <v>197587</v>
      </c>
      <c r="F18" s="351">
        <f t="shared" si="2"/>
        <v>55421</v>
      </c>
      <c r="G18" s="351">
        <f t="shared" si="2"/>
        <v>12457</v>
      </c>
      <c r="H18" s="351">
        <f>SUM(H10:H17)</f>
        <v>274996</v>
      </c>
    </row>
    <row r="19" spans="2:8" ht="15" thickTop="1" x14ac:dyDescent="0.2"/>
  </sheetData>
  <customSheetViews>
    <customSheetView guid="{18C0F7AC-4BB1-46DE-8A01-8E31FE0585FC}" scale="73" showPageBreaks="1" view="pageBreakPreview" topLeftCell="A4">
      <selection activeCell="C10" sqref="C10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6"/>
  <sheetViews>
    <sheetView rightToLeft="1" tabSelected="1" zoomScale="70" zoomScaleNormal="70" workbookViewId="0">
      <selection activeCell="G32" sqref="G32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1" t="s">
        <v>3</v>
      </c>
      <c r="C2" s="460" t="s">
        <v>84</v>
      </c>
      <c r="D2" s="460"/>
      <c r="E2" s="460"/>
      <c r="F2" s="460"/>
      <c r="G2" s="460" t="s">
        <v>88</v>
      </c>
      <c r="H2" s="460"/>
      <c r="I2" s="460"/>
      <c r="N2" s="453" t="s">
        <v>3</v>
      </c>
      <c r="O2" s="447" t="s">
        <v>85</v>
      </c>
      <c r="P2" s="448"/>
      <c r="Q2" s="448"/>
      <c r="R2" s="448"/>
      <c r="S2" s="448"/>
      <c r="T2" s="449"/>
    </row>
    <row r="3" spans="1:23" ht="15.75" thickBot="1" x14ac:dyDescent="0.25">
      <c r="B3" s="401"/>
      <c r="C3" s="459" t="s">
        <v>82</v>
      </c>
      <c r="D3" s="459"/>
      <c r="E3" s="459"/>
      <c r="F3" s="188" t="s">
        <v>81</v>
      </c>
      <c r="G3" s="459" t="s">
        <v>81</v>
      </c>
      <c r="H3" s="459"/>
      <c r="I3" s="459"/>
      <c r="N3" s="454"/>
      <c r="O3" s="456" t="s">
        <v>87</v>
      </c>
      <c r="P3" s="457"/>
      <c r="Q3" s="458"/>
      <c r="R3" s="456" t="s">
        <v>164</v>
      </c>
      <c r="S3" s="457"/>
      <c r="T3" s="458"/>
    </row>
    <row r="4" spans="1:23" ht="15.75" thickBot="1" x14ac:dyDescent="0.25">
      <c r="A4" s="461"/>
      <c r="B4" s="401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55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61"/>
      <c r="B5" s="186" t="s">
        <v>15</v>
      </c>
      <c r="C5" s="184">
        <v>34</v>
      </c>
      <c r="D5" s="184">
        <v>17</v>
      </c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>
        <v>34</v>
      </c>
      <c r="S5" s="293"/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68</v>
      </c>
      <c r="I7" s="287">
        <v>17</v>
      </c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>
        <v>17</v>
      </c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0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17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>
        <v>17</v>
      </c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/>
      <c r="F12" s="184"/>
      <c r="G12" s="184"/>
      <c r="H12" s="184"/>
      <c r="I12" s="161"/>
      <c r="J12" s="285"/>
      <c r="K12" s="325"/>
      <c r="L12" s="187"/>
      <c r="P12" s="453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>
        <v>34</v>
      </c>
      <c r="I13" s="184">
        <v>17</v>
      </c>
      <c r="P13" s="454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85</v>
      </c>
      <c r="D14" s="184">
        <v>17</v>
      </c>
      <c r="E14" s="184"/>
      <c r="F14" s="184"/>
      <c r="G14" s="161"/>
      <c r="H14" s="184"/>
      <c r="I14" s="184"/>
      <c r="P14" s="455"/>
      <c r="Q14" s="163" t="s">
        <v>50</v>
      </c>
      <c r="S14" s="163" t="s">
        <v>93</v>
      </c>
      <c r="T14" s="162">
        <f>G22+C34</f>
        <v>34</v>
      </c>
      <c r="U14" s="162">
        <f>H22+D34</f>
        <v>323</v>
      </c>
      <c r="V14" s="162">
        <f>I22</f>
        <v>51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>
        <v>102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17</v>
      </c>
      <c r="U15" s="162">
        <f>C22+O9+F34</f>
        <v>527</v>
      </c>
      <c r="V15" s="162">
        <f>D22+P9+G34</f>
        <v>102</v>
      </c>
      <c r="W15" s="162">
        <f>E22+I34+Q9</f>
        <v>119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>
        <v>51</v>
      </c>
      <c r="I16" s="330"/>
      <c r="P16" s="191" t="s">
        <v>31</v>
      </c>
      <c r="Q16" s="305"/>
      <c r="S16" s="163" t="s">
        <v>164</v>
      </c>
      <c r="T16" s="288"/>
      <c r="U16" s="162">
        <f>R9</f>
        <v>34</v>
      </c>
      <c r="V16" s="162">
        <f>S9</f>
        <v>0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85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51</v>
      </c>
      <c r="U19" s="162">
        <f>'التمام الصباحي'!L39</f>
        <v>884</v>
      </c>
      <c r="V19" s="162">
        <f>'التمام الصباحي'!R39</f>
        <v>153</v>
      </c>
      <c r="W19" s="162">
        <f>'التمام الصباحي'!X39</f>
        <v>187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884</v>
      </c>
      <c r="V20" s="162">
        <f>D22+I22+G34+P9+S9</f>
        <v>153</v>
      </c>
      <c r="W20" s="162">
        <f>E22+F22+Q9+T9+E34+I34+Q19</f>
        <v>187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SUM(C5:C21)+E46</f>
        <v>493</v>
      </c>
      <c r="D22" s="330">
        <f>SUM(D5:D21)+F46</f>
        <v>85</v>
      </c>
      <c r="E22" s="330">
        <f>SUM(E5:E18)+G46</f>
        <v>85</v>
      </c>
      <c r="F22" s="330">
        <f>SUM(F5:F18)+D46</f>
        <v>0</v>
      </c>
      <c r="G22" s="330">
        <f>SUM(G5:G18)</f>
        <v>34</v>
      </c>
      <c r="H22" s="330">
        <f>SUM(H5:H21)+B46</f>
        <v>272</v>
      </c>
      <c r="I22" s="330">
        <f>SUM(I5:I21)+C46</f>
        <v>51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53" t="s">
        <v>3</v>
      </c>
      <c r="C25" s="447" t="s">
        <v>86</v>
      </c>
      <c r="D25" s="448"/>
      <c r="E25" s="448"/>
      <c r="F25" s="448"/>
      <c r="G25" s="448"/>
      <c r="H25" s="448"/>
      <c r="I25" s="449"/>
      <c r="J25" s="300"/>
    </row>
    <row r="26" spans="1:23" ht="17.25" customHeight="1" thickBot="1" x14ac:dyDescent="0.25">
      <c r="B26" s="454"/>
      <c r="C26" s="459" t="s">
        <v>81</v>
      </c>
      <c r="D26" s="459"/>
      <c r="E26" s="459"/>
      <c r="F26" s="459" t="s">
        <v>87</v>
      </c>
      <c r="G26" s="459"/>
      <c r="H26" s="459"/>
      <c r="I26" s="459"/>
      <c r="J26" s="300"/>
    </row>
    <row r="27" spans="1:23" ht="15.75" thickBot="1" x14ac:dyDescent="0.25">
      <c r="B27" s="455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>
        <v>17</v>
      </c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>
        <v>51</v>
      </c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>
        <v>17</v>
      </c>
      <c r="I32" s="330">
        <v>17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SUM(C28:C33)+L46</f>
        <v>0</v>
      </c>
      <c r="D34" s="330">
        <f>SUM(D28:D33)+M46</f>
        <v>51</v>
      </c>
      <c r="E34" s="330">
        <f>SUM(E28:E33)+N46</f>
        <v>0</v>
      </c>
      <c r="F34" s="330">
        <f>SUM(F28:F33)+H46</f>
        <v>34</v>
      </c>
      <c r="G34" s="330">
        <f>SUM(G28:G33)+I46</f>
        <v>17</v>
      </c>
      <c r="H34" s="330">
        <f>SUM(H28:H32)+K46</f>
        <v>17</v>
      </c>
      <c r="I34" s="330">
        <f>SUM(I28:I33)+J46</f>
        <v>34</v>
      </c>
    </row>
    <row r="36" spans="1:14" ht="15" thickBot="1" x14ac:dyDescent="0.25"/>
    <row r="37" spans="1:14" ht="15.75" thickBot="1" x14ac:dyDescent="0.25">
      <c r="A37" s="453" t="s">
        <v>3</v>
      </c>
      <c r="B37" s="450" t="s">
        <v>88</v>
      </c>
      <c r="C37" s="451"/>
      <c r="D37" s="450" t="s">
        <v>84</v>
      </c>
      <c r="E37" s="452"/>
      <c r="F37" s="452"/>
      <c r="G37" s="451"/>
      <c r="H37" s="450" t="s">
        <v>86</v>
      </c>
      <c r="I37" s="452"/>
      <c r="J37" s="452"/>
      <c r="K37" s="452"/>
      <c r="L37" s="452"/>
      <c r="M37" s="452"/>
      <c r="N37" s="451"/>
    </row>
    <row r="38" spans="1:14" ht="15.75" thickBot="1" x14ac:dyDescent="0.25">
      <c r="A38" s="454"/>
      <c r="B38" s="450" t="s">
        <v>81</v>
      </c>
      <c r="C38" s="451"/>
      <c r="D38" s="329" t="s">
        <v>81</v>
      </c>
      <c r="E38" s="450" t="s">
        <v>87</v>
      </c>
      <c r="F38" s="452"/>
      <c r="G38" s="451"/>
      <c r="H38" s="450" t="s">
        <v>87</v>
      </c>
      <c r="I38" s="452"/>
      <c r="J38" s="452"/>
      <c r="K38" s="451"/>
      <c r="L38" s="450" t="s">
        <v>81</v>
      </c>
      <c r="M38" s="452"/>
      <c r="N38" s="451"/>
    </row>
    <row r="39" spans="1:14" ht="15.75" thickBot="1" x14ac:dyDescent="0.25">
      <c r="A39" s="455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34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>
        <v>34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5" t="s">
        <v>33</v>
      </c>
      <c r="B43" s="366"/>
      <c r="C43" s="366"/>
      <c r="D43" s="366"/>
      <c r="E43" s="366"/>
      <c r="F43" s="366"/>
      <c r="G43" s="366"/>
      <c r="H43" s="366"/>
      <c r="I43" s="229"/>
      <c r="J43" s="229"/>
      <c r="K43" s="229"/>
      <c r="L43" s="229"/>
      <c r="M43" s="229"/>
      <c r="N43" s="229"/>
    </row>
    <row r="44" spans="1:14" ht="16.5" thickBot="1" x14ac:dyDescent="0.25">
      <c r="A44" s="365" t="s">
        <v>222</v>
      </c>
      <c r="B44" s="366">
        <v>51</v>
      </c>
      <c r="C44" s="366">
        <v>17</v>
      </c>
      <c r="D44" s="366"/>
      <c r="E44" s="366"/>
      <c r="F44" s="366"/>
      <c r="G44" s="366"/>
      <c r="H44" s="366"/>
      <c r="I44" s="229"/>
      <c r="J44" s="229"/>
      <c r="K44" s="229"/>
      <c r="L44" s="229"/>
      <c r="M44" s="229"/>
      <c r="N44" s="229"/>
    </row>
    <row r="45" spans="1:14" ht="16.5" thickBot="1" x14ac:dyDescent="0.25">
      <c r="A45" s="362" t="s">
        <v>223</v>
      </c>
      <c r="B45" s="230">
        <v>34</v>
      </c>
      <c r="C45" s="230"/>
      <c r="D45" s="230"/>
      <c r="E45" s="230"/>
      <c r="F45" s="230"/>
      <c r="G45" s="230"/>
      <c r="H45" s="230"/>
      <c r="I45" s="229"/>
      <c r="J45" s="229"/>
      <c r="K45" s="229"/>
      <c r="L45" s="229"/>
      <c r="M45" s="229"/>
      <c r="N45" s="229"/>
    </row>
    <row r="46" spans="1:14" ht="15.75" thickBot="1" x14ac:dyDescent="0.25">
      <c r="A46" s="319" t="s">
        <v>172</v>
      </c>
      <c r="B46" s="313">
        <f t="shared" ref="B46:N46" si="2">SUM(B40:B45)</f>
        <v>85</v>
      </c>
      <c r="C46" s="313">
        <f t="shared" si="2"/>
        <v>17</v>
      </c>
      <c r="D46" s="313">
        <f t="shared" si="2"/>
        <v>0</v>
      </c>
      <c r="E46" s="313">
        <f t="shared" si="2"/>
        <v>34</v>
      </c>
      <c r="F46" s="313">
        <f t="shared" si="2"/>
        <v>0</v>
      </c>
      <c r="G46" s="313">
        <f t="shared" si="2"/>
        <v>68</v>
      </c>
      <c r="H46" s="313">
        <f t="shared" si="2"/>
        <v>0</v>
      </c>
      <c r="I46" s="313">
        <f t="shared" si="2"/>
        <v>0</v>
      </c>
      <c r="J46" s="363">
        <f t="shared" si="2"/>
        <v>0</v>
      </c>
      <c r="K46" s="363">
        <f t="shared" si="2"/>
        <v>0</v>
      </c>
      <c r="L46" s="363">
        <f t="shared" si="2"/>
        <v>0</v>
      </c>
      <c r="M46" s="363">
        <f t="shared" si="2"/>
        <v>0</v>
      </c>
      <c r="N46" s="363">
        <f t="shared" si="2"/>
        <v>0</v>
      </c>
    </row>
  </sheetData>
  <customSheetViews>
    <customSheetView guid="{8317B6D8-8A99-4EB0-9DBC-8E9AE0170A4B}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cale="70">
      <selection activeCell="H22" sqref="H22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482" t="s">
        <v>159</v>
      </c>
      <c r="E5" s="482"/>
      <c r="F5" s="482"/>
      <c r="G5" s="482"/>
      <c r="H5" s="482"/>
      <c r="Q5" s="476" t="s">
        <v>118</v>
      </c>
      <c r="R5" s="476"/>
      <c r="S5" s="476"/>
      <c r="T5" s="476"/>
      <c r="U5" s="476"/>
    </row>
    <row r="6" spans="4:24" ht="15.75" hidden="1" customHeight="1" thickBot="1" x14ac:dyDescent="0.25">
      <c r="D6" s="477" t="s">
        <v>3</v>
      </c>
      <c r="E6" s="258">
        <v>80</v>
      </c>
      <c r="F6" s="232">
        <v>92</v>
      </c>
      <c r="G6" s="232">
        <v>95</v>
      </c>
      <c r="H6" s="232" t="s">
        <v>50</v>
      </c>
      <c r="K6" s="369" t="s">
        <v>3</v>
      </c>
      <c r="L6" s="231">
        <v>80</v>
      </c>
      <c r="M6" s="231">
        <v>92</v>
      </c>
      <c r="N6" s="231">
        <v>95</v>
      </c>
      <c r="O6" s="231" t="s">
        <v>50</v>
      </c>
      <c r="Q6" s="369" t="s">
        <v>3</v>
      </c>
      <c r="R6" s="479" t="s">
        <v>95</v>
      </c>
      <c r="S6" s="479" t="s">
        <v>96</v>
      </c>
      <c r="T6" s="479" t="s">
        <v>97</v>
      </c>
      <c r="U6" s="481" t="s">
        <v>98</v>
      </c>
      <c r="W6" s="369" t="s">
        <v>99</v>
      </c>
      <c r="X6" s="369" t="s">
        <v>100</v>
      </c>
    </row>
    <row r="7" spans="4:24" ht="15.75" hidden="1" customHeight="1" thickBot="1" x14ac:dyDescent="0.25">
      <c r="D7" s="478"/>
      <c r="E7" s="258" t="s">
        <v>7</v>
      </c>
      <c r="F7" s="232" t="s">
        <v>7</v>
      </c>
      <c r="G7" s="232" t="s">
        <v>7</v>
      </c>
      <c r="H7" s="232" t="s">
        <v>7</v>
      </c>
      <c r="K7" s="369"/>
      <c r="L7" s="201" t="s">
        <v>7</v>
      </c>
      <c r="M7" s="201" t="s">
        <v>7</v>
      </c>
      <c r="N7" s="201" t="s">
        <v>7</v>
      </c>
      <c r="O7" s="201" t="s">
        <v>7</v>
      </c>
      <c r="Q7" s="369"/>
      <c r="R7" s="480"/>
      <c r="S7" s="480"/>
      <c r="T7" s="480"/>
      <c r="U7" s="481"/>
      <c r="W7" s="369"/>
      <c r="X7" s="369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470" t="s">
        <v>101</v>
      </c>
      <c r="X8" s="47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471"/>
      <c r="X9" s="47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462">
        <f>IF((ROUNDDOWN((SUM(M10:M11)/51)-(R10+R11),0.9))&lt;0,0,(ROUNDDOWN((SUM(M10:M11)/51)-(R10+R11),0.9)))</f>
        <v>0</v>
      </c>
      <c r="T10" s="462">
        <f>IF((ROUNDDOWN((SUM(O10:O11)/51)-(R10+R11),0.9))&lt;0,0,(ROUNDDOWN((SUM(O10:O11)/51)-(R10+R11),0.9)))</f>
        <v>0</v>
      </c>
      <c r="U10" s="462">
        <f>IF((ROUNDDOWN((SUM(L10:O11)/51)-(R10+R11+S10+T10),0.9))&lt;0,0,ROUNDDOWN((SUM(L10:O11)/51)-(R10+R11+S10+T10),0.9))</f>
        <v>0</v>
      </c>
      <c r="W10" s="471"/>
      <c r="X10" s="47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463"/>
      <c r="T11" s="463"/>
      <c r="U11" s="463"/>
      <c r="W11" s="471"/>
      <c r="X11" s="47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466">
        <f>IF((ROUNDDOWN((SUM(M12:M13)/51)-(R12+R13),0.9))&lt;0,0,(ROUNDDOWN((SUM(M12:M13)/51)-(R12+R13),0.9)))</f>
        <v>0</v>
      </c>
      <c r="T12" s="466">
        <f t="shared" ref="T12" si="3">IF((ROUNDDOWN((SUM(O12:O13)/51)-(R12+R13),0.9))&lt;0,0,(ROUNDDOWN((SUM(O12:O13)/51)-(R12+R13),0.9)))</f>
        <v>0</v>
      </c>
      <c r="U12" s="466">
        <f t="shared" ref="U12" si="4">IF((ROUNDDOWN((SUM(L12:O13)/51)-(R12+R13+S12+T12),0.9))&lt;0,0,ROUNDDOWN((SUM(L12:O13)/51)-(R12+R13+S12+T12),0.9))</f>
        <v>0</v>
      </c>
      <c r="W12" s="471"/>
      <c r="X12" s="47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466"/>
      <c r="T13" s="466"/>
      <c r="U13" s="466"/>
      <c r="W13" s="471"/>
      <c r="X13" s="47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462">
        <f>IF((ROUNDDOWN((SUM(M14:M15)/51)-(R14+R15),0.9))&lt;0,0,(ROUNDDOWN((SUM(M14:M15)/51)-(R14+R15),0.9)))</f>
        <v>0</v>
      </c>
      <c r="T14" s="462">
        <f t="shared" ref="T14" si="5">IF((ROUNDDOWN((SUM(O14:O15)/51)-(R14+R15),0.9))&lt;0,0,(ROUNDDOWN((SUM(O14:O15)/51)-(R14+R15),0.9)))</f>
        <v>0</v>
      </c>
      <c r="U14" s="462">
        <f t="shared" ref="U14" si="6">IF((ROUNDDOWN((SUM(L14:O15)/51)-(R14+R15+S14+T14),0.9))&lt;0,0,ROUNDDOWN((SUM(L14:O15)/51)-(R14+R15+S14+T14),0.9))</f>
        <v>0</v>
      </c>
      <c r="W14" s="471"/>
      <c r="X14" s="47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463"/>
      <c r="T15" s="463"/>
      <c r="U15" s="463"/>
      <c r="W15" s="472"/>
      <c r="X15" s="47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464" t="s">
        <v>85</v>
      </c>
      <c r="X16" s="465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468">
        <f>IF((ROUNDDOWN((SUM(M17:M18)/51)-(R17+R18),0.9))&lt;0,0,(ROUNDDOWN((SUM(M17:M18)/51)-(R17+R18),0.9)))</f>
        <v>0</v>
      </c>
      <c r="T17" s="468">
        <f>IF((ROUNDDOWN((SUM(O17:O18)/51)-(R17+R18),0.9))&lt;0,0,(ROUNDDOWN((SUM(O17:O18)/51)-(R17+R18),0.9)))</f>
        <v>0</v>
      </c>
      <c r="U17" s="468">
        <f>IF((ROUNDDOWN((SUM(L17:O18)/51)-(R17+R18+S17+T17),0.9))&lt;0,0,ROUNDDOWN((SUM(L17:O18)/51)-(R17+R18+S17+T17),0.9))</f>
        <v>0</v>
      </c>
      <c r="W17" s="464"/>
      <c r="X17" s="465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469"/>
      <c r="T18" s="469"/>
      <c r="U18" s="469"/>
      <c r="W18" s="464"/>
      <c r="X18" s="465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464"/>
      <c r="X19" s="465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462">
        <f>IF((ROUNDDOWN((SUM(M20:M21)/51)-(R20+R21),0.9))&lt;0,0,(ROUNDDOWN((SUM(M20:M21)/51)-(R20+R21),0.9)))</f>
        <v>0</v>
      </c>
      <c r="T20" s="462">
        <f>IF((ROUNDDOWN((SUM(O20:O21)/51)-(R20+R21),0.9))&lt;0,0,(ROUNDDOWN((SUM(O20:O21)/51)-(R20+R21),0.9)))</f>
        <v>0</v>
      </c>
      <c r="U20" s="462">
        <f>IF((ROUNDDOWN((SUM(L20:O21)/51)-(R20+R21+S20+T20),0.9))&lt;0,0,ROUNDDOWN((SUM(L20:O21)/51)-(R20+R21+S20+T20),0.9))</f>
        <v>0</v>
      </c>
      <c r="W20" s="464" t="s">
        <v>102</v>
      </c>
      <c r="X20" s="465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463"/>
      <c r="T21" s="463"/>
      <c r="U21" s="463"/>
      <c r="W21" s="464"/>
      <c r="X21" s="465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466">
        <f>IF((ROUNDDOWN((SUM(M22:M23)/51)-(R22+R23),0.9))&lt;0,0,(ROUNDDOWN((SUM(M22:M23)/51)-(R22+R23),0.9)))</f>
        <v>0</v>
      </c>
      <c r="T22" s="468">
        <f>IF((ROUNDDOWN((SUM(O22:O23)/51)-(R22+R23),0.9))&lt;0,0,(ROUNDDOWN((SUM(O22:O23)/51)-(R22+R23),0.9)))</f>
        <v>0</v>
      </c>
      <c r="U22" s="468">
        <f t="shared" ref="U22" si="7">IF((ROUNDDOWN((SUM(L22:O23)/51)-(R22+R23+S22+T22),0.9))&lt;0,0,ROUNDDOWN((SUM(L22:O23)/51)-(R22+R23+S22+T22),0.9))</f>
        <v>0</v>
      </c>
      <c r="W22" s="464"/>
      <c r="X22" s="465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466"/>
      <c r="T23" s="469"/>
      <c r="U23" s="469"/>
      <c r="W23" s="464"/>
      <c r="X23" s="465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462">
        <f>IF((ROUNDDOWN((SUM(M24:M25)/51)-(R24+R25),0.9))&lt;0,0,(ROUNDDOWN((SUM(M24:M25)/51)-(R24+R25),0.9)))</f>
        <v>0</v>
      </c>
      <c r="T24" s="462">
        <f>IF((ROUNDDOWN((SUM(O24:O25)/51)-(R24+R25),0.9))&lt;0,0,(ROUNDDOWN((SUM(O24:O25)/51)-(R24+R25),0.9)))</f>
        <v>0</v>
      </c>
      <c r="U24" s="462">
        <f t="shared" ref="U24" si="8">IF((ROUNDDOWN((SUM(L24:O25)/51)-(R24+R25+S24+T24),0.9))&lt;0,0,ROUNDDOWN((SUM(L24:O25)/51)-(R24+R25+S24+T24),0.9))</f>
        <v>0</v>
      </c>
      <c r="W24" s="464" t="s">
        <v>90</v>
      </c>
      <c r="X24" s="465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463"/>
      <c r="T25" s="463"/>
      <c r="U25" s="463"/>
      <c r="W25" s="464"/>
      <c r="X25" s="465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466">
        <f>IF((ROUNDDOWN((SUM(M26:M27)/51)-(R26+R27),0.9))&lt;0,0,(ROUNDDOWN((SUM(M26:M27)/51)-(R26+R27),0.9)))</f>
        <v>0</v>
      </c>
      <c r="T26" s="466">
        <f>IF((ROUNDDOWN((SUM(O26:O27)/51)-(R26+R27),0.9))&lt;0,0,(ROUNDDOWN((SUM(O26:O27)/51)-(R26+R27),0.9)))</f>
        <v>0</v>
      </c>
      <c r="U26" s="466">
        <f t="shared" ref="U26" si="10">IF((ROUNDDOWN((SUM(L26:O27)/51)-(R26+R27+S26+T26),0.9))&lt;0,0,ROUNDDOWN((SUM(L26:O27)/51)-(R26+R27+S26+T26),0.9))</f>
        <v>0</v>
      </c>
      <c r="W26" s="464"/>
      <c r="X26" s="465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467"/>
      <c r="T27" s="467"/>
      <c r="U27" s="467"/>
      <c r="W27" s="464"/>
      <c r="X27" s="465"/>
    </row>
    <row r="28" spans="4:24" ht="14.25" hidden="1" customHeight="1" x14ac:dyDescent="0.2"/>
    <row r="29" spans="4:24" ht="21" thickBot="1" x14ac:dyDescent="0.35">
      <c r="D29" s="482"/>
      <c r="E29" s="482"/>
      <c r="F29" s="482"/>
      <c r="G29" s="482"/>
      <c r="H29" s="482"/>
      <c r="Q29" s="476" t="s">
        <v>118</v>
      </c>
      <c r="R29" s="476"/>
      <c r="S29" s="476"/>
      <c r="T29" s="476"/>
      <c r="U29" s="476"/>
    </row>
    <row r="30" spans="4:24" ht="15.75" thickBot="1" x14ac:dyDescent="0.25">
      <c r="D30" s="477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69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69" t="s">
        <v>3</v>
      </c>
      <c r="R30" s="479" t="s">
        <v>95</v>
      </c>
      <c r="S30" s="479" t="s">
        <v>96</v>
      </c>
      <c r="T30" s="479" t="s">
        <v>97</v>
      </c>
      <c r="U30" s="481" t="s">
        <v>98</v>
      </c>
      <c r="W30" s="369" t="s">
        <v>99</v>
      </c>
      <c r="X30" s="369" t="s">
        <v>100</v>
      </c>
    </row>
    <row r="31" spans="4:24" ht="15.75" thickBot="1" x14ac:dyDescent="0.25">
      <c r="D31" s="478"/>
      <c r="E31" s="258" t="s">
        <v>7</v>
      </c>
      <c r="F31" s="232" t="s">
        <v>7</v>
      </c>
      <c r="G31" s="232" t="s">
        <v>7</v>
      </c>
      <c r="H31" s="232" t="s">
        <v>7</v>
      </c>
      <c r="K31" s="369"/>
      <c r="L31" s="201" t="s">
        <v>7</v>
      </c>
      <c r="M31" s="201" t="s">
        <v>7</v>
      </c>
      <c r="N31" s="201" t="s">
        <v>7</v>
      </c>
      <c r="O31" s="201" t="s">
        <v>7</v>
      </c>
      <c r="Q31" s="369"/>
      <c r="R31" s="480"/>
      <c r="S31" s="480"/>
      <c r="T31" s="480"/>
      <c r="U31" s="481"/>
      <c r="W31" s="369"/>
      <c r="X31" s="369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85</v>
      </c>
      <c r="G32" s="194">
        <f>'التمام الصباحي'!Q8+'التمام الصباحي'!S8</f>
        <v>28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85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2</v>
      </c>
      <c r="S32" s="239"/>
      <c r="T32" s="240"/>
      <c r="U32" s="241"/>
      <c r="W32" s="470" t="s">
        <v>101</v>
      </c>
      <c r="X32" s="473">
        <f>SUM(R32:U39)/3</f>
        <v>3.6666666666666665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94</v>
      </c>
      <c r="G33" s="194">
        <f>'التمام الصباحي'!Q9+'التمام الصباحي'!S9</f>
        <v>27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85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2</v>
      </c>
      <c r="S33" s="252"/>
      <c r="T33" s="253"/>
      <c r="U33" s="254"/>
      <c r="W33" s="471"/>
      <c r="X33" s="47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2</v>
      </c>
      <c r="F34" s="194">
        <f>'التمام الصباحي'!K10+'التمام الصباحي'!M10</f>
        <v>83</v>
      </c>
      <c r="G34" s="194">
        <f>'التمام الصباحي'!Q10+'التمام الصباحي'!S10</f>
        <v>23.5</v>
      </c>
      <c r="H34" s="354"/>
      <c r="K34" s="233" t="s">
        <v>158</v>
      </c>
      <c r="L34" s="235">
        <f>IF(E34&gt;101,102,IF(E34&gt;84,85,IF(E34&gt;67,68,IF(E34&gt;50,51,IF(E34&gt;33,34,IF(E34&gt;16,17,0))))))</f>
        <v>0</v>
      </c>
      <c r="M34" s="235">
        <f t="shared" si="12"/>
        <v>68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1</v>
      </c>
      <c r="S34" s="462">
        <f>IF((ROUNDDOWN((SUM(M34:M35)/51)-(R34+R35),0.9))&lt;0,0,(ROUNDDOWN((SUM(M34:M35)/51)-(R34+R35),0.9)))</f>
        <v>0</v>
      </c>
      <c r="T34" s="462">
        <f>IF((ROUNDDOWN((SUM(O34:O35)/51)-(R34+R35),0.9))&lt;0,0,(ROUNDDOWN((SUM(O34:O35)/51)-(R34+R35),0.9)))</f>
        <v>0</v>
      </c>
      <c r="U34" s="462">
        <f>IF((ROUNDDOWN((SUM(L34:O35)/51)-(R34+R35+S34+T34),0.9))&lt;0,0,ROUNDDOWN((SUM(L34:O35)/51)-(R34+R35+S34+T34),0.9))</f>
        <v>0</v>
      </c>
      <c r="W34" s="471"/>
      <c r="X34" s="47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7</v>
      </c>
      <c r="F35" s="194">
        <f>'التمام الصباحي'!K11+'التمام الصباحي'!M11</f>
        <v>50</v>
      </c>
      <c r="G35" s="194">
        <f>'التمام الصباحي'!Q11+'التمام الصباحي'!S11</f>
        <v>21</v>
      </c>
      <c r="H35" s="194">
        <f>'التمام الصباحي'!W11+'التمام الصباحي'!Y11</f>
        <v>8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463"/>
      <c r="T35" s="463"/>
      <c r="U35" s="463"/>
      <c r="W35" s="471"/>
      <c r="X35" s="47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50</v>
      </c>
      <c r="G36" s="194">
        <f>'التمام الصباحي'!Q12+'التمام الصباحي'!S12</f>
        <v>19</v>
      </c>
      <c r="H36" s="354"/>
      <c r="K36" s="233" t="s">
        <v>17</v>
      </c>
      <c r="L36" s="234"/>
      <c r="M36" s="235">
        <f t="shared" si="12"/>
        <v>34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466">
        <f>IF((ROUNDDOWN((SUM(M36:M37)/51)-(R36+R37),0.9))&lt;0,0,(ROUNDDOWN((SUM(M36:M37)/51)-(R36+R37),0.9)))</f>
        <v>0</v>
      </c>
      <c r="T36" s="466">
        <f t="shared" ref="T36" si="15">IF((ROUNDDOWN((SUM(O36:O37)/51)-(R36+R37),0.9))&lt;0,0,(ROUNDDOWN((SUM(O36:O37)/51)-(R36+R37),0.9)))</f>
        <v>0</v>
      </c>
      <c r="U36" s="466">
        <f t="shared" ref="U36" si="16">IF((ROUNDDOWN((SUM(L36:O37)/51)-(R36+R37+S36+T36),0.9))&lt;0,0,ROUNDDOWN((SUM(L36:O37)/51)-(R36+R37+S36+T36),0.9))</f>
        <v>0</v>
      </c>
      <c r="W36" s="471"/>
      <c r="X36" s="474"/>
    </row>
    <row r="37" spans="3:24" ht="16.5" thickBot="1" x14ac:dyDescent="0.3">
      <c r="D37" s="233" t="s">
        <v>18</v>
      </c>
      <c r="E37" s="194">
        <f>'التمام الصباحي'!E13+'التمام الصباحي'!G13</f>
        <v>15</v>
      </c>
      <c r="F37" s="194">
        <f>'التمام الصباحي'!K13+'التمام الصباحي'!M13</f>
        <v>44</v>
      </c>
      <c r="G37" s="295"/>
      <c r="H37" s="194">
        <f>'التمام الصباحي'!W13+'التمام الصباحي'!Y13</f>
        <v>20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466"/>
      <c r="T37" s="466"/>
      <c r="U37" s="466"/>
      <c r="W37" s="471"/>
      <c r="X37" s="47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24</v>
      </c>
      <c r="F38" s="194">
        <f>'التمام الصباحي'!K14+'التمام الصباحي'!M14</f>
        <v>51</v>
      </c>
      <c r="G38" s="295"/>
      <c r="H38" s="194">
        <f>'التمام الصباحي'!W14+'التمام الصباحي'!Y14</f>
        <v>44</v>
      </c>
      <c r="K38" s="233" t="s">
        <v>19</v>
      </c>
      <c r="L38" s="235">
        <f t="shared" si="14"/>
        <v>17</v>
      </c>
      <c r="M38" s="235">
        <f t="shared" si="12"/>
        <v>51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2</v>
      </c>
      <c r="S38" s="462">
        <f>IF((ROUNDDOWN((SUM(M38:M39)/51)-(R38+R39),0.9))&lt;0,0,(ROUNDDOWN((SUM(M38:M39)/51)-(R38+R39),0.9)))</f>
        <v>0</v>
      </c>
      <c r="T38" s="462">
        <f t="shared" ref="T38" si="18">IF((ROUNDDOWN((SUM(O38:O39)/51)-(R38+R39),0.9))&lt;0,0,(ROUNDDOWN((SUM(O38:O39)/51)-(R38+R39),0.9)))</f>
        <v>0</v>
      </c>
      <c r="U38" s="462">
        <f t="shared" ref="U38" si="19">IF((ROUNDDOWN((SUM(L38:O39)/51)-(R38+R39+S38+T38),0.9))&lt;0,0,ROUNDDOWN((SUM(L38:O39)/51)-(R38+R39+S38+T38),0.9))</f>
        <v>0</v>
      </c>
      <c r="W38" s="471"/>
      <c r="X38" s="47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67</v>
      </c>
      <c r="G39" s="194">
        <f>'التمام الصباحي'!Q15+'التمام الصباحي'!S15</f>
        <v>20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463"/>
      <c r="T39" s="463"/>
      <c r="U39" s="463"/>
      <c r="W39" s="472"/>
      <c r="X39" s="47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75</v>
      </c>
      <c r="G40" s="194">
        <f>'التمام الصباحي'!Q16+'التمام الصباحي'!S16</f>
        <v>39</v>
      </c>
      <c r="H40" s="194">
        <f>'التمام الصباحي'!W16+'التمام الصباحي'!Y16</f>
        <v>55</v>
      </c>
      <c r="K40" s="233" t="s">
        <v>21</v>
      </c>
      <c r="L40" s="234"/>
      <c r="M40" s="235">
        <f t="shared" si="12"/>
        <v>68</v>
      </c>
      <c r="N40" s="235">
        <f t="shared" si="13"/>
        <v>34</v>
      </c>
      <c r="O40" s="235">
        <f t="shared" si="13"/>
        <v>51</v>
      </c>
      <c r="P40" s="236"/>
      <c r="Q40" s="250" t="s">
        <v>22</v>
      </c>
      <c r="R40" s="251">
        <f t="shared" si="11"/>
        <v>3</v>
      </c>
      <c r="S40" s="252"/>
      <c r="T40" s="253"/>
      <c r="U40" s="254"/>
      <c r="W40" s="464" t="s">
        <v>85</v>
      </c>
      <c r="X40" s="473">
        <f>SUM(R40:U43)/3</f>
        <v>2.3333333333333335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39</v>
      </c>
      <c r="G41" s="194">
        <f>'التمام الصباحي'!Q17+'التمام الصباحي'!S17</f>
        <v>15</v>
      </c>
      <c r="H41" s="194">
        <f>'التمام الصباحي'!W17+'التمام الصباحي'!Y17</f>
        <v>130</v>
      </c>
      <c r="K41" s="233" t="s">
        <v>22</v>
      </c>
      <c r="L41" s="234"/>
      <c r="M41" s="235">
        <f t="shared" si="12"/>
        <v>34</v>
      </c>
      <c r="N41" s="235">
        <f t="shared" si="13"/>
        <v>0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468">
        <f>IF((ROUNDDOWN((SUM(M41:M42)/51)-(R41+R42),0.9))&lt;0,0,(ROUNDDOWN((SUM(M41:M42)/51)-(R41+R42),0.9)))</f>
        <v>0</v>
      </c>
      <c r="T41" s="468">
        <f>IF((ROUNDDOWN((SUM(O41:O42)/51)-(R41+R42),0.9))&lt;0,0,(ROUNDDOWN((SUM(O41:O42)/51)-(R41+R42),0.9)))</f>
        <v>0</v>
      </c>
      <c r="U41" s="468">
        <f>IF((ROUNDDOWN((SUM(L41:O42)/51)-(R41+R42+S41+T41),0.9))&lt;0,0,ROUNDDOWN((SUM(L41:O42)/51)-(R41+R42+S41+T41),0.9))</f>
        <v>1</v>
      </c>
      <c r="W41" s="464"/>
      <c r="X41" s="47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80</v>
      </c>
      <c r="G42" s="194">
        <f>'التمام الصباحي'!Q18+'التمام الصباحي'!S18</f>
        <v>10</v>
      </c>
      <c r="H42" s="194">
        <f>'التمام الصباحي'!W18+'التمام الصباحي'!Y18</f>
        <v>29</v>
      </c>
      <c r="K42" s="233" t="s">
        <v>23</v>
      </c>
      <c r="L42" s="234"/>
      <c r="M42" s="235">
        <f t="shared" si="12"/>
        <v>68</v>
      </c>
      <c r="N42" s="235">
        <f t="shared" si="13"/>
        <v>0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469"/>
      <c r="T42" s="469"/>
      <c r="U42" s="469"/>
      <c r="W42" s="464"/>
      <c r="X42" s="47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11</v>
      </c>
      <c r="G43" s="194">
        <f>'التمام الصباحي'!Q19+'التمام الصباحي'!S19</f>
        <v>18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464"/>
      <c r="X43" s="47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27</v>
      </c>
      <c r="G44" s="194">
        <f>'التمام الصباحي'!Q20+'التمام الصباحي'!S20</f>
        <v>7</v>
      </c>
      <c r="H44" s="194">
        <f>'التمام الصباحي'!W20+'التمام الصباحي'!Y20</f>
        <v>41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462">
        <f>IF((ROUNDDOWN((SUM(M44:M45)/51)-(R44+R45),0.9))&lt;0,0,(ROUNDDOWN((SUM(M44:M45)/51)-(R44+R45),0.9)))</f>
        <v>0</v>
      </c>
      <c r="T44" s="462">
        <f>IF((ROUNDDOWN((SUM(O44:O45)/51)-(R44+R45),0.9))&lt;0,0,(ROUNDDOWN((SUM(O44:O45)/51)-(R44+R45),0.9)))</f>
        <v>0</v>
      </c>
      <c r="U44" s="462">
        <f>IF((ROUNDDOWN((SUM(L44:O45)/51)-(R44+R45+S44+T44),0.9))&lt;0,0,ROUNDDOWN((SUM(L44:O45)/51)-(R44+R45+S44+T44),0.9))</f>
        <v>0</v>
      </c>
      <c r="W44" s="464" t="s">
        <v>102</v>
      </c>
      <c r="X44" s="473">
        <f>SUM(R44:U47)/3</f>
        <v>1.6666666666666667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51</v>
      </c>
      <c r="G45" s="194">
        <f>'التمام الصباحي'!Q21+'التمام الصباحي'!S21</f>
        <v>27</v>
      </c>
      <c r="H45" s="194">
        <f>'التمام الصباحي'!W21+'التمام الصباحي'!Y21</f>
        <v>60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463"/>
      <c r="T45" s="463"/>
      <c r="U45" s="463"/>
      <c r="W45" s="464"/>
      <c r="X45" s="47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60</v>
      </c>
      <c r="G46" s="194">
        <f>'التمام الصباحي'!Q22+'التمام الصباحي'!S22</f>
        <v>18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466">
        <f>IF((ROUNDDOWN((SUM(M46:M47)/51)-(R46+R47),0.9))&lt;0,0,(ROUNDDOWN((SUM(M46:M47)/51)-(R46+R47),0.9)))</f>
        <v>0</v>
      </c>
      <c r="T46" s="468">
        <f>IF((ROUNDDOWN((SUM(O46:O47)/51)-(R46+R47),0.9))&lt;0,0,(ROUNDDOWN((SUM(O46:O47)/51)-(R46+R47),0.9)))</f>
        <v>0</v>
      </c>
      <c r="U46" s="468">
        <f t="shared" ref="U46" si="20">IF((ROUNDDOWN((SUM(L46:O47)/51)-(R46+R47+S46+T46),0.9))&lt;0,0,ROUNDDOWN((SUM(L46:O47)/51)-(R46+R47+S46+T46),0.9))</f>
        <v>1</v>
      </c>
      <c r="W46" s="464"/>
      <c r="X46" s="474"/>
    </row>
    <row r="47" spans="3:24" ht="16.5" thickBot="1" x14ac:dyDescent="0.3">
      <c r="D47" s="233" t="s">
        <v>28</v>
      </c>
      <c r="E47" s="194">
        <f>'التمام الصباحي'!E23+'التمام الصباحي'!G23</f>
        <v>6.6</v>
      </c>
      <c r="F47" s="194">
        <f>'التمام الصباحي'!K23+'التمام الصباحي'!M23</f>
        <v>16</v>
      </c>
      <c r="G47" s="295"/>
      <c r="H47" s="194">
        <f>'التمام الصباحي'!W23+'التمام الصباحي'!Y23</f>
        <v>50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0</v>
      </c>
      <c r="S47" s="466"/>
      <c r="T47" s="469"/>
      <c r="U47" s="469"/>
      <c r="W47" s="464"/>
      <c r="X47" s="47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46</v>
      </c>
      <c r="G48" s="295"/>
      <c r="H48" s="194">
        <f>'التمام الصباحي'!W24+'التمام الصباحي'!Y24</f>
        <v>39</v>
      </c>
      <c r="K48" s="233" t="s">
        <v>29</v>
      </c>
      <c r="L48" s="234"/>
      <c r="M48" s="235">
        <f t="shared" si="12"/>
        <v>34</v>
      </c>
      <c r="N48" s="234"/>
      <c r="O48" s="235">
        <f t="shared" si="21"/>
        <v>34</v>
      </c>
      <c r="P48" s="236"/>
      <c r="Q48" s="242" t="s">
        <v>30</v>
      </c>
      <c r="R48" s="243">
        <f t="shared" si="11"/>
        <v>1</v>
      </c>
      <c r="S48" s="462">
        <f>IF((ROUNDDOWN((SUM(M48:M49)/51)-(R48+R49),0.9))&lt;0,0,(ROUNDDOWN((SUM(M48:M49)/51)-(R48+R49),0.9)))</f>
        <v>0</v>
      </c>
      <c r="T48" s="462">
        <f>IF((ROUNDDOWN((SUM(O48:O49)/51)-(R48+R49),0.9))&lt;0,0,(ROUNDDOWN((SUM(O48:O49)/51)-(R48+R49),0.9)))</f>
        <v>0</v>
      </c>
      <c r="U48" s="462">
        <f t="shared" ref="U48" si="22">IF((ROUNDDOWN((SUM(L48:O49)/51)-(R48+R49+S48+T48),0.9))&lt;0,0,ROUNDDOWN((SUM(L48:O49)/51)-(R48+R49+S48+T48),0.9))</f>
        <v>1</v>
      </c>
      <c r="W48" s="464" t="s">
        <v>90</v>
      </c>
      <c r="X48" s="473">
        <f>SUM(R48:U51)/3</f>
        <v>3.3333333333333335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28</v>
      </c>
      <c r="G49" s="194">
        <f>'التمام الصباحي'!Q25+'التمام الصباحي'!S25</f>
        <v>9</v>
      </c>
      <c r="H49" s="194">
        <f>'التمام الصباحي'!W25+'التمام الصباحي'!Y25</f>
        <v>83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68</v>
      </c>
      <c r="P49" s="236"/>
      <c r="Q49" s="244" t="s">
        <v>31</v>
      </c>
      <c r="R49" s="245">
        <f t="shared" si="11"/>
        <v>1</v>
      </c>
      <c r="S49" s="463"/>
      <c r="T49" s="463"/>
      <c r="U49" s="463"/>
      <c r="W49" s="464"/>
      <c r="X49" s="47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57</v>
      </c>
      <c r="G50" s="194">
        <f>'التمام الصباحي'!Q26+'التمام الصباحي'!S26</f>
        <v>20</v>
      </c>
      <c r="H50" s="194">
        <f>'التمام الصباحي'!W26+'التمام الصباحي'!Y26</f>
        <v>89</v>
      </c>
      <c r="K50" s="233" t="s">
        <v>31</v>
      </c>
      <c r="L50" s="234"/>
      <c r="M50" s="235">
        <f t="shared" si="12"/>
        <v>51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3</v>
      </c>
      <c r="S50" s="466">
        <f>IF((ROUNDDOWN((SUM(M50:M51)/51)-(R50+R51),0.9))&lt;0,0,(ROUNDDOWN((SUM(M50:M51)/51)-(R50+R51),0.9)))</f>
        <v>0</v>
      </c>
      <c r="T50" s="466">
        <f>IF((ROUNDDOWN((SUM(O50:O51)/51)-(R50+R51),0.9))&lt;0,0,(ROUNDDOWN((SUM(O50:O51)/51)-(R50+R51),0.9)))</f>
        <v>0</v>
      </c>
      <c r="U50" s="466">
        <f t="shared" ref="U50" si="23">IF((ROUNDDOWN((SUM(L50:O51)/51)-(R50+R51+S50+T50),0.9))&lt;0,0,ROUNDDOWN((SUM(L50:O51)/51)-(R50+R51+S50+T50),0.9))</f>
        <v>0</v>
      </c>
      <c r="W50" s="464"/>
      <c r="X50" s="47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102</v>
      </c>
      <c r="G51" s="194">
        <f>'التمام الصباحي'!Q27+'التمام الصباحي'!S27</f>
        <v>32</v>
      </c>
      <c r="H51" s="194">
        <f>'التمام الصباحي'!W27+'التمام الصباحي'!Y27</f>
        <v>210</v>
      </c>
      <c r="K51" s="233" t="s">
        <v>32</v>
      </c>
      <c r="L51" s="234"/>
      <c r="M51" s="235">
        <f t="shared" si="12"/>
        <v>102</v>
      </c>
      <c r="N51" s="235">
        <f t="shared" si="13"/>
        <v>17</v>
      </c>
      <c r="O51" s="235">
        <f t="shared" si="21"/>
        <v>102</v>
      </c>
      <c r="P51" s="236"/>
      <c r="Q51" s="256" t="s">
        <v>33</v>
      </c>
      <c r="R51" s="257">
        <f t="shared" si="11"/>
        <v>4</v>
      </c>
      <c r="S51" s="467"/>
      <c r="T51" s="467"/>
      <c r="U51" s="467"/>
      <c r="W51" s="464"/>
      <c r="X51" s="47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21</v>
      </c>
      <c r="G52" s="194">
        <f>'التمام الصباحي'!Q28+'التمام الصباحي'!S28</f>
        <v>12</v>
      </c>
      <c r="H52" s="194">
        <f>'التمام الصباحي'!W28+'التمام الصباحي'!Y28</f>
        <v>40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18</v>
      </c>
      <c r="F53" s="194">
        <f>'التمام الصباحي'!K29+'التمام الصباحي'!M29</f>
        <v>17</v>
      </c>
      <c r="G53" s="194">
        <f>'التمام الصباحي'!Q29+'التمام الصباحي'!S29</f>
        <v>13</v>
      </c>
      <c r="H53" s="194">
        <f>'التمام الصباحي'!W29+'التمام الصباحي'!Y29</f>
        <v>46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25</v>
      </c>
      <c r="G54" s="194">
        <f>'التمام الصباحي'!Q30+'التمام الصباحي'!S30</f>
        <v>9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61</v>
      </c>
      <c r="G55" s="194">
        <f>'التمام الصباحي'!Q31+'التمام الصباحي'!S31</f>
        <v>19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108</v>
      </c>
      <c r="G56" s="194">
        <f>'التمام الصباحي'!Q32+'التمام الصباحي'!S32</f>
        <v>26</v>
      </c>
      <c r="H56" s="354"/>
      <c r="K56" s="353" t="s">
        <v>169</v>
      </c>
      <c r="L56" s="234"/>
      <c r="M56" s="235">
        <f t="shared" si="12"/>
        <v>102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124</v>
      </c>
      <c r="G57" s="194">
        <f>'التمام الصباحي'!Q33+'التمام الصباحي'!S33</f>
        <v>11</v>
      </c>
      <c r="H57" s="354"/>
      <c r="K57" s="318" t="s">
        <v>170</v>
      </c>
      <c r="L57" s="234"/>
      <c r="M57" s="235">
        <f t="shared" si="12"/>
        <v>102</v>
      </c>
      <c r="N57" s="235">
        <f t="shared" si="13"/>
        <v>0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141</v>
      </c>
      <c r="G58" s="194">
        <f>'التمام الصباحي'!Q34+'التمام الصباحي'!S34</f>
        <v>33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1"/>
    </customSheetView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2.3333333333333335</v>
      </c>
    </row>
    <row r="4" spans="1:2" x14ac:dyDescent="0.2">
      <c r="A4" t="s">
        <v>109</v>
      </c>
      <c r="B4" s="138">
        <f>'خطة الإمداد'!X44</f>
        <v>1.6666666666666667</v>
      </c>
    </row>
    <row r="5" spans="1:2" x14ac:dyDescent="0.2">
      <c r="A5" t="s">
        <v>90</v>
      </c>
      <c r="B5" s="138">
        <f>'خطة الإمداد'!X48</f>
        <v>3.3333333333333335</v>
      </c>
    </row>
  </sheetData>
  <customSheetViews>
    <customSheetView guid="{8317B6D8-8A99-4EB0-9DBC-8E9AE0170A4B}" state="hidden">
      <selection activeCell="B6" sqref="B6"/>
      <pageMargins left="0.7" right="0.7" top="0.75" bottom="0.75" header="0.3" footer="0.3"/>
    </customSheetView>
    <customSheetView guid="{18C0F7AC-4BB1-46DE-8A01-8E31FE0585FC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1" t="s">
        <v>0</v>
      </c>
      <c r="B1" s="371"/>
      <c r="C1" s="371"/>
      <c r="D1" s="371"/>
      <c r="E1" s="371"/>
      <c r="X1" s="367"/>
      <c r="Y1" s="367"/>
    </row>
    <row r="2" spans="1:25" ht="15.75" x14ac:dyDescent="0.25">
      <c r="A2" s="371" t="s">
        <v>1</v>
      </c>
      <c r="B2" s="371"/>
      <c r="C2" s="371"/>
      <c r="D2" s="371"/>
      <c r="E2" s="371"/>
    </row>
    <row r="3" spans="1:25" ht="15.75" x14ac:dyDescent="0.25">
      <c r="A3" s="371" t="s">
        <v>2</v>
      </c>
      <c r="B3" s="371"/>
      <c r="C3" s="371"/>
      <c r="D3" s="371"/>
      <c r="E3" s="371"/>
    </row>
    <row r="5" spans="1:25" ht="36.75" customHeight="1" thickBot="1" x14ac:dyDescent="0.3">
      <c r="G5" s="199"/>
      <c r="H5" s="370" t="s">
        <v>161</v>
      </c>
      <c r="I5" s="370"/>
      <c r="J5" s="370"/>
      <c r="K5" s="370"/>
      <c r="L5" s="370"/>
      <c r="M5" s="370"/>
      <c r="N5" s="370"/>
      <c r="O5" s="370"/>
      <c r="T5" s="200" t="s">
        <v>41</v>
      </c>
    </row>
    <row r="6" spans="1:25" ht="20.100000000000001" customHeight="1" thickBot="1" x14ac:dyDescent="0.25">
      <c r="A6" s="369" t="s">
        <v>14</v>
      </c>
      <c r="B6" s="369" t="s">
        <v>3</v>
      </c>
      <c r="C6" s="369" t="s">
        <v>4</v>
      </c>
      <c r="D6" s="483" t="s">
        <v>5</v>
      </c>
      <c r="E6" s="484"/>
      <c r="F6" s="484"/>
      <c r="G6" s="485"/>
      <c r="H6" s="369" t="s">
        <v>4</v>
      </c>
      <c r="I6" s="483" t="s">
        <v>11</v>
      </c>
      <c r="J6" s="484"/>
      <c r="K6" s="484"/>
      <c r="L6" s="485"/>
      <c r="M6" s="369" t="s">
        <v>4</v>
      </c>
      <c r="N6" s="483" t="s">
        <v>12</v>
      </c>
      <c r="O6" s="484"/>
      <c r="P6" s="484"/>
      <c r="Q6" s="485"/>
      <c r="R6" s="36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69"/>
      <c r="B7" s="369"/>
      <c r="C7" s="369"/>
      <c r="D7" s="201" t="s">
        <v>6</v>
      </c>
      <c r="E7" s="201" t="s">
        <v>7</v>
      </c>
      <c r="F7" s="201" t="s">
        <v>9</v>
      </c>
      <c r="G7" s="201" t="s">
        <v>10</v>
      </c>
      <c r="H7" s="369"/>
      <c r="I7" s="201" t="s">
        <v>6</v>
      </c>
      <c r="J7" s="201" t="s">
        <v>7</v>
      </c>
      <c r="K7" s="201" t="s">
        <v>9</v>
      </c>
      <c r="L7" s="201" t="s">
        <v>10</v>
      </c>
      <c r="M7" s="369"/>
      <c r="N7" s="201" t="s">
        <v>6</v>
      </c>
      <c r="O7" s="201" t="s">
        <v>7</v>
      </c>
      <c r="P7" s="201" t="s">
        <v>9</v>
      </c>
      <c r="Q7" s="201" t="s">
        <v>10</v>
      </c>
      <c r="R7" s="36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1" t="s">
        <v>34</v>
      </c>
      <c r="B28" s="381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8" t="s">
        <v>35</v>
      </c>
      <c r="B29" s="368"/>
      <c r="C29" s="372">
        <f>C28+H28+M28+R28</f>
        <v>4605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4"/>
    </row>
    <row r="30" spans="1:26" ht="20.100000000000001" customHeight="1" thickBot="1" x14ac:dyDescent="0.25">
      <c r="A30" s="368" t="s">
        <v>36</v>
      </c>
      <c r="B30" s="368"/>
      <c r="C30" s="372">
        <f>D28+I28+N28+S28</f>
        <v>4605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4"/>
    </row>
    <row r="31" spans="1:26" ht="20.100000000000001" customHeight="1" thickBot="1" x14ac:dyDescent="0.25">
      <c r="A31" s="368" t="s">
        <v>37</v>
      </c>
      <c r="B31" s="368"/>
      <c r="C31" s="372">
        <f>E28+J28+O28+T28</f>
        <v>0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4"/>
    </row>
    <row r="32" spans="1:26" ht="15.75" thickBot="1" x14ac:dyDescent="0.25">
      <c r="A32" s="368" t="s">
        <v>38</v>
      </c>
      <c r="B32" s="368"/>
      <c r="C32" s="375">
        <f>C30/C29</f>
        <v>1</v>
      </c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7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2019-09-01T11:37:51Z</cp:lastPrinted>
  <dcterms:created xsi:type="dcterms:W3CDTF">2018-10-24T15:18:02Z</dcterms:created>
  <dcterms:modified xsi:type="dcterms:W3CDTF">2019-09-03T05:37:07Z</dcterms:modified>
</cp:coreProperties>
</file>