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Headers.xml" ContentType="application/vnd.openxmlformats-officedocument.spreadsheetml.revisionHeaders+xml"/>
  <Override PartName="/xl/revisions/revisionLog8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4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Z:\Current Month\"/>
    </mc:Choice>
  </mc:AlternateContent>
  <bookViews>
    <workbookView xWindow="0" yWindow="0" windowWidth="21600" windowHeight="9735" firstSheet="1" activeTab="6"/>
  </bookViews>
  <sheets>
    <sheet name="التمام الصباحي" sheetId="1" r:id="rId1"/>
    <sheet name="المبيعات" sheetId="2" r:id="rId2"/>
    <sheet name="موقف المحطات" sheetId="3" r:id="rId3"/>
    <sheet name="أخذ التمام الصباحي" sheetId="4" r:id="rId4"/>
    <sheet name="تمام محطات الوكلاء" sheetId="5" r:id="rId5"/>
    <sheet name="عائد محطات الوكلاء" sheetId="6" r:id="rId6"/>
    <sheet name="المستودعات" sheetId="7" r:id="rId7"/>
    <sheet name="خطة الإمداد" sheetId="8" r:id="rId8"/>
    <sheet name="الاحتياجات اكسس" sheetId="9" state="hidden" r:id="rId9"/>
    <sheet name="سعت 1700" sheetId="10" state="hidden" r:id="rId10"/>
    <sheet name="سعت 2200" sheetId="11" state="hidden" r:id="rId11"/>
    <sheet name="احتياجات المحطات" sheetId="12" state="hidden" r:id="rId12"/>
    <sheet name="المسافات المقطوعة" sheetId="13" state="hidden" r:id="rId13"/>
    <sheet name="منطقة القاهرة" sheetId="14" r:id="rId14"/>
    <sheet name="القاهرة اكسس" sheetId="15" state="hidden" r:id="rId15"/>
    <sheet name="منطقة السويس" sheetId="16" r:id="rId16"/>
    <sheet name="السويس اكسس" sheetId="17" state="hidden" r:id="rId17"/>
    <sheet name="منطقة الاسكندرية" sheetId="18" r:id="rId18"/>
    <sheet name="الاسكندرية اكسس" sheetId="19" state="hidden" r:id="rId19"/>
    <sheet name="منطقة طنطا" sheetId="20" r:id="rId20"/>
    <sheet name="منطقة الزقاريق" sheetId="21" state="hidden" r:id="rId21"/>
    <sheet name="توزيع الخطة" sheetId="22" r:id="rId22"/>
    <sheet name="Sheet1" sheetId="23" state="hidden" r:id="rId23"/>
    <sheet name="طنطا اكسس" sheetId="24" state="hidden" r:id="rId24"/>
  </sheets>
  <externalReferences>
    <externalReference r:id="rId25"/>
  </externalReferences>
  <definedNames>
    <definedName name="_xlnm.Print_Area" localSheetId="9">'سعت 1700'!$A$1:$V$32</definedName>
    <definedName name="_xlnm.Print_Area" localSheetId="10">'سعت 2200'!$A$1:$V$32</definedName>
    <definedName name="_xlnm.Print_Area" localSheetId="2">'موقف المحطات'!$A$1:$Q$68</definedName>
    <definedName name="Z_18C0F7AC_4BB1_46DE_8A01_8E31FE0585FC_.wvu.Cols" localSheetId="7" hidden="1">'خطة الإمداد'!$B:$C,'خطة الإمداد'!$I:$I</definedName>
    <definedName name="Z_18C0F7AC_4BB1_46DE_8A01_8E31FE0585FC_.wvu.Cols" localSheetId="2" hidden="1">'موقف المحطات'!$A:$A</definedName>
    <definedName name="Z_18C0F7AC_4BB1_46DE_8A01_8E31FE0585FC_.wvu.PrintArea" localSheetId="9" hidden="1">'سعت 1700'!$A$1:$V$32</definedName>
    <definedName name="Z_18C0F7AC_4BB1_46DE_8A01_8E31FE0585FC_.wvu.PrintArea" localSheetId="10" hidden="1">'سعت 2200'!$A$1:$V$32</definedName>
    <definedName name="Z_18C0F7AC_4BB1_46DE_8A01_8E31FE0585FC_.wvu.PrintArea" localSheetId="2" hidden="1">'موقف المحطات'!$A$1:$Q$68</definedName>
    <definedName name="Z_18C0F7AC_4BB1_46DE_8A01_8E31FE0585FC_.wvu.Rows" localSheetId="7" hidden="1">'خطة الإمداد'!$1:$28</definedName>
    <definedName name="Z_18C0F7AC_4BB1_46DE_8A01_8E31FE0585FC_.wvu.Rows" localSheetId="5" hidden="1">'عائد محطات الوكلاء'!$8:$9</definedName>
    <definedName name="Z_8317B6D8_8A99_4EB0_9DBC_8E9AE0170A4B_.wvu.Cols" localSheetId="7" hidden="1">'خطة الإمداد'!$B:$C,'خطة الإمداد'!$I:$I</definedName>
    <definedName name="Z_8317B6D8_8A99_4EB0_9DBC_8E9AE0170A4B_.wvu.Cols" localSheetId="2" hidden="1">'موقف المحطات'!$A:$A</definedName>
    <definedName name="Z_8317B6D8_8A99_4EB0_9DBC_8E9AE0170A4B_.wvu.PrintArea" localSheetId="9" hidden="1">'سعت 1700'!$A$1:$V$32</definedName>
    <definedName name="Z_8317B6D8_8A99_4EB0_9DBC_8E9AE0170A4B_.wvu.PrintArea" localSheetId="10" hidden="1">'سعت 2200'!$A$1:$V$32</definedName>
    <definedName name="Z_8317B6D8_8A99_4EB0_9DBC_8E9AE0170A4B_.wvu.PrintArea" localSheetId="2" hidden="1">'موقف المحطات'!$A$1:$Q$68</definedName>
  </definedNames>
  <calcPr calcId="152511"/>
  <customWorkbookViews>
    <customWorkbookView name="pp - Personal View" guid="{18C0F7AC-4BB1-46DE-8A01-8E31FE0585FC}" mergeInterval="0" personalView="1" maximized="1" xWindow="-8" yWindow="-8" windowWidth="1456" windowHeight="876" activeSheetId="6"/>
    <customWorkbookView name="ppp - Personal View" guid="{8317B6D8-8A99-4EB0-9DBC-8E9AE0170A4B}" mergeInterval="0" personalView="1" xWindow="527" yWindow="257" windowWidth="1314" windowHeight="542" tabRatio="631" activeSheetId="4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4" i="7" l="1"/>
  <c r="F34" i="7"/>
  <c r="C34" i="2" l="1"/>
  <c r="D34" i="2"/>
  <c r="E34" i="2"/>
  <c r="F34" i="2"/>
  <c r="G34" i="2"/>
  <c r="H34" i="2"/>
  <c r="I34" i="2"/>
  <c r="J34" i="2" s="1"/>
  <c r="O34" i="2" s="1"/>
  <c r="Q34" i="2" s="1"/>
  <c r="L34" i="2"/>
  <c r="N34" i="2" s="1"/>
  <c r="M34" i="2"/>
  <c r="P34" i="2"/>
  <c r="C35" i="2"/>
  <c r="D35" i="2"/>
  <c r="O35" i="2" s="1"/>
  <c r="Q35" i="2" s="1"/>
  <c r="E35" i="2"/>
  <c r="F35" i="2"/>
  <c r="G35" i="2" s="1"/>
  <c r="I35" i="2"/>
  <c r="K35" i="2" s="1"/>
  <c r="J35" i="2"/>
  <c r="L35" i="2"/>
  <c r="M35" i="2"/>
  <c r="N35" i="2"/>
  <c r="P35" i="2"/>
  <c r="C36" i="2"/>
  <c r="D36" i="2" s="1"/>
  <c r="O36" i="2" s="1"/>
  <c r="Q36" i="2" s="1"/>
  <c r="F36" i="2"/>
  <c r="H36" i="2" s="1"/>
  <c r="G36" i="2"/>
  <c r="I36" i="2"/>
  <c r="J36" i="2"/>
  <c r="K36" i="2"/>
  <c r="L36" i="2"/>
  <c r="M36" i="2"/>
  <c r="N36" i="2"/>
  <c r="P36" i="2"/>
  <c r="C37" i="2"/>
  <c r="E37" i="2" s="1"/>
  <c r="D37" i="2"/>
  <c r="O37" i="2" s="1"/>
  <c r="F37" i="2"/>
  <c r="G37" i="2"/>
  <c r="H37" i="2"/>
  <c r="I37" i="2"/>
  <c r="J37" i="2"/>
  <c r="K37" i="2"/>
  <c r="L37" i="2"/>
  <c r="M37" i="2" s="1"/>
  <c r="G39" i="1"/>
  <c r="I39" i="1"/>
  <c r="M39" i="1"/>
  <c r="O39" i="1"/>
  <c r="S39" i="1"/>
  <c r="U39" i="1"/>
  <c r="Y39" i="1"/>
  <c r="C39" i="1"/>
  <c r="V38" i="1"/>
  <c r="Z38" i="1" s="1"/>
  <c r="W38" i="1"/>
  <c r="X38" i="1"/>
  <c r="J35" i="1"/>
  <c r="N35" i="1" s="1"/>
  <c r="K35" i="1"/>
  <c r="L35" i="1"/>
  <c r="P35" i="1"/>
  <c r="T35" i="1" s="1"/>
  <c r="Q35" i="1"/>
  <c r="R35" i="1"/>
  <c r="J36" i="1"/>
  <c r="N36" i="1" s="1"/>
  <c r="K36" i="1"/>
  <c r="L36" i="1"/>
  <c r="P36" i="1"/>
  <c r="T36" i="1" s="1"/>
  <c r="Q36" i="1"/>
  <c r="R36" i="1"/>
  <c r="J37" i="1"/>
  <c r="N37" i="1" s="1"/>
  <c r="K37" i="1"/>
  <c r="L37" i="1"/>
  <c r="P37" i="1"/>
  <c r="T37" i="1" s="1"/>
  <c r="Q37" i="1"/>
  <c r="R37" i="1"/>
  <c r="J38" i="1"/>
  <c r="N38" i="1" s="1"/>
  <c r="K38" i="1"/>
  <c r="L38" i="1"/>
  <c r="P38" i="1"/>
  <c r="T38" i="1" s="1"/>
  <c r="Q38" i="1"/>
  <c r="R38" i="1"/>
  <c r="Q32" i="4"/>
  <c r="Q33" i="4"/>
  <c r="Q34" i="4"/>
  <c r="Q35" i="4"/>
  <c r="P37" i="2" s="1"/>
  <c r="Q37" i="2" l="1"/>
  <c r="N37" i="2"/>
  <c r="E36" i="2"/>
  <c r="H35" i="2"/>
  <c r="K34" i="2"/>
  <c r="F11" i="2"/>
  <c r="L9" i="1" l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Q8" i="4" l="1"/>
  <c r="P10" i="2" s="1"/>
  <c r="Q5" i="4" l="1"/>
  <c r="Q6" i="4"/>
  <c r="P8" i="2" s="1"/>
  <c r="Q7" i="4"/>
  <c r="P9" i="2" s="1"/>
  <c r="Q9" i="4"/>
  <c r="P11" i="2" s="1"/>
  <c r="Q10" i="4"/>
  <c r="P12" i="2" s="1"/>
  <c r="Q11" i="4"/>
  <c r="P13" i="2" s="1"/>
  <c r="Q12" i="4"/>
  <c r="P14" i="2" s="1"/>
  <c r="Q13" i="4"/>
  <c r="P15" i="2" s="1"/>
  <c r="Q14" i="4"/>
  <c r="P16" i="2" s="1"/>
  <c r="Q15" i="4"/>
  <c r="P17" i="2" s="1"/>
  <c r="Q16" i="4"/>
  <c r="P18" i="2" s="1"/>
  <c r="Q17" i="4"/>
  <c r="P19" i="2" s="1"/>
  <c r="Q18" i="4"/>
  <c r="P20" i="2" s="1"/>
  <c r="Q19" i="4"/>
  <c r="P21" i="2" s="1"/>
  <c r="Q20" i="4"/>
  <c r="P22" i="2" s="1"/>
  <c r="Q21" i="4"/>
  <c r="P23" i="2" s="1"/>
  <c r="Q22" i="4"/>
  <c r="P24" i="2" s="1"/>
  <c r="Q23" i="4"/>
  <c r="P25" i="2" s="1"/>
  <c r="Q24" i="4"/>
  <c r="P26" i="2" s="1"/>
  <c r="Q25" i="4"/>
  <c r="P27" i="2" s="1"/>
  <c r="Q26" i="4"/>
  <c r="P28" i="2" s="1"/>
  <c r="F17" i="5" l="1"/>
  <c r="G17" i="6" s="1"/>
  <c r="E17" i="5"/>
  <c r="F17" i="6" s="1"/>
  <c r="G16" i="5"/>
  <c r="F16" i="5"/>
  <c r="G14" i="6" s="1"/>
  <c r="E16" i="5"/>
  <c r="F14" i="6" s="1"/>
  <c r="D16" i="5"/>
  <c r="E14" i="6" s="1"/>
  <c r="F15" i="5"/>
  <c r="G15" i="6" s="1"/>
  <c r="D15" i="5"/>
  <c r="E15" i="6" s="1"/>
  <c r="F14" i="5"/>
  <c r="G13" i="6" s="1"/>
  <c r="E15" i="5"/>
  <c r="F15" i="6" s="1"/>
  <c r="E14" i="5"/>
  <c r="F13" i="6" s="1"/>
  <c r="E13" i="5"/>
  <c r="F21" i="6" s="1"/>
  <c r="F13" i="5"/>
  <c r="G21" i="6" s="1"/>
  <c r="F12" i="5"/>
  <c r="G18" i="6" s="1"/>
  <c r="E12" i="5"/>
  <c r="F18" i="6" s="1"/>
  <c r="E11" i="5"/>
  <c r="F22" i="6" s="1"/>
  <c r="F11" i="5"/>
  <c r="G22" i="6" s="1"/>
  <c r="F10" i="5"/>
  <c r="G19" i="6" s="1"/>
  <c r="E10" i="5"/>
  <c r="F19" i="6" s="1"/>
  <c r="F20" i="6" s="1"/>
  <c r="J13" i="6" l="1"/>
  <c r="I13" i="6"/>
  <c r="K13" i="6"/>
  <c r="G23" i="6"/>
  <c r="K22" i="6"/>
  <c r="I22" i="6"/>
  <c r="J22" i="6"/>
  <c r="G16" i="6"/>
  <c r="F16" i="6"/>
  <c r="J15" i="6"/>
  <c r="I15" i="6"/>
  <c r="K15" i="6"/>
  <c r="G18" i="5"/>
  <c r="H14" i="6"/>
  <c r="H16" i="6" s="1"/>
  <c r="H24" i="6" s="1"/>
  <c r="E16" i="6"/>
  <c r="E24" i="6" s="1"/>
  <c r="K14" i="6"/>
  <c r="J14" i="6"/>
  <c r="K21" i="6"/>
  <c r="K23" i="6" s="1"/>
  <c r="F23" i="6"/>
  <c r="F24" i="6" s="1"/>
  <c r="I21" i="6"/>
  <c r="J21" i="6"/>
  <c r="K18" i="6"/>
  <c r="I18" i="6"/>
  <c r="J18" i="6"/>
  <c r="K17" i="6"/>
  <c r="I17" i="6"/>
  <c r="J17" i="6"/>
  <c r="J19" i="6"/>
  <c r="G20" i="6"/>
  <c r="K19" i="6"/>
  <c r="I19" i="6"/>
  <c r="H10" i="5"/>
  <c r="H12" i="5"/>
  <c r="H17" i="5"/>
  <c r="H16" i="5"/>
  <c r="D18" i="5"/>
  <c r="F18" i="5"/>
  <c r="H14" i="5"/>
  <c r="H13" i="5"/>
  <c r="H11" i="5"/>
  <c r="E18" i="5"/>
  <c r="H15" i="5"/>
  <c r="X24" i="1"/>
  <c r="X25" i="1"/>
  <c r="X26" i="1"/>
  <c r="X27" i="1"/>
  <c r="X28" i="1"/>
  <c r="X29" i="1"/>
  <c r="X23" i="1"/>
  <c r="X21" i="1"/>
  <c r="X20" i="1"/>
  <c r="X17" i="1"/>
  <c r="X18" i="1"/>
  <c r="X16" i="1"/>
  <c r="X14" i="1"/>
  <c r="X13" i="1"/>
  <c r="X11" i="1"/>
  <c r="R26" i="1"/>
  <c r="R27" i="1"/>
  <c r="R28" i="1"/>
  <c r="R29" i="1"/>
  <c r="R30" i="1"/>
  <c r="R31" i="1"/>
  <c r="R32" i="1"/>
  <c r="R33" i="1"/>
  <c r="R34" i="1"/>
  <c r="R25" i="1"/>
  <c r="R16" i="1"/>
  <c r="R17" i="1"/>
  <c r="R18" i="1"/>
  <c r="R19" i="1"/>
  <c r="R20" i="1"/>
  <c r="R21" i="1"/>
  <c r="R22" i="1"/>
  <c r="R15" i="1"/>
  <c r="R9" i="1"/>
  <c r="R10" i="1"/>
  <c r="R11" i="1"/>
  <c r="R12" i="1"/>
  <c r="R8" i="1"/>
  <c r="L8" i="1"/>
  <c r="L39" i="1" s="1"/>
  <c r="F29" i="1"/>
  <c r="F23" i="1"/>
  <c r="F11" i="1"/>
  <c r="F13" i="1"/>
  <c r="F14" i="1"/>
  <c r="F10" i="1"/>
  <c r="V24" i="1"/>
  <c r="V25" i="1"/>
  <c r="V26" i="1"/>
  <c r="V27" i="1"/>
  <c r="V28" i="1"/>
  <c r="V29" i="1"/>
  <c r="V23" i="1"/>
  <c r="V21" i="1"/>
  <c r="V20" i="1"/>
  <c r="V17" i="1"/>
  <c r="V18" i="1"/>
  <c r="V16" i="1"/>
  <c r="V14" i="1"/>
  <c r="V13" i="1"/>
  <c r="V11" i="1"/>
  <c r="P26" i="1"/>
  <c r="P27" i="1"/>
  <c r="P28" i="1"/>
  <c r="P29" i="1"/>
  <c r="P30" i="1"/>
  <c r="P31" i="1"/>
  <c r="P32" i="1"/>
  <c r="P33" i="1"/>
  <c r="P34" i="1"/>
  <c r="P25" i="1"/>
  <c r="P16" i="1"/>
  <c r="P17" i="1"/>
  <c r="P18" i="1"/>
  <c r="P19" i="1"/>
  <c r="P20" i="1"/>
  <c r="P21" i="1"/>
  <c r="P22" i="1"/>
  <c r="P15" i="1"/>
  <c r="P9" i="1"/>
  <c r="P10" i="1"/>
  <c r="P11" i="1"/>
  <c r="P12" i="1"/>
  <c r="P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8" i="1"/>
  <c r="D29" i="1"/>
  <c r="D23" i="1"/>
  <c r="D11" i="1"/>
  <c r="D13" i="1"/>
  <c r="D14" i="1"/>
  <c r="D10" i="1"/>
  <c r="F39" i="1" l="1"/>
  <c r="X39" i="1"/>
  <c r="R39" i="1"/>
  <c r="I23" i="6"/>
  <c r="J23" i="6"/>
  <c r="G24" i="6"/>
  <c r="K16" i="6"/>
  <c r="J16" i="6"/>
  <c r="I14" i="6"/>
  <c r="I16" i="6" s="1"/>
  <c r="D39" i="1"/>
  <c r="P39" i="1"/>
  <c r="J39" i="1"/>
  <c r="J20" i="6"/>
  <c r="I20" i="6"/>
  <c r="K20" i="6"/>
  <c r="K24" i="6" s="1"/>
  <c r="V39" i="1"/>
  <c r="H18" i="5"/>
  <c r="T34" i="1"/>
  <c r="N34" i="1"/>
  <c r="T33" i="1"/>
  <c r="N33" i="1"/>
  <c r="T32" i="1"/>
  <c r="N32" i="1"/>
  <c r="T31" i="1"/>
  <c r="N31" i="1"/>
  <c r="T30" i="1"/>
  <c r="N30" i="1"/>
  <c r="Z29" i="1"/>
  <c r="T29" i="1"/>
  <c r="N29" i="1"/>
  <c r="H29" i="1"/>
  <c r="Z28" i="1"/>
  <c r="T28" i="1"/>
  <c r="N28" i="1"/>
  <c r="Z27" i="1"/>
  <c r="T27" i="1"/>
  <c r="N27" i="1"/>
  <c r="Z26" i="1"/>
  <c r="T26" i="1"/>
  <c r="N26" i="1"/>
  <c r="Z25" i="1"/>
  <c r="T25" i="1"/>
  <c r="N25" i="1"/>
  <c r="Z24" i="1"/>
  <c r="N24" i="1"/>
  <c r="Z23" i="1"/>
  <c r="N23" i="1"/>
  <c r="H23" i="1"/>
  <c r="T22" i="1"/>
  <c r="N22" i="1"/>
  <c r="Z21" i="1"/>
  <c r="T21" i="1"/>
  <c r="N21" i="1"/>
  <c r="Z20" i="1"/>
  <c r="T20" i="1"/>
  <c r="N20" i="1"/>
  <c r="T19" i="1"/>
  <c r="N19" i="1"/>
  <c r="Z18" i="1"/>
  <c r="T18" i="1"/>
  <c r="N18" i="1"/>
  <c r="Z17" i="1"/>
  <c r="T17" i="1"/>
  <c r="N17" i="1"/>
  <c r="Z16" i="1"/>
  <c r="T16" i="1"/>
  <c r="N16" i="1"/>
  <c r="T15" i="1"/>
  <c r="N15" i="1"/>
  <c r="Z14" i="1"/>
  <c r="N14" i="1"/>
  <c r="H14" i="1"/>
  <c r="Z13" i="1"/>
  <c r="N13" i="1"/>
  <c r="H13" i="1"/>
  <c r="T12" i="1"/>
  <c r="N12" i="1"/>
  <c r="T11" i="1"/>
  <c r="N11" i="1"/>
  <c r="H11" i="1"/>
  <c r="T10" i="1"/>
  <c r="N10" i="1"/>
  <c r="H10" i="1"/>
  <c r="T9" i="1"/>
  <c r="N9" i="1"/>
  <c r="T8" i="1"/>
  <c r="C44" i="1" l="1"/>
  <c r="I24" i="6"/>
  <c r="J24" i="6"/>
  <c r="H39" i="1"/>
  <c r="C41" i="1"/>
  <c r="T39" i="1"/>
  <c r="Z39" i="1"/>
  <c r="K8" i="1"/>
  <c r="F32" i="8" s="1"/>
  <c r="Q8" i="1"/>
  <c r="G32" i="8" s="1"/>
  <c r="K9" i="1"/>
  <c r="F33" i="8" s="1"/>
  <c r="M33" i="8" s="1"/>
  <c r="Q9" i="1"/>
  <c r="G33" i="8" s="1"/>
  <c r="N33" i="8" s="1"/>
  <c r="E10" i="1"/>
  <c r="K10" i="1"/>
  <c r="Q10" i="1"/>
  <c r="G34" i="8" s="1"/>
  <c r="N34" i="8" s="1"/>
  <c r="E11" i="1"/>
  <c r="E35" i="8" s="1"/>
  <c r="L35" i="8" s="1"/>
  <c r="K11" i="1"/>
  <c r="F35" i="8" s="1"/>
  <c r="M35" i="8" s="1"/>
  <c r="Q11" i="1"/>
  <c r="G35" i="8" s="1"/>
  <c r="N35" i="8" s="1"/>
  <c r="W11" i="1"/>
  <c r="H35" i="8" s="1"/>
  <c r="O35" i="8" s="1"/>
  <c r="K12" i="1"/>
  <c r="F36" i="8" s="1"/>
  <c r="M36" i="8" s="1"/>
  <c r="Q12" i="1"/>
  <c r="G36" i="8" s="1"/>
  <c r="N36" i="8" s="1"/>
  <c r="E13" i="1"/>
  <c r="E37" i="8" s="1"/>
  <c r="L37" i="8" s="1"/>
  <c r="K13" i="1"/>
  <c r="F37" i="8" s="1"/>
  <c r="M37" i="8" s="1"/>
  <c r="W13" i="1"/>
  <c r="H37" i="8" s="1"/>
  <c r="O37" i="8" s="1"/>
  <c r="E14" i="1"/>
  <c r="E38" i="8" s="1"/>
  <c r="L38" i="8" s="1"/>
  <c r="K14" i="1"/>
  <c r="F38" i="8" s="1"/>
  <c r="M38" i="8" s="1"/>
  <c r="W14" i="1"/>
  <c r="K15" i="1"/>
  <c r="F39" i="8" s="1"/>
  <c r="M39" i="8" s="1"/>
  <c r="Q15" i="1"/>
  <c r="G39" i="8" s="1"/>
  <c r="N39" i="8" s="1"/>
  <c r="K16" i="1"/>
  <c r="F40" i="8" s="1"/>
  <c r="M40" i="8" s="1"/>
  <c r="Q16" i="1"/>
  <c r="W16" i="1"/>
  <c r="K17" i="1"/>
  <c r="F41" i="8" s="1"/>
  <c r="M41" i="8" s="1"/>
  <c r="Q17" i="1"/>
  <c r="G41" i="8" s="1"/>
  <c r="N41" i="8" s="1"/>
  <c r="W17" i="1"/>
  <c r="H41" i="8" s="1"/>
  <c r="O41" i="8" s="1"/>
  <c r="K18" i="1"/>
  <c r="F42" i="8" s="1"/>
  <c r="M42" i="8" s="1"/>
  <c r="Q18" i="1"/>
  <c r="G42" i="8" s="1"/>
  <c r="N42" i="8" s="1"/>
  <c r="W18" i="1"/>
  <c r="H42" i="8" s="1"/>
  <c r="O42" i="8" s="1"/>
  <c r="K19" i="1"/>
  <c r="F43" i="8" s="1"/>
  <c r="M43" i="8" s="1"/>
  <c r="Q19" i="1"/>
  <c r="G43" i="8" s="1"/>
  <c r="N43" i="8" s="1"/>
  <c r="K20" i="1"/>
  <c r="F44" i="8" s="1"/>
  <c r="M44" i="8" s="1"/>
  <c r="Q20" i="1"/>
  <c r="G44" i="8" s="1"/>
  <c r="N44" i="8" s="1"/>
  <c r="W20" i="1"/>
  <c r="K21" i="1"/>
  <c r="F45" i="8" s="1"/>
  <c r="M45" i="8" s="1"/>
  <c r="Q21" i="1"/>
  <c r="G45" i="8" s="1"/>
  <c r="N45" i="8" s="1"/>
  <c r="W21" i="1"/>
  <c r="K22" i="1"/>
  <c r="F46" i="8" s="1"/>
  <c r="M46" i="8" s="1"/>
  <c r="Q22" i="1"/>
  <c r="G46" i="8" s="1"/>
  <c r="N46" i="8" s="1"/>
  <c r="E23" i="1"/>
  <c r="E47" i="8" s="1"/>
  <c r="L47" i="8" s="1"/>
  <c r="K23" i="1"/>
  <c r="F47" i="8" s="1"/>
  <c r="M47" i="8" s="1"/>
  <c r="W23" i="1"/>
  <c r="H47" i="8" s="1"/>
  <c r="O47" i="8" s="1"/>
  <c r="K24" i="1"/>
  <c r="F48" i="8" s="1"/>
  <c r="M48" i="8" s="1"/>
  <c r="W24" i="1"/>
  <c r="H48" i="8" s="1"/>
  <c r="O48" i="8" s="1"/>
  <c r="K25" i="1"/>
  <c r="F49" i="8" s="1"/>
  <c r="M49" i="8" s="1"/>
  <c r="Q25" i="1"/>
  <c r="G49" i="8" s="1"/>
  <c r="N49" i="8" s="1"/>
  <c r="W25" i="1"/>
  <c r="H49" i="8" s="1"/>
  <c r="O49" i="8" s="1"/>
  <c r="K26" i="1"/>
  <c r="F50" i="8" s="1"/>
  <c r="M50" i="8" s="1"/>
  <c r="Q26" i="1"/>
  <c r="G50" i="8" s="1"/>
  <c r="N50" i="8" s="1"/>
  <c r="W26" i="1"/>
  <c r="K27" i="1"/>
  <c r="F51" i="8" s="1"/>
  <c r="M51" i="8" s="1"/>
  <c r="Q27" i="1"/>
  <c r="G51" i="8" s="1"/>
  <c r="N51" i="8" s="1"/>
  <c r="W27" i="1"/>
  <c r="K28" i="1"/>
  <c r="F52" i="8" s="1"/>
  <c r="M52" i="8" s="1"/>
  <c r="Q28" i="1"/>
  <c r="G52" i="8" s="1"/>
  <c r="N52" i="8" s="1"/>
  <c r="W28" i="1"/>
  <c r="H52" i="8" s="1"/>
  <c r="O52" i="8" s="1"/>
  <c r="E29" i="1"/>
  <c r="E53" i="8" s="1"/>
  <c r="L53" i="8" s="1"/>
  <c r="K29" i="1"/>
  <c r="F53" i="8" s="1"/>
  <c r="M53" i="8" s="1"/>
  <c r="Q29" i="1"/>
  <c r="G53" i="8" s="1"/>
  <c r="N53" i="8" s="1"/>
  <c r="W29" i="1"/>
  <c r="H53" i="8" s="1"/>
  <c r="O53" i="8" s="1"/>
  <c r="K30" i="1"/>
  <c r="F54" i="8" s="1"/>
  <c r="M54" i="8" s="1"/>
  <c r="Q30" i="1"/>
  <c r="G54" i="8" s="1"/>
  <c r="N54" i="8" s="1"/>
  <c r="K31" i="1"/>
  <c r="F55" i="8" s="1"/>
  <c r="M55" i="8" s="1"/>
  <c r="Q31" i="1"/>
  <c r="G55" i="8" s="1"/>
  <c r="N55" i="8" s="1"/>
  <c r="K32" i="1"/>
  <c r="F56" i="8" s="1"/>
  <c r="M56" i="8" s="1"/>
  <c r="Q32" i="1"/>
  <c r="G56" i="8" s="1"/>
  <c r="N56" i="8" s="1"/>
  <c r="K33" i="1"/>
  <c r="F57" i="8" s="1"/>
  <c r="M57" i="8" s="1"/>
  <c r="Q33" i="1"/>
  <c r="G57" i="8" s="1"/>
  <c r="N57" i="8" s="1"/>
  <c r="K34" i="1"/>
  <c r="F58" i="8" s="1"/>
  <c r="M58" i="8" s="1"/>
  <c r="Q34" i="1"/>
  <c r="G58" i="8" s="1"/>
  <c r="N58" i="8" s="1"/>
  <c r="N8" i="1"/>
  <c r="N39" i="1" s="1"/>
  <c r="Z11" i="1"/>
  <c r="C45" i="1" l="1"/>
  <c r="H40" i="8"/>
  <c r="O40" i="8" s="1"/>
  <c r="W39" i="1"/>
  <c r="G40" i="8"/>
  <c r="N40" i="8" s="1"/>
  <c r="Q39" i="1"/>
  <c r="F34" i="8"/>
  <c r="M34" i="8" s="1"/>
  <c r="K39" i="1"/>
  <c r="E34" i="8"/>
  <c r="L34" i="8" s="1"/>
  <c r="E39" i="1"/>
  <c r="H50" i="8"/>
  <c r="O50" i="8" s="1"/>
  <c r="H38" i="8"/>
  <c r="O38" i="8" s="1"/>
  <c r="H45" i="8"/>
  <c r="O45" i="8" s="1"/>
  <c r="H44" i="8"/>
  <c r="O44" i="8" s="1"/>
  <c r="H51" i="8"/>
  <c r="O51" i="8" s="1"/>
  <c r="C42" i="1" l="1"/>
  <c r="Q19" i="7"/>
  <c r="P9" i="7"/>
  <c r="Q9" i="7"/>
  <c r="R9" i="7"/>
  <c r="U16" i="7" s="1"/>
  <c r="S9" i="7"/>
  <c r="V16" i="7" s="1"/>
  <c r="T9" i="7"/>
  <c r="W16" i="7" s="1"/>
  <c r="O9" i="7"/>
  <c r="G22" i="7"/>
  <c r="D18" i="16" l="1"/>
  <c r="D17" i="21"/>
  <c r="D15" i="21"/>
  <c r="D17" i="20"/>
  <c r="D15" i="20"/>
  <c r="D20" i="16"/>
  <c r="D21" i="18"/>
  <c r="D18" i="18"/>
  <c r="D16" i="18"/>
  <c r="D22" i="16"/>
  <c r="D17" i="16"/>
  <c r="F24" i="14"/>
  <c r="F23" i="14"/>
  <c r="F22" i="14"/>
  <c r="L11" i="3"/>
  <c r="I11" i="3"/>
  <c r="F11" i="3"/>
  <c r="C11" i="3"/>
  <c r="K44" i="7" l="1"/>
  <c r="H34" i="7" s="1"/>
  <c r="T15" i="7" s="1"/>
  <c r="Q27" i="4" l="1"/>
  <c r="P29" i="2" s="1"/>
  <c r="Q28" i="4"/>
  <c r="P30" i="2" s="1"/>
  <c r="Q29" i="4"/>
  <c r="P31" i="2" s="1"/>
  <c r="Q30" i="4"/>
  <c r="P32" i="2" s="1"/>
  <c r="C29" i="2" l="1"/>
  <c r="D29" i="2" s="1"/>
  <c r="F29" i="2"/>
  <c r="H29" i="2" s="1"/>
  <c r="I29" i="2"/>
  <c r="J29" i="2" s="1"/>
  <c r="L29" i="2"/>
  <c r="N29" i="2" s="1"/>
  <c r="C30" i="2"/>
  <c r="E30" i="2" s="1"/>
  <c r="F30" i="2"/>
  <c r="G30" i="2" s="1"/>
  <c r="I30" i="2"/>
  <c r="J30" i="2" s="1"/>
  <c r="L30" i="2"/>
  <c r="M30" i="2" s="1"/>
  <c r="C31" i="2"/>
  <c r="E31" i="2" s="1"/>
  <c r="F31" i="2"/>
  <c r="G31" i="2" s="1"/>
  <c r="I31" i="2"/>
  <c r="J31" i="2" s="1"/>
  <c r="L31" i="2"/>
  <c r="N31" i="2" s="1"/>
  <c r="C32" i="2"/>
  <c r="E32" i="2" s="1"/>
  <c r="F32" i="2"/>
  <c r="G32" i="2" s="1"/>
  <c r="I32" i="2"/>
  <c r="K32" i="2" s="1"/>
  <c r="L32" i="2"/>
  <c r="M32" i="2" s="1"/>
  <c r="C33" i="2"/>
  <c r="D33" i="2" s="1"/>
  <c r="F33" i="2"/>
  <c r="H33" i="2" s="1"/>
  <c r="I33" i="2"/>
  <c r="J33" i="2" s="1"/>
  <c r="L33" i="2"/>
  <c r="M33" i="2" s="1"/>
  <c r="D31" i="2" l="1"/>
  <c r="J32" i="2"/>
  <c r="H31" i="2"/>
  <c r="G33" i="2"/>
  <c r="D30" i="2"/>
  <c r="O30" i="2" s="1"/>
  <c r="Q30" i="2" s="1"/>
  <c r="G29" i="2"/>
  <c r="D32" i="2"/>
  <c r="O32" i="2" s="1"/>
  <c r="M29" i="2"/>
  <c r="K33" i="2"/>
  <c r="K30" i="2"/>
  <c r="K29" i="2"/>
  <c r="N32" i="2"/>
  <c r="M31" i="2"/>
  <c r="O31" i="2" s="1"/>
  <c r="N33" i="2"/>
  <c r="H30" i="2"/>
  <c r="O33" i="2"/>
  <c r="E33" i="2"/>
  <c r="H32" i="2"/>
  <c r="K31" i="2"/>
  <c r="N30" i="2"/>
  <c r="E29" i="2"/>
  <c r="O29" i="2" l="1"/>
  <c r="Q29" i="2" s="1"/>
  <c r="J10" i="21"/>
  <c r="J9" i="21"/>
  <c r="J8" i="21"/>
  <c r="J7" i="21"/>
  <c r="C44" i="7"/>
  <c r="D44" i="7"/>
  <c r="F22" i="7" s="1"/>
  <c r="E44" i="7"/>
  <c r="C22" i="7" s="1"/>
  <c r="F44" i="7"/>
  <c r="D22" i="7" s="1"/>
  <c r="G44" i="7"/>
  <c r="E22" i="7" s="1"/>
  <c r="H44" i="7"/>
  <c r="I44" i="7"/>
  <c r="J44" i="7"/>
  <c r="I34" i="7" s="1"/>
  <c r="L44" i="7"/>
  <c r="M44" i="7"/>
  <c r="D34" i="7" s="1"/>
  <c r="N44" i="7"/>
  <c r="E34" i="7" s="1"/>
  <c r="B44" i="7"/>
  <c r="H22" i="7" s="1"/>
  <c r="Q31" i="2"/>
  <c r="Q31" i="4"/>
  <c r="D39" i="4"/>
  <c r="M39" i="4"/>
  <c r="J39" i="4"/>
  <c r="G39" i="4"/>
  <c r="T14" i="7" l="1"/>
  <c r="C34" i="7"/>
  <c r="I22" i="7"/>
  <c r="V14" i="7" s="1"/>
  <c r="W15" i="7"/>
  <c r="V15" i="7"/>
  <c r="U14" i="7"/>
  <c r="U15" i="7"/>
  <c r="W14" i="7"/>
  <c r="U20" i="7"/>
  <c r="T20" i="7"/>
  <c r="W20" i="7"/>
  <c r="Q32" i="2"/>
  <c r="P33" i="2"/>
  <c r="C28" i="2"/>
  <c r="D28" i="2" s="1"/>
  <c r="Q33" i="2" l="1"/>
  <c r="V20" i="7"/>
  <c r="E28" i="2"/>
  <c r="F28" i="2"/>
  <c r="G28" i="2" s="1"/>
  <c r="I28" i="2"/>
  <c r="K28" i="2" s="1"/>
  <c r="L28" i="2"/>
  <c r="M28" i="2" s="1"/>
  <c r="J28" i="2" l="1"/>
  <c r="O28" i="2" s="1"/>
  <c r="Q28" i="2" s="1"/>
  <c r="H28" i="2"/>
  <c r="N28" i="2"/>
  <c r="C9" i="2" l="1"/>
  <c r="E9" i="2" l="1"/>
  <c r="D9" i="2"/>
  <c r="F34" i="3" l="1"/>
  <c r="H28" i="3"/>
  <c r="G28" i="3"/>
  <c r="F28" i="3"/>
  <c r="L9" i="2"/>
  <c r="I9" i="2"/>
  <c r="K9" i="2" s="1"/>
  <c r="I10" i="2"/>
  <c r="J10" i="2" s="1"/>
  <c r="I11" i="2"/>
  <c r="J11" i="2" s="1"/>
  <c r="I14" i="2"/>
  <c r="K14" i="2" s="1"/>
  <c r="I15" i="2"/>
  <c r="I16" i="2"/>
  <c r="J16" i="2" s="1"/>
  <c r="I17" i="2"/>
  <c r="J17" i="2" s="1"/>
  <c r="I18" i="2"/>
  <c r="K18" i="2" s="1"/>
  <c r="I19" i="2"/>
  <c r="K19" i="2" s="1"/>
  <c r="I20" i="2"/>
  <c r="J20" i="2" s="1"/>
  <c r="I21" i="2"/>
  <c r="J21" i="2" s="1"/>
  <c r="I24" i="2"/>
  <c r="J24" i="2" s="1"/>
  <c r="I25" i="2"/>
  <c r="K25" i="2" s="1"/>
  <c r="I26" i="2"/>
  <c r="J26" i="2" s="1"/>
  <c r="I27" i="2"/>
  <c r="J27" i="2" s="1"/>
  <c r="F9" i="2"/>
  <c r="H9" i="2" s="1"/>
  <c r="F10" i="2"/>
  <c r="G10" i="2" s="1"/>
  <c r="H11" i="2"/>
  <c r="F12" i="2"/>
  <c r="G12" i="2" s="1"/>
  <c r="F13" i="2"/>
  <c r="G13" i="2" s="1"/>
  <c r="F14" i="2"/>
  <c r="G14" i="2" s="1"/>
  <c r="F15" i="2"/>
  <c r="F16" i="2"/>
  <c r="H16" i="2" s="1"/>
  <c r="F17" i="2"/>
  <c r="G17" i="2" s="1"/>
  <c r="F18" i="2"/>
  <c r="G18" i="2" s="1"/>
  <c r="F19" i="2"/>
  <c r="H19" i="2" s="1"/>
  <c r="F20" i="2"/>
  <c r="G20" i="2" s="1"/>
  <c r="F21" i="2"/>
  <c r="G21" i="2" s="1"/>
  <c r="F22" i="2"/>
  <c r="G22" i="2" s="1"/>
  <c r="F23" i="2"/>
  <c r="G23" i="2" s="1"/>
  <c r="F24" i="2"/>
  <c r="H24" i="2" s="1"/>
  <c r="F25" i="2"/>
  <c r="H25" i="2" s="1"/>
  <c r="F26" i="2"/>
  <c r="G26" i="2" s="1"/>
  <c r="F27" i="2"/>
  <c r="H27" i="2" s="1"/>
  <c r="G15" i="2" l="1"/>
  <c r="J15" i="2"/>
  <c r="M9" i="2"/>
  <c r="H17" i="2"/>
  <c r="G16" i="2"/>
  <c r="H15" i="2"/>
  <c r="K16" i="2"/>
  <c r="H23" i="2"/>
  <c r="G27" i="2"/>
  <c r="G11" i="2"/>
  <c r="K26" i="2"/>
  <c r="K15" i="2"/>
  <c r="J25" i="2"/>
  <c r="G24" i="2"/>
  <c r="H12" i="2"/>
  <c r="J19" i="2"/>
  <c r="J9" i="2"/>
  <c r="G25" i="2"/>
  <c r="J18" i="2"/>
  <c r="H13" i="2"/>
  <c r="H20" i="2"/>
  <c r="J14" i="2"/>
  <c r="G19" i="2"/>
  <c r="G9" i="2"/>
  <c r="N9" i="2"/>
  <c r="H21" i="2"/>
  <c r="K20" i="2"/>
  <c r="K24" i="2"/>
  <c r="K10" i="2"/>
  <c r="H26" i="2"/>
  <c r="H22" i="2"/>
  <c r="H18" i="2"/>
  <c r="H14" i="2"/>
  <c r="H10" i="2"/>
  <c r="K27" i="2"/>
  <c r="K21" i="2"/>
  <c r="K17" i="2"/>
  <c r="K11" i="2"/>
  <c r="O9" i="2" l="1"/>
  <c r="M32" i="8"/>
  <c r="N32" i="8"/>
  <c r="D19" i="3" l="1"/>
  <c r="D28" i="3" l="1"/>
  <c r="C28" i="3"/>
  <c r="A5" i="22" l="1"/>
  <c r="K5" i="14"/>
  <c r="L5" i="14"/>
  <c r="M5" i="14"/>
  <c r="N5" i="14"/>
  <c r="O5" i="14"/>
  <c r="L6" i="14"/>
  <c r="M6" i="14"/>
  <c r="N6" i="14"/>
  <c r="O6" i="14"/>
  <c r="K7" i="14"/>
  <c r="L7" i="14"/>
  <c r="O7" i="14"/>
  <c r="K8" i="14"/>
  <c r="L8" i="14"/>
  <c r="O8" i="14"/>
  <c r="K9" i="14"/>
  <c r="K10" i="14"/>
  <c r="O10" i="14"/>
  <c r="K11" i="14"/>
  <c r="N11" i="14"/>
  <c r="K12" i="14"/>
  <c r="N12" i="14"/>
  <c r="K13" i="14"/>
  <c r="L13" i="14"/>
  <c r="O13" i="14"/>
  <c r="K14" i="14"/>
  <c r="L14" i="14"/>
  <c r="N8" i="14"/>
  <c r="M8" i="14"/>
  <c r="R9" i="8"/>
  <c r="I8" i="2"/>
  <c r="F8" i="2"/>
  <c r="K8" i="2" l="1"/>
  <c r="G8" i="2"/>
  <c r="J8" i="2"/>
  <c r="H8" i="2"/>
  <c r="R33" i="8"/>
  <c r="B28" i="22"/>
  <c r="O8" i="2" l="1"/>
  <c r="Q8" i="2" s="1"/>
  <c r="K12" i="22"/>
  <c r="L12" i="22"/>
  <c r="K13" i="22"/>
  <c r="L13" i="22"/>
  <c r="K14" i="22"/>
  <c r="L14" i="22"/>
  <c r="K15" i="22"/>
  <c r="L15" i="22"/>
  <c r="K16" i="22"/>
  <c r="L16" i="22"/>
  <c r="K17" i="22"/>
  <c r="L17" i="22"/>
  <c r="K18" i="22"/>
  <c r="L18" i="22"/>
  <c r="K19" i="22"/>
  <c r="L19" i="22"/>
  <c r="K31" i="22"/>
  <c r="L31" i="22"/>
  <c r="K32" i="22"/>
  <c r="L32" i="22"/>
  <c r="K33" i="22"/>
  <c r="L33" i="22"/>
  <c r="K34" i="22"/>
  <c r="L34" i="22"/>
  <c r="A31" i="22"/>
  <c r="B31" i="22"/>
  <c r="C31" i="22"/>
  <c r="D31" i="22"/>
  <c r="E31" i="22"/>
  <c r="F31" i="22"/>
  <c r="A32" i="22"/>
  <c r="B32" i="22"/>
  <c r="C32" i="22"/>
  <c r="D32" i="22"/>
  <c r="E32" i="22"/>
  <c r="F32" i="22"/>
  <c r="A33" i="22"/>
  <c r="B33" i="22"/>
  <c r="C33" i="22"/>
  <c r="D33" i="22"/>
  <c r="E33" i="22"/>
  <c r="F33" i="22"/>
  <c r="A34" i="22"/>
  <c r="A35" i="22"/>
  <c r="A36" i="22"/>
  <c r="A37" i="22"/>
  <c r="K21" i="22"/>
  <c r="L21" i="22"/>
  <c r="K22" i="22"/>
  <c r="L22" i="22"/>
  <c r="K23" i="22"/>
  <c r="L23" i="22"/>
  <c r="K24" i="22"/>
  <c r="L24" i="22"/>
  <c r="K25" i="22"/>
  <c r="L25" i="22"/>
  <c r="K26" i="22"/>
  <c r="L26" i="22"/>
  <c r="K27" i="22"/>
  <c r="L27" i="22"/>
  <c r="K28" i="22"/>
  <c r="L28" i="22"/>
  <c r="A22" i="22"/>
  <c r="B22" i="22"/>
  <c r="C22" i="22"/>
  <c r="D22" i="22"/>
  <c r="E22" i="22"/>
  <c r="F22" i="22"/>
  <c r="G22" i="22"/>
  <c r="H22" i="22"/>
  <c r="I22" i="22"/>
  <c r="A23" i="22"/>
  <c r="B23" i="22"/>
  <c r="C23" i="22"/>
  <c r="D23" i="22"/>
  <c r="E23" i="22"/>
  <c r="F23" i="22"/>
  <c r="G23" i="22"/>
  <c r="H23" i="22"/>
  <c r="I23" i="22"/>
  <c r="A24" i="22"/>
  <c r="B24" i="22"/>
  <c r="C24" i="22"/>
  <c r="D24" i="22"/>
  <c r="E24" i="22"/>
  <c r="F24" i="22"/>
  <c r="G24" i="22"/>
  <c r="H24" i="22"/>
  <c r="I24" i="22"/>
  <c r="A25" i="22"/>
  <c r="A26" i="22"/>
  <c r="A27" i="22"/>
  <c r="A28" i="22"/>
  <c r="A13" i="22"/>
  <c r="B13" i="22"/>
  <c r="C13" i="22"/>
  <c r="D13" i="22"/>
  <c r="E13" i="22"/>
  <c r="F13" i="22"/>
  <c r="G13" i="22"/>
  <c r="H13" i="22"/>
  <c r="A14" i="22"/>
  <c r="B14" i="22"/>
  <c r="C14" i="22"/>
  <c r="D14" i="22"/>
  <c r="E14" i="22"/>
  <c r="F14" i="22"/>
  <c r="G14" i="22"/>
  <c r="H14" i="22"/>
  <c r="A15" i="22"/>
  <c r="B15" i="22"/>
  <c r="C15" i="22"/>
  <c r="D15" i="22"/>
  <c r="E15" i="22"/>
  <c r="F15" i="22"/>
  <c r="G15" i="22"/>
  <c r="H15" i="22"/>
  <c r="A16" i="22"/>
  <c r="A17" i="22"/>
  <c r="A18" i="22"/>
  <c r="A19" i="22"/>
  <c r="K1" i="22"/>
  <c r="K2" i="22"/>
  <c r="L2" i="22"/>
  <c r="K3" i="22"/>
  <c r="L3" i="22"/>
  <c r="K4" i="22"/>
  <c r="L4" i="22"/>
  <c r="K5" i="22"/>
  <c r="K6" i="22"/>
  <c r="L6" i="22"/>
  <c r="L7" i="22"/>
  <c r="K8" i="22"/>
  <c r="L8" i="22"/>
  <c r="K9" i="22"/>
  <c r="L9" i="22"/>
  <c r="A1" i="22"/>
  <c r="B1" i="22"/>
  <c r="C1" i="22"/>
  <c r="D1" i="22"/>
  <c r="E1" i="22"/>
  <c r="F1" i="22"/>
  <c r="G1" i="22"/>
  <c r="H1" i="22"/>
  <c r="A2" i="22"/>
  <c r="B2" i="22"/>
  <c r="C2" i="22"/>
  <c r="D2" i="22"/>
  <c r="E2" i="22"/>
  <c r="F2" i="22"/>
  <c r="G2" i="22"/>
  <c r="H2" i="22"/>
  <c r="A3" i="22"/>
  <c r="B3" i="22"/>
  <c r="C3" i="22"/>
  <c r="D3" i="22"/>
  <c r="E3" i="22"/>
  <c r="F3" i="22"/>
  <c r="G3" i="22"/>
  <c r="H3" i="22"/>
  <c r="A4" i="22"/>
  <c r="A6" i="22"/>
  <c r="A7" i="22"/>
  <c r="A8" i="22"/>
  <c r="A9" i="22"/>
  <c r="A10" i="22"/>
  <c r="A11" i="22"/>
  <c r="J7" i="20" l="1"/>
  <c r="J8" i="20"/>
  <c r="J9" i="20"/>
  <c r="J10" i="20"/>
  <c r="L7" i="18"/>
  <c r="L8" i="18"/>
  <c r="O8" i="18"/>
  <c r="N9" i="18"/>
  <c r="L10" i="18"/>
  <c r="N10" i="18"/>
  <c r="L7" i="16"/>
  <c r="L8" i="16"/>
  <c r="L9" i="16"/>
  <c r="O9" i="16"/>
  <c r="L10" i="16"/>
  <c r="O24" i="10" l="1"/>
  <c r="N24" i="10" s="1"/>
  <c r="Q24" i="10" s="1"/>
  <c r="O25" i="10"/>
  <c r="N25" i="10" s="1"/>
  <c r="Q25" i="10" s="1"/>
  <c r="O26" i="10"/>
  <c r="N26" i="10" s="1"/>
  <c r="Q26" i="10" s="1"/>
  <c r="O27" i="10"/>
  <c r="N27" i="10" s="1"/>
  <c r="Q27" i="10" s="1"/>
  <c r="T23" i="10"/>
  <c r="S23" i="10" s="1"/>
  <c r="V23" i="10" s="1"/>
  <c r="T24" i="10"/>
  <c r="S24" i="10" s="1"/>
  <c r="V24" i="10" s="1"/>
  <c r="T25" i="10"/>
  <c r="S25" i="10" s="1"/>
  <c r="V25" i="10" s="1"/>
  <c r="T26" i="10"/>
  <c r="S26" i="10" s="1"/>
  <c r="V26" i="10" s="1"/>
  <c r="T27" i="10"/>
  <c r="S27" i="10" s="1"/>
  <c r="V27" i="10" s="1"/>
  <c r="T22" i="10"/>
  <c r="S22" i="10" s="1"/>
  <c r="V22" i="10" s="1"/>
  <c r="T13" i="10"/>
  <c r="S13" i="10" s="1"/>
  <c r="V13" i="10" s="1"/>
  <c r="T15" i="10"/>
  <c r="S15" i="10" s="1"/>
  <c r="V15" i="10" s="1"/>
  <c r="T16" i="10"/>
  <c r="S16" i="10" s="1"/>
  <c r="V16" i="10" s="1"/>
  <c r="T17" i="10"/>
  <c r="S17" i="10" s="1"/>
  <c r="V17" i="10" s="1"/>
  <c r="T19" i="10"/>
  <c r="S19" i="10" s="1"/>
  <c r="V19" i="10" s="1"/>
  <c r="T20" i="10"/>
  <c r="S20" i="10" s="1"/>
  <c r="V20" i="10" s="1"/>
  <c r="T12" i="10"/>
  <c r="S12" i="10" s="1"/>
  <c r="V12" i="10" s="1"/>
  <c r="T10" i="10"/>
  <c r="S10" i="10" s="1"/>
  <c r="V10" i="10" s="1"/>
  <c r="O11" i="10"/>
  <c r="N11" i="10" s="1"/>
  <c r="Q11" i="10" s="1"/>
  <c r="O14" i="10"/>
  <c r="N14" i="10" s="1"/>
  <c r="Q14" i="10" s="1"/>
  <c r="O15" i="10"/>
  <c r="N15" i="10" s="1"/>
  <c r="Q15" i="10" s="1"/>
  <c r="O16" i="10"/>
  <c r="N16" i="10" s="1"/>
  <c r="Q16" i="10" s="1"/>
  <c r="O17" i="10"/>
  <c r="N17" i="10" s="1"/>
  <c r="Q17" i="10" s="1"/>
  <c r="O18" i="10"/>
  <c r="N18" i="10" s="1"/>
  <c r="Q18" i="10" s="1"/>
  <c r="O19" i="10"/>
  <c r="N19" i="10" s="1"/>
  <c r="Q19" i="10" s="1"/>
  <c r="O20" i="10"/>
  <c r="N20" i="10" s="1"/>
  <c r="Q20" i="10" s="1"/>
  <c r="O21" i="10"/>
  <c r="N21" i="10" s="1"/>
  <c r="Q21" i="10" s="1"/>
  <c r="O10" i="10"/>
  <c r="N10" i="10" s="1"/>
  <c r="Q10" i="10" s="1"/>
  <c r="O8" i="10"/>
  <c r="J23" i="10"/>
  <c r="I23" i="10" s="1"/>
  <c r="L23" i="10" s="1"/>
  <c r="J24" i="10"/>
  <c r="I24" i="10" s="1"/>
  <c r="L24" i="10" s="1"/>
  <c r="J25" i="10"/>
  <c r="I25" i="10" s="1"/>
  <c r="L25" i="10" s="1"/>
  <c r="J26" i="10"/>
  <c r="I26" i="10" s="1"/>
  <c r="L26" i="10" s="1"/>
  <c r="J27" i="10"/>
  <c r="I27" i="10" s="1"/>
  <c r="L27" i="10" s="1"/>
  <c r="J22" i="10"/>
  <c r="I22" i="10" s="1"/>
  <c r="L22" i="10" s="1"/>
  <c r="J11" i="10"/>
  <c r="J12" i="10"/>
  <c r="I12" i="10" s="1"/>
  <c r="L12" i="10" s="1"/>
  <c r="J13" i="10"/>
  <c r="I13" i="10" s="1"/>
  <c r="L13" i="10" s="1"/>
  <c r="J14" i="10"/>
  <c r="I14" i="10" s="1"/>
  <c r="L14" i="10" s="1"/>
  <c r="J15" i="10"/>
  <c r="I15" i="10" s="1"/>
  <c r="L15" i="10" s="1"/>
  <c r="J16" i="10"/>
  <c r="I16" i="10" s="1"/>
  <c r="L16" i="10" s="1"/>
  <c r="J17" i="10"/>
  <c r="I17" i="10" s="1"/>
  <c r="L17" i="10" s="1"/>
  <c r="J18" i="10"/>
  <c r="I18" i="10" s="1"/>
  <c r="L18" i="10" s="1"/>
  <c r="J19" i="10"/>
  <c r="I19" i="10" s="1"/>
  <c r="L19" i="10" s="1"/>
  <c r="J20" i="10"/>
  <c r="I20" i="10" s="1"/>
  <c r="L20" i="10" s="1"/>
  <c r="J21" i="10"/>
  <c r="I21" i="10" s="1"/>
  <c r="L21" i="10" s="1"/>
  <c r="J10" i="10"/>
  <c r="I10" i="10" s="1"/>
  <c r="L10" i="10" s="1"/>
  <c r="I11" i="10"/>
  <c r="L11" i="10" s="1"/>
  <c r="J8" i="10"/>
  <c r="E22" i="10"/>
  <c r="D22" i="10" s="1"/>
  <c r="G22" i="10" s="1"/>
  <c r="E11" i="10"/>
  <c r="D11" i="10" s="1"/>
  <c r="G11" i="10" s="1"/>
  <c r="E12" i="10"/>
  <c r="D12" i="10" s="1"/>
  <c r="G12" i="10" s="1"/>
  <c r="E13" i="10"/>
  <c r="D13" i="10" s="1"/>
  <c r="G13" i="10" s="1"/>
  <c r="E10" i="10"/>
  <c r="D10" i="10" s="1"/>
  <c r="G10" i="10" s="1"/>
  <c r="U28" i="10"/>
  <c r="R28" i="10"/>
  <c r="P28" i="10"/>
  <c r="M28" i="10"/>
  <c r="K28" i="10"/>
  <c r="H28" i="10"/>
  <c r="F28" i="10"/>
  <c r="C28" i="10"/>
  <c r="T23" i="11"/>
  <c r="S23" i="11" s="1"/>
  <c r="V23" i="11" s="1"/>
  <c r="T24" i="11"/>
  <c r="S24" i="11" s="1"/>
  <c r="V24" i="11" s="1"/>
  <c r="T25" i="11"/>
  <c r="S25" i="11" s="1"/>
  <c r="V25" i="11" s="1"/>
  <c r="T26" i="11"/>
  <c r="S26" i="11" s="1"/>
  <c r="V26" i="11" s="1"/>
  <c r="T27" i="11"/>
  <c r="S27" i="11" s="1"/>
  <c r="V27" i="11" s="1"/>
  <c r="T22" i="11"/>
  <c r="S22" i="11" s="1"/>
  <c r="V22" i="11" s="1"/>
  <c r="T12" i="11"/>
  <c r="S12" i="11" s="1"/>
  <c r="V12" i="11" s="1"/>
  <c r="T13" i="11"/>
  <c r="S13" i="11" s="1"/>
  <c r="V13" i="11" s="1"/>
  <c r="T15" i="11"/>
  <c r="S15" i="11" s="1"/>
  <c r="V15" i="11" s="1"/>
  <c r="T16" i="11"/>
  <c r="S16" i="11" s="1"/>
  <c r="V16" i="11" s="1"/>
  <c r="T17" i="11"/>
  <c r="S17" i="11" s="1"/>
  <c r="V17" i="11" s="1"/>
  <c r="T19" i="11"/>
  <c r="S19" i="11" s="1"/>
  <c r="V19" i="11" s="1"/>
  <c r="T20" i="11"/>
  <c r="S20" i="11" s="1"/>
  <c r="V20" i="11" s="1"/>
  <c r="T10" i="11"/>
  <c r="S10" i="11" s="1"/>
  <c r="V10" i="11" s="1"/>
  <c r="O24" i="11"/>
  <c r="N24" i="11" s="1"/>
  <c r="Q24" i="11" s="1"/>
  <c r="O25" i="11"/>
  <c r="N25" i="11" s="1"/>
  <c r="Q25" i="11" s="1"/>
  <c r="O26" i="11"/>
  <c r="N26" i="11" s="1"/>
  <c r="Q26" i="11" s="1"/>
  <c r="O27" i="11"/>
  <c r="N27" i="11" s="1"/>
  <c r="Q27" i="11" s="1"/>
  <c r="O11" i="11"/>
  <c r="N11" i="11" s="1"/>
  <c r="Q11" i="11" s="1"/>
  <c r="O14" i="11"/>
  <c r="N14" i="11" s="1"/>
  <c r="Q14" i="11" s="1"/>
  <c r="O15" i="11"/>
  <c r="N15" i="11" s="1"/>
  <c r="Q15" i="11" s="1"/>
  <c r="O16" i="11"/>
  <c r="N16" i="11" s="1"/>
  <c r="Q16" i="11" s="1"/>
  <c r="O17" i="11"/>
  <c r="N17" i="11" s="1"/>
  <c r="Q17" i="11" s="1"/>
  <c r="O18" i="11"/>
  <c r="N18" i="11" s="1"/>
  <c r="Q18" i="11" s="1"/>
  <c r="O19" i="11"/>
  <c r="N19" i="11" s="1"/>
  <c r="Q19" i="11" s="1"/>
  <c r="O20" i="11"/>
  <c r="N20" i="11" s="1"/>
  <c r="Q20" i="11" s="1"/>
  <c r="O21" i="11"/>
  <c r="N21" i="11" s="1"/>
  <c r="Q21" i="11" s="1"/>
  <c r="O10" i="11"/>
  <c r="N10" i="11" s="1"/>
  <c r="Q10" i="11" s="1"/>
  <c r="O8" i="11"/>
  <c r="N8" i="11" s="1"/>
  <c r="Q8" i="11" s="1"/>
  <c r="J23" i="11"/>
  <c r="I23" i="11" s="1"/>
  <c r="L23" i="11" s="1"/>
  <c r="J24" i="11"/>
  <c r="I24" i="11" s="1"/>
  <c r="L24" i="11" s="1"/>
  <c r="J25" i="11"/>
  <c r="I25" i="11" s="1"/>
  <c r="L25" i="11" s="1"/>
  <c r="J26" i="11"/>
  <c r="I26" i="11" s="1"/>
  <c r="L26" i="11" s="1"/>
  <c r="J27" i="11"/>
  <c r="I27" i="11" s="1"/>
  <c r="L27" i="11" s="1"/>
  <c r="J22" i="11"/>
  <c r="I22" i="11" s="1"/>
  <c r="L22" i="11" s="1"/>
  <c r="E22" i="11"/>
  <c r="D22" i="11" s="1"/>
  <c r="G22" i="11" s="1"/>
  <c r="J11" i="11"/>
  <c r="I11" i="11" s="1"/>
  <c r="L11" i="11" s="1"/>
  <c r="J12" i="11"/>
  <c r="I12" i="11" s="1"/>
  <c r="L12" i="11" s="1"/>
  <c r="J13" i="11"/>
  <c r="I13" i="11" s="1"/>
  <c r="L13" i="11" s="1"/>
  <c r="J14" i="11"/>
  <c r="I14" i="11" s="1"/>
  <c r="L14" i="11" s="1"/>
  <c r="J15" i="11"/>
  <c r="I15" i="11" s="1"/>
  <c r="L15" i="11" s="1"/>
  <c r="J16" i="11"/>
  <c r="I16" i="11" s="1"/>
  <c r="L16" i="11" s="1"/>
  <c r="J17" i="11"/>
  <c r="I17" i="11" s="1"/>
  <c r="L17" i="11" s="1"/>
  <c r="J18" i="11"/>
  <c r="I18" i="11" s="1"/>
  <c r="L18" i="11" s="1"/>
  <c r="J19" i="11"/>
  <c r="I19" i="11" s="1"/>
  <c r="L19" i="11" s="1"/>
  <c r="J20" i="11"/>
  <c r="I20" i="11" s="1"/>
  <c r="L20" i="11" s="1"/>
  <c r="J21" i="11"/>
  <c r="I21" i="11" s="1"/>
  <c r="L21" i="11" s="1"/>
  <c r="J10" i="11"/>
  <c r="I10" i="11" s="1"/>
  <c r="L10" i="11" s="1"/>
  <c r="J8" i="11"/>
  <c r="I8" i="11" s="1"/>
  <c r="L8" i="11" s="1"/>
  <c r="E11" i="11"/>
  <c r="D11" i="11" s="1"/>
  <c r="G11" i="11" s="1"/>
  <c r="E12" i="11"/>
  <c r="D12" i="11" s="1"/>
  <c r="G12" i="11" s="1"/>
  <c r="E13" i="11"/>
  <c r="D13" i="11" s="1"/>
  <c r="G13" i="11" s="1"/>
  <c r="E10" i="11"/>
  <c r="D10" i="11" s="1"/>
  <c r="G10" i="11" s="1"/>
  <c r="U28" i="11"/>
  <c r="R28" i="11"/>
  <c r="P28" i="11"/>
  <c r="M28" i="11"/>
  <c r="K28" i="11"/>
  <c r="H28" i="11"/>
  <c r="F28" i="11"/>
  <c r="C28" i="11"/>
  <c r="C29" i="10" l="1"/>
  <c r="J28" i="10"/>
  <c r="E28" i="10"/>
  <c r="T28" i="10"/>
  <c r="G28" i="10"/>
  <c r="O28" i="10"/>
  <c r="S28" i="10"/>
  <c r="V28" i="10"/>
  <c r="I8" i="10"/>
  <c r="N8" i="10"/>
  <c r="D28" i="10"/>
  <c r="J28" i="11"/>
  <c r="D28" i="11"/>
  <c r="C29" i="11"/>
  <c r="N28" i="11"/>
  <c r="V28" i="11"/>
  <c r="S28" i="11"/>
  <c r="L28" i="11"/>
  <c r="I28" i="11"/>
  <c r="G28" i="11"/>
  <c r="Q28" i="11"/>
  <c r="T28" i="11"/>
  <c r="E28" i="11"/>
  <c r="O28" i="11"/>
  <c r="C31" i="10" l="1"/>
  <c r="I28" i="10"/>
  <c r="L8" i="10"/>
  <c r="L28" i="10" s="1"/>
  <c r="Q8" i="10"/>
  <c r="Q28" i="10" s="1"/>
  <c r="N28" i="10"/>
  <c r="C30" i="11"/>
  <c r="C32" i="11" s="1"/>
  <c r="C31" i="11"/>
  <c r="C30" i="10" l="1"/>
  <c r="C32" i="10" s="1"/>
  <c r="N16" i="8" l="1"/>
  <c r="M10" i="18"/>
  <c r="O10" i="18"/>
  <c r="O9" i="18"/>
  <c r="M9" i="18"/>
  <c r="L9" i="18"/>
  <c r="N8" i="18"/>
  <c r="M8" i="18"/>
  <c r="O7" i="18"/>
  <c r="N7" i="18"/>
  <c r="M7" i="18"/>
  <c r="O10" i="16"/>
  <c r="I10" i="16" s="1"/>
  <c r="N10" i="16"/>
  <c r="M10" i="16"/>
  <c r="N9" i="16"/>
  <c r="M9" i="16"/>
  <c r="N8" i="16"/>
  <c r="M8" i="16"/>
  <c r="O8" i="16"/>
  <c r="O7" i="16"/>
  <c r="N7" i="16"/>
  <c r="M7" i="16"/>
  <c r="O14" i="14"/>
  <c r="N14" i="14"/>
  <c r="M14" i="14"/>
  <c r="M13" i="14"/>
  <c r="N13" i="14"/>
  <c r="O12" i="14"/>
  <c r="M12" i="14"/>
  <c r="L12" i="14"/>
  <c r="O11" i="14"/>
  <c r="M11" i="14"/>
  <c r="L11" i="14"/>
  <c r="N10" i="14"/>
  <c r="M10" i="14"/>
  <c r="L10" i="14"/>
  <c r="O9" i="14"/>
  <c r="N9" i="14"/>
  <c r="M9" i="14"/>
  <c r="L9" i="14"/>
  <c r="N7" i="14"/>
  <c r="M7" i="14"/>
  <c r="L7" i="20" l="1"/>
  <c r="L7" i="21"/>
  <c r="F7" i="21" s="1"/>
  <c r="M7" i="20"/>
  <c r="M7" i="21"/>
  <c r="K9" i="20"/>
  <c r="K9" i="21"/>
  <c r="L10" i="20"/>
  <c r="L10" i="21"/>
  <c r="F10" i="21" s="1"/>
  <c r="M8" i="20"/>
  <c r="M8" i="21"/>
  <c r="K8" i="20"/>
  <c r="K8" i="21"/>
  <c r="L9" i="20"/>
  <c r="L9" i="21"/>
  <c r="F9" i="21" s="1"/>
  <c r="M10" i="20"/>
  <c r="M10" i="21"/>
  <c r="K10" i="20"/>
  <c r="K10" i="21"/>
  <c r="K7" i="20"/>
  <c r="K7" i="21"/>
  <c r="L8" i="20"/>
  <c r="L8" i="21"/>
  <c r="F8" i="21" s="1"/>
  <c r="M9" i="20"/>
  <c r="M9" i="21"/>
  <c r="R42" i="8"/>
  <c r="R45" i="8"/>
  <c r="R37" i="8"/>
  <c r="R43" i="8"/>
  <c r="R49" i="8"/>
  <c r="R32" i="8"/>
  <c r="R46" i="8"/>
  <c r="R40" i="8"/>
  <c r="R36" i="8"/>
  <c r="R39" i="8"/>
  <c r="R48" i="8"/>
  <c r="R38" i="8"/>
  <c r="R41" i="8"/>
  <c r="R44" i="8"/>
  <c r="R50" i="8"/>
  <c r="R51" i="8"/>
  <c r="R34" i="8"/>
  <c r="R35" i="8"/>
  <c r="R47" i="8"/>
  <c r="S41" i="8" l="1"/>
  <c r="S36" i="8"/>
  <c r="T41" i="8"/>
  <c r="T48" i="8"/>
  <c r="T36" i="8"/>
  <c r="S48" i="8"/>
  <c r="S46" i="8"/>
  <c r="T50" i="8"/>
  <c r="S50" i="8"/>
  <c r="T38" i="8"/>
  <c r="S38" i="8"/>
  <c r="S44" i="8"/>
  <c r="T44" i="8"/>
  <c r="T46" i="8"/>
  <c r="S34" i="8"/>
  <c r="T34" i="8"/>
  <c r="U41" i="8" l="1"/>
  <c r="X40" i="8" s="1"/>
  <c r="B3" i="9" s="1"/>
  <c r="U50" i="8"/>
  <c r="U36" i="8"/>
  <c r="U48" i="8"/>
  <c r="U44" i="8"/>
  <c r="U38" i="8"/>
  <c r="U46" i="8"/>
  <c r="U34" i="8"/>
  <c r="X48" i="8" l="1"/>
  <c r="B5" i="9" s="1"/>
  <c r="X44" i="8"/>
  <c r="B4" i="9" s="1"/>
  <c r="X32" i="8"/>
  <c r="B2" i="9" s="1"/>
  <c r="Q9" i="2" l="1"/>
  <c r="H13" i="13" l="1"/>
  <c r="H11" i="13"/>
  <c r="G13" i="13"/>
  <c r="G11" i="13"/>
  <c r="H9" i="13"/>
  <c r="G9" i="13"/>
  <c r="H8" i="13"/>
  <c r="G8" i="13"/>
  <c r="H6" i="13"/>
  <c r="G6" i="13"/>
  <c r="D8" i="13"/>
  <c r="C8" i="13"/>
  <c r="H16" i="13" l="1"/>
  <c r="C44" i="13"/>
  <c r="Q8" i="13" s="1"/>
  <c r="C42" i="13"/>
  <c r="Q6" i="13" s="1"/>
  <c r="C39" i="13"/>
  <c r="N9" i="13" s="1"/>
  <c r="C36" i="13"/>
  <c r="N6" i="13" s="1"/>
  <c r="C34" i="13"/>
  <c r="K9" i="13" s="1"/>
  <c r="C32" i="13"/>
  <c r="K7" i="13" s="1"/>
  <c r="C31" i="13"/>
  <c r="K6" i="13" s="1"/>
  <c r="D28" i="13"/>
  <c r="D13" i="13" s="1"/>
  <c r="C28" i="13"/>
  <c r="C13" i="13" s="1"/>
  <c r="D26" i="13"/>
  <c r="D11" i="13" s="1"/>
  <c r="C26" i="13"/>
  <c r="C11" i="13" s="1"/>
  <c r="D24" i="13"/>
  <c r="D9" i="13" s="1"/>
  <c r="C24" i="13"/>
  <c r="C9" i="13" s="1"/>
  <c r="C21" i="13"/>
  <c r="C6" i="13" s="1"/>
  <c r="D21" i="13"/>
  <c r="D6" i="13" s="1"/>
  <c r="N12" i="13" l="1"/>
  <c r="Q12" i="13"/>
  <c r="D16" i="13"/>
  <c r="K12" i="13"/>
  <c r="P7" i="2" l="1"/>
  <c r="P38" i="2" s="1"/>
  <c r="C35" i="8" l="1"/>
  <c r="B2" i="19" l="1"/>
  <c r="B3" i="19"/>
  <c r="D3" i="19"/>
  <c r="F3" i="19"/>
  <c r="I3" i="19"/>
  <c r="H4" i="19"/>
  <c r="B5" i="19"/>
  <c r="H5" i="19"/>
  <c r="B4" i="17"/>
  <c r="E4" i="17"/>
  <c r="H4" i="17"/>
  <c r="B2" i="15"/>
  <c r="E2" i="15"/>
  <c r="H2" i="15"/>
  <c r="E4" i="15"/>
  <c r="H4" i="15"/>
  <c r="D5" i="15"/>
  <c r="G5" i="15"/>
  <c r="D6" i="15"/>
  <c r="G6" i="15"/>
  <c r="B7" i="15"/>
  <c r="E7" i="15"/>
  <c r="H7" i="15"/>
  <c r="B8" i="15"/>
  <c r="O27" i="8" l="1"/>
  <c r="N27" i="8"/>
  <c r="M27" i="8"/>
  <c r="O26" i="8"/>
  <c r="N26" i="8"/>
  <c r="M26" i="8"/>
  <c r="O25" i="8"/>
  <c r="N25" i="8"/>
  <c r="M25" i="8"/>
  <c r="O24" i="8"/>
  <c r="N24" i="8"/>
  <c r="M24" i="8"/>
  <c r="O23" i="8"/>
  <c r="M23" i="8"/>
  <c r="O22" i="8"/>
  <c r="M22" i="8"/>
  <c r="L22" i="8"/>
  <c r="N21" i="8"/>
  <c r="M21" i="8"/>
  <c r="O20" i="8"/>
  <c r="N20" i="8"/>
  <c r="M20" i="8"/>
  <c r="O19" i="8"/>
  <c r="N19" i="8"/>
  <c r="M19" i="8"/>
  <c r="N18" i="8"/>
  <c r="M18" i="8"/>
  <c r="O17" i="8"/>
  <c r="N17" i="8"/>
  <c r="M17" i="8"/>
  <c r="O16" i="8"/>
  <c r="M16" i="8"/>
  <c r="O15" i="8"/>
  <c r="N15" i="8"/>
  <c r="M15" i="8"/>
  <c r="N14" i="8"/>
  <c r="M14" i="8"/>
  <c r="O13" i="8"/>
  <c r="M13" i="8"/>
  <c r="L13" i="8"/>
  <c r="O12" i="8"/>
  <c r="M12" i="8"/>
  <c r="L12" i="8"/>
  <c r="N11" i="8"/>
  <c r="M11" i="8"/>
  <c r="L11" i="8"/>
  <c r="O10" i="8"/>
  <c r="N10" i="8"/>
  <c r="M10" i="8"/>
  <c r="L10" i="8"/>
  <c r="N8" i="8"/>
  <c r="M8" i="8"/>
  <c r="R21" i="8" l="1"/>
  <c r="R24" i="8"/>
  <c r="R27" i="8"/>
  <c r="R14" i="8"/>
  <c r="R26" i="8"/>
  <c r="R22" i="8"/>
  <c r="R19" i="8"/>
  <c r="R23" i="8"/>
  <c r="R25" i="8"/>
  <c r="R20" i="8"/>
  <c r="R17" i="8"/>
  <c r="R15" i="8"/>
  <c r="R8" i="8"/>
  <c r="R18" i="8"/>
  <c r="R16" i="8"/>
  <c r="R13" i="8"/>
  <c r="R12" i="8"/>
  <c r="R11" i="8"/>
  <c r="R10" i="8"/>
  <c r="T14" i="8" l="1"/>
  <c r="T24" i="8"/>
  <c r="S20" i="8"/>
  <c r="S26" i="8"/>
  <c r="S24" i="8"/>
  <c r="T20" i="8"/>
  <c r="S22" i="8"/>
  <c r="T26" i="8"/>
  <c r="T22" i="8"/>
  <c r="S17" i="8"/>
  <c r="T17" i="8"/>
  <c r="S14" i="8"/>
  <c r="S10" i="8"/>
  <c r="T10" i="8"/>
  <c r="T12" i="8"/>
  <c r="S12" i="8"/>
  <c r="U14" i="8" l="1"/>
  <c r="U26" i="8"/>
  <c r="U24" i="8"/>
  <c r="U20" i="8"/>
  <c r="U22" i="8"/>
  <c r="U10" i="8"/>
  <c r="U17" i="8"/>
  <c r="X16" i="8" s="1"/>
  <c r="U12" i="8"/>
  <c r="I8" i="12"/>
  <c r="I10" i="12"/>
  <c r="I13" i="12"/>
  <c r="I17" i="12"/>
  <c r="I20" i="12"/>
  <c r="H8" i="12"/>
  <c r="H10" i="12"/>
  <c r="H13" i="12"/>
  <c r="H17" i="12"/>
  <c r="H20" i="12"/>
  <c r="G11" i="12"/>
  <c r="G12" i="12"/>
  <c r="G21" i="12"/>
  <c r="G22" i="12"/>
  <c r="F11" i="12"/>
  <c r="F12" i="12"/>
  <c r="F21" i="12"/>
  <c r="F22" i="12"/>
  <c r="C8" i="12"/>
  <c r="C13" i="12"/>
  <c r="C14" i="12"/>
  <c r="C15" i="12"/>
  <c r="C16" i="12"/>
  <c r="C17" i="12"/>
  <c r="C18" i="12"/>
  <c r="C19" i="12"/>
  <c r="C20" i="12"/>
  <c r="C22" i="12"/>
  <c r="C23" i="12"/>
  <c r="C24" i="12"/>
  <c r="C25" i="12"/>
  <c r="C26" i="12"/>
  <c r="B8" i="12"/>
  <c r="B13" i="12"/>
  <c r="B14" i="12"/>
  <c r="B15" i="12"/>
  <c r="B16" i="12"/>
  <c r="B17" i="12"/>
  <c r="B18" i="12"/>
  <c r="B19" i="12"/>
  <c r="B20" i="12"/>
  <c r="B22" i="12"/>
  <c r="B23" i="12"/>
  <c r="B24" i="12"/>
  <c r="B25" i="12"/>
  <c r="B26" i="12"/>
  <c r="X24" i="8" l="1"/>
  <c r="X20" i="8"/>
  <c r="X8" i="8"/>
  <c r="L12" i="2" l="1"/>
  <c r="N12" i="2" s="1"/>
  <c r="L13" i="2"/>
  <c r="N13" i="2" s="1"/>
  <c r="L15" i="2"/>
  <c r="L16" i="2"/>
  <c r="N16" i="2" s="1"/>
  <c r="L17" i="2"/>
  <c r="N17" i="2" s="1"/>
  <c r="L19" i="2"/>
  <c r="N19" i="2" s="1"/>
  <c r="L20" i="2"/>
  <c r="N20" i="2" s="1"/>
  <c r="L22" i="2"/>
  <c r="N22" i="2" s="1"/>
  <c r="L23" i="2"/>
  <c r="N23" i="2" s="1"/>
  <c r="L24" i="2"/>
  <c r="N24" i="2" s="1"/>
  <c r="L25" i="2"/>
  <c r="N25" i="2" s="1"/>
  <c r="L26" i="2"/>
  <c r="N26" i="2" s="1"/>
  <c r="L27" i="2"/>
  <c r="N27" i="2" s="1"/>
  <c r="L10" i="2"/>
  <c r="I7" i="2"/>
  <c r="I38" i="2" s="1"/>
  <c r="F7" i="2"/>
  <c r="F38" i="2" s="1"/>
  <c r="N15" i="2" l="1"/>
  <c r="N38" i="2" s="1"/>
  <c r="L38" i="2"/>
  <c r="V19" i="7"/>
  <c r="V21" i="7" s="1"/>
  <c r="J11" i="3"/>
  <c r="K11" i="3" s="1"/>
  <c r="W19" i="7"/>
  <c r="W21" i="7" s="1"/>
  <c r="H7" i="2"/>
  <c r="H38" i="2" s="1"/>
  <c r="K7" i="2"/>
  <c r="K38" i="2" s="1"/>
  <c r="N10" i="2"/>
  <c r="C48" i="3"/>
  <c r="C57" i="3"/>
  <c r="G57" i="3" s="1"/>
  <c r="C22" i="2"/>
  <c r="E22" i="2" s="1"/>
  <c r="C13" i="2"/>
  <c r="C12" i="2"/>
  <c r="E12" i="2" s="1"/>
  <c r="C11" i="2"/>
  <c r="E11" i="2" s="1"/>
  <c r="C10" i="2"/>
  <c r="E13" i="2" l="1"/>
  <c r="C38" i="2"/>
  <c r="C20" i="3" s="1"/>
  <c r="C19" i="3" s="1"/>
  <c r="E19" i="3" s="1"/>
  <c r="T19" i="7"/>
  <c r="T21" i="7" s="1"/>
  <c r="D11" i="3"/>
  <c r="E11" i="3" s="1"/>
  <c r="U19" i="7"/>
  <c r="U21" i="7" s="1"/>
  <c r="G11" i="3"/>
  <c r="H11" i="3" s="1"/>
  <c r="E10" i="2"/>
  <c r="G15" i="12"/>
  <c r="E38" i="2" l="1"/>
  <c r="F25" i="12"/>
  <c r="N25" i="12" s="1"/>
  <c r="F9" i="20" s="1"/>
  <c r="F26" i="12"/>
  <c r="N26" i="12" s="1"/>
  <c r="F10" i="20" s="1"/>
  <c r="C35" i="3"/>
  <c r="F5" i="24" l="1"/>
  <c r="F37" i="22"/>
  <c r="F4" i="24"/>
  <c r="F36" i="22"/>
  <c r="G25" i="12"/>
  <c r="G26" i="12"/>
  <c r="D9" i="12" l="1"/>
  <c r="M9" i="12" s="1"/>
  <c r="I11" i="12"/>
  <c r="I12" i="12"/>
  <c r="I14" i="12"/>
  <c r="I15" i="12"/>
  <c r="I16" i="12"/>
  <c r="I18" i="12"/>
  <c r="I19" i="12"/>
  <c r="I21" i="12"/>
  <c r="I22" i="12"/>
  <c r="I23" i="12"/>
  <c r="I24" i="12"/>
  <c r="I25" i="12"/>
  <c r="I26" i="12"/>
  <c r="G10" i="12"/>
  <c r="G13" i="12"/>
  <c r="G14" i="12"/>
  <c r="G16" i="12"/>
  <c r="G17" i="12"/>
  <c r="G18" i="12"/>
  <c r="G19" i="12"/>
  <c r="G20" i="12"/>
  <c r="G23" i="12"/>
  <c r="G24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9" i="12" l="1"/>
  <c r="G9" i="12"/>
  <c r="G8" i="12"/>
  <c r="I9" i="12"/>
  <c r="E8" i="12"/>
  <c r="D23" i="12"/>
  <c r="M23" i="12" s="1"/>
  <c r="F23" i="12"/>
  <c r="N23" i="12" s="1"/>
  <c r="F7" i="20" s="1"/>
  <c r="H23" i="12"/>
  <c r="O23" i="12" s="1"/>
  <c r="D15" i="12"/>
  <c r="M15" i="12" s="1"/>
  <c r="H15" i="12"/>
  <c r="O15" i="12" s="1"/>
  <c r="B7" i="16" s="1"/>
  <c r="F15" i="12"/>
  <c r="N15" i="12" s="1"/>
  <c r="H25" i="12"/>
  <c r="O25" i="12" s="1"/>
  <c r="D25" i="12"/>
  <c r="M25" i="12" s="1"/>
  <c r="D22" i="12"/>
  <c r="M22" i="12" s="1"/>
  <c r="H22" i="12"/>
  <c r="O22" i="12" s="1"/>
  <c r="D16" i="12"/>
  <c r="M16" i="12" s="1"/>
  <c r="D26" i="12"/>
  <c r="M26" i="12" s="1"/>
  <c r="F16" i="12"/>
  <c r="N16" i="12" s="1"/>
  <c r="H26" i="12"/>
  <c r="O26" i="12" s="1"/>
  <c r="H16" i="12"/>
  <c r="O16" i="12" s="1"/>
  <c r="B8" i="16" s="1"/>
  <c r="D17" i="12"/>
  <c r="M17" i="12" s="1"/>
  <c r="F17" i="12"/>
  <c r="N17" i="12" s="1"/>
  <c r="H24" i="12"/>
  <c r="O24" i="12" s="1"/>
  <c r="D24" i="12"/>
  <c r="M24" i="12" s="1"/>
  <c r="D11" i="12"/>
  <c r="M11" i="12" s="1"/>
  <c r="H21" i="12"/>
  <c r="O21" i="12" s="1"/>
  <c r="H9" i="12"/>
  <c r="O9" i="12" s="1"/>
  <c r="D21" i="12"/>
  <c r="M21" i="12" s="1"/>
  <c r="F9" i="12"/>
  <c r="N9" i="12" s="1"/>
  <c r="F24" i="12"/>
  <c r="N24" i="12" s="1"/>
  <c r="F8" i="20" s="1"/>
  <c r="H11" i="12"/>
  <c r="O11" i="12" s="1"/>
  <c r="D13" i="12"/>
  <c r="M13" i="12" s="1"/>
  <c r="H18" i="12"/>
  <c r="O18" i="12" s="1"/>
  <c r="B10" i="16" s="1"/>
  <c r="H12" i="12"/>
  <c r="O12" i="12" s="1"/>
  <c r="F18" i="12"/>
  <c r="N18" i="12" s="1"/>
  <c r="F13" i="12"/>
  <c r="N13" i="12" s="1"/>
  <c r="D20" i="12"/>
  <c r="M20" i="12" s="1"/>
  <c r="D12" i="12"/>
  <c r="M12" i="12" s="1"/>
  <c r="F14" i="12"/>
  <c r="N14" i="12" s="1"/>
  <c r="D18" i="12"/>
  <c r="M18" i="12" s="1"/>
  <c r="D14" i="12"/>
  <c r="M14" i="12" s="1"/>
  <c r="D10" i="12"/>
  <c r="M10" i="12" s="1"/>
  <c r="F20" i="12"/>
  <c r="N20" i="12" s="1"/>
  <c r="H8" i="18" s="1"/>
  <c r="F10" i="12"/>
  <c r="N10" i="12" s="1"/>
  <c r="H14" i="12"/>
  <c r="O14" i="12" s="1"/>
  <c r="F8" i="12"/>
  <c r="N8" i="12" s="1"/>
  <c r="F19" i="12"/>
  <c r="N19" i="12" s="1"/>
  <c r="H7" i="18" s="1"/>
  <c r="D8" i="12"/>
  <c r="M8" i="12" s="1"/>
  <c r="D19" i="12"/>
  <c r="M19" i="12" s="1"/>
  <c r="H19" i="12"/>
  <c r="O19" i="12" s="1"/>
  <c r="O11" i="3"/>
  <c r="F20" i="3"/>
  <c r="F19" i="3" s="1"/>
  <c r="I20" i="3"/>
  <c r="I19" i="3" s="1"/>
  <c r="L20" i="3"/>
  <c r="L19" i="3" s="1"/>
  <c r="M10" i="2"/>
  <c r="M12" i="2"/>
  <c r="M13" i="2"/>
  <c r="M15" i="2"/>
  <c r="M16" i="2"/>
  <c r="M17" i="2"/>
  <c r="M19" i="2"/>
  <c r="M20" i="2"/>
  <c r="M22" i="2"/>
  <c r="M23" i="2"/>
  <c r="O23" i="2" s="1"/>
  <c r="Q23" i="2" s="1"/>
  <c r="M24" i="2"/>
  <c r="M25" i="2"/>
  <c r="M26" i="2"/>
  <c r="M27" i="2"/>
  <c r="J7" i="2"/>
  <c r="J38" i="2" s="1"/>
  <c r="G7" i="2"/>
  <c r="G38" i="2" s="1"/>
  <c r="D10" i="2"/>
  <c r="D11" i="2"/>
  <c r="D12" i="2"/>
  <c r="D13" i="2"/>
  <c r="D22" i="2"/>
  <c r="C10" i="12"/>
  <c r="C11" i="12"/>
  <c r="C12" i="12"/>
  <c r="C21" i="12"/>
  <c r="D34" i="3"/>
  <c r="D35" i="3"/>
  <c r="E34" i="3"/>
  <c r="E35" i="3"/>
  <c r="F35" i="3"/>
  <c r="C34" i="3"/>
  <c r="D38" i="2" l="1"/>
  <c r="C55" i="3" s="1"/>
  <c r="M38" i="2"/>
  <c r="F55" i="3" s="1"/>
  <c r="C9" i="12"/>
  <c r="G34" i="3"/>
  <c r="H2" i="19"/>
  <c r="H25" i="22"/>
  <c r="H3" i="19"/>
  <c r="H26" i="22"/>
  <c r="F2" i="24"/>
  <c r="F34" i="22"/>
  <c r="F3" i="24"/>
  <c r="F35" i="22"/>
  <c r="B5" i="17"/>
  <c r="B19" i="22"/>
  <c r="B3" i="17"/>
  <c r="B17" i="22"/>
  <c r="B2" i="17"/>
  <c r="B16" i="22"/>
  <c r="R19" i="12"/>
  <c r="R16" i="12"/>
  <c r="R18" i="12"/>
  <c r="R13" i="12"/>
  <c r="R17" i="12"/>
  <c r="R8" i="12"/>
  <c r="R20" i="12"/>
  <c r="R24" i="12"/>
  <c r="R22" i="12"/>
  <c r="R23" i="12"/>
  <c r="R15" i="12"/>
  <c r="R25" i="12"/>
  <c r="R26" i="12"/>
  <c r="B11" i="12"/>
  <c r="L11" i="12" s="1"/>
  <c r="R11" i="12" s="1"/>
  <c r="B21" i="12"/>
  <c r="L21" i="12" s="1"/>
  <c r="B9" i="12"/>
  <c r="L9" i="12" s="1"/>
  <c r="R9" i="12" s="1"/>
  <c r="R14" i="12"/>
  <c r="B12" i="12"/>
  <c r="L12" i="12" s="1"/>
  <c r="B10" i="12"/>
  <c r="L10" i="12" s="1"/>
  <c r="B10" i="14" s="1"/>
  <c r="C40" i="1"/>
  <c r="C43" i="1" s="1"/>
  <c r="O25" i="2"/>
  <c r="Q25" i="2" s="1"/>
  <c r="M11" i="3"/>
  <c r="D20" i="3"/>
  <c r="E20" i="3" s="1"/>
  <c r="O26" i="2"/>
  <c r="Q26" i="2" s="1"/>
  <c r="D56" i="3"/>
  <c r="O20" i="3"/>
  <c r="O27" i="2"/>
  <c r="Q27" i="2" s="1"/>
  <c r="O16" i="2"/>
  <c r="Q16" i="2" s="1"/>
  <c r="O7" i="2"/>
  <c r="O24" i="2"/>
  <c r="Q24" i="2" s="1"/>
  <c r="O21" i="2"/>
  <c r="Q21" i="2" s="1"/>
  <c r="O17" i="2"/>
  <c r="Q17" i="2" s="1"/>
  <c r="O18" i="2"/>
  <c r="Q18" i="2" s="1"/>
  <c r="O22" i="2"/>
  <c r="Q22" i="2" s="1"/>
  <c r="O20" i="2"/>
  <c r="Q20" i="2" s="1"/>
  <c r="O19" i="2"/>
  <c r="Q19" i="2" s="1"/>
  <c r="O13" i="2"/>
  <c r="Q13" i="2" s="1"/>
  <c r="G35" i="3"/>
  <c r="O14" i="2"/>
  <c r="Q14" i="2" s="1"/>
  <c r="O11" i="2"/>
  <c r="Q11" i="2" s="1"/>
  <c r="O10" i="2"/>
  <c r="Q10" i="2" s="1"/>
  <c r="C56" i="3"/>
  <c r="O15" i="2"/>
  <c r="E55" i="3"/>
  <c r="C39" i="2"/>
  <c r="F56" i="3"/>
  <c r="O12" i="2"/>
  <c r="Q12" i="2" s="1"/>
  <c r="E56" i="3"/>
  <c r="D55" i="3"/>
  <c r="Q15" i="2" l="1"/>
  <c r="O38" i="2"/>
  <c r="Q7" i="2"/>
  <c r="C42" i="3"/>
  <c r="B4" i="15"/>
  <c r="B7" i="22"/>
  <c r="R12" i="12"/>
  <c r="S11" i="12" s="1"/>
  <c r="S16" i="12"/>
  <c r="T19" i="12"/>
  <c r="G20" i="3"/>
  <c r="T16" i="12"/>
  <c r="T25" i="12"/>
  <c r="S25" i="12"/>
  <c r="S19" i="12"/>
  <c r="S13" i="12"/>
  <c r="T13" i="12"/>
  <c r="T23" i="12"/>
  <c r="M29" i="12"/>
  <c r="C37" i="3" s="1"/>
  <c r="C38" i="3" s="1"/>
  <c r="R10" i="12"/>
  <c r="S9" i="12" s="1"/>
  <c r="S23" i="12"/>
  <c r="B9" i="18"/>
  <c r="R21" i="12"/>
  <c r="S21" i="12" s="1"/>
  <c r="M20" i="3"/>
  <c r="J20" i="3"/>
  <c r="N11" i="3"/>
  <c r="P11" i="3"/>
  <c r="Q11" i="3" s="1"/>
  <c r="G56" i="3"/>
  <c r="G55" i="3"/>
  <c r="C36" i="3"/>
  <c r="C41" i="2"/>
  <c r="C40" i="2"/>
  <c r="Q38" i="2" l="1"/>
  <c r="K20" i="3"/>
  <c r="J19" i="3"/>
  <c r="K19" i="3" s="1"/>
  <c r="H20" i="3"/>
  <c r="G19" i="3"/>
  <c r="N20" i="3"/>
  <c r="M19" i="3"/>
  <c r="B4" i="19"/>
  <c r="B27" i="22"/>
  <c r="T11" i="12"/>
  <c r="U11" i="12" s="1"/>
  <c r="U25" i="12"/>
  <c r="U16" i="12"/>
  <c r="U19" i="12"/>
  <c r="T21" i="12"/>
  <c r="U21" i="12" s="1"/>
  <c r="U13" i="12"/>
  <c r="T9" i="12"/>
  <c r="U9" i="12" s="1"/>
  <c r="U23" i="12"/>
  <c r="P20" i="3"/>
  <c r="Q20" i="3" s="1"/>
  <c r="C39" i="3"/>
  <c r="C41" i="3"/>
  <c r="H19" i="3" l="1"/>
  <c r="P19" i="3"/>
  <c r="U29" i="12"/>
  <c r="G48" i="3"/>
  <c r="N19" i="3" l="1"/>
  <c r="O19" i="3"/>
  <c r="C40" i="3" l="1"/>
  <c r="Q19" i="3"/>
  <c r="E11" i="14" l="1"/>
  <c r="B11" i="14"/>
  <c r="E14" i="14"/>
  <c r="E12" i="14"/>
  <c r="B12" i="14"/>
  <c r="E9" i="14"/>
  <c r="B9" i="14"/>
  <c r="E3" i="15" l="1"/>
  <c r="E6" i="22"/>
  <c r="E6" i="15"/>
  <c r="E9" i="22"/>
  <c r="B3" i="15"/>
  <c r="B6" i="22"/>
  <c r="B5" i="15"/>
  <c r="B8" i="22"/>
  <c r="E8" i="15"/>
  <c r="E11" i="22"/>
  <c r="B6" i="15"/>
  <c r="B9" i="22"/>
  <c r="E5" i="15"/>
  <c r="E8" i="22"/>
  <c r="M15" i="22" l="1"/>
  <c r="M31" i="22" l="1"/>
  <c r="M33" i="22" l="1"/>
  <c r="M25" i="22" l="1"/>
  <c r="M28" i="22" l="1"/>
  <c r="M23" i="22"/>
  <c r="M17" i="22" l="1"/>
  <c r="D8" i="16"/>
  <c r="D10" i="16"/>
  <c r="M19" i="22"/>
  <c r="M14" i="22"/>
  <c r="D5" i="17" l="1"/>
  <c r="D19" i="22"/>
  <c r="D17" i="22"/>
  <c r="D3" i="17"/>
  <c r="M7" i="22" l="1"/>
  <c r="M9" i="22"/>
  <c r="M8" i="22"/>
  <c r="D19" i="18" l="1"/>
  <c r="M26" i="22" l="1"/>
  <c r="D19" i="16" l="1"/>
  <c r="D16" i="16"/>
  <c r="M13" i="22" s="1"/>
  <c r="M16" i="22" l="1"/>
  <c r="G10" i="16"/>
  <c r="G7" i="16"/>
  <c r="G9" i="16"/>
  <c r="G8" i="16"/>
  <c r="D7" i="16"/>
  <c r="D16" i="21"/>
  <c r="D16" i="20"/>
  <c r="D18" i="20" l="1"/>
  <c r="D18" i="21"/>
  <c r="M32" i="22"/>
  <c r="E9" i="20"/>
  <c r="E10" i="20"/>
  <c r="C7" i="20"/>
  <c r="E7" i="20"/>
  <c r="C8" i="20"/>
  <c r="C10" i="20"/>
  <c r="C9" i="20"/>
  <c r="E8" i="20"/>
  <c r="G4" i="17"/>
  <c r="G18" i="22"/>
  <c r="G16" i="22"/>
  <c r="G2" i="17"/>
  <c r="D16" i="22"/>
  <c r="D2" i="17"/>
  <c r="G19" i="22"/>
  <c r="G5" i="17"/>
  <c r="E9" i="21"/>
  <c r="C10" i="21"/>
  <c r="C7" i="21"/>
  <c r="E10" i="21"/>
  <c r="C9" i="21"/>
  <c r="E8" i="21"/>
  <c r="C8" i="21"/>
  <c r="E7" i="21"/>
  <c r="G17" i="22"/>
  <c r="G3" i="17"/>
  <c r="C3" i="24" l="1"/>
  <c r="C35" i="22"/>
  <c r="E36" i="22"/>
  <c r="E4" i="24"/>
  <c r="E34" i="22"/>
  <c r="E2" i="24"/>
  <c r="C36" i="22"/>
  <c r="C4" i="24"/>
  <c r="C2" i="24"/>
  <c r="C34" i="22"/>
  <c r="B8" i="21"/>
  <c r="D7" i="21"/>
  <c r="B10" i="21"/>
  <c r="D10" i="21"/>
  <c r="B9" i="21"/>
  <c r="D9" i="21"/>
  <c r="B7" i="21"/>
  <c r="D8" i="21"/>
  <c r="E35" i="22"/>
  <c r="E3" i="24"/>
  <c r="C5" i="24"/>
  <c r="C37" i="22"/>
  <c r="E37" i="22"/>
  <c r="E5" i="24"/>
  <c r="B10" i="20"/>
  <c r="D10" i="20"/>
  <c r="B9" i="20"/>
  <c r="D7" i="20"/>
  <c r="M34" i="22"/>
  <c r="D9" i="20"/>
  <c r="D8" i="20"/>
  <c r="B7" i="20"/>
  <c r="B8" i="20"/>
  <c r="D3" i="24" l="1"/>
  <c r="D35" i="22"/>
  <c r="B3" i="24"/>
  <c r="B35" i="22"/>
  <c r="B5" i="24"/>
  <c r="B37" i="22"/>
  <c r="B34" i="22"/>
  <c r="B2" i="24"/>
  <c r="D2" i="24"/>
  <c r="D34" i="22"/>
  <c r="B4" i="24"/>
  <c r="B36" i="22"/>
  <c r="D36" i="22"/>
  <c r="D4" i="24"/>
  <c r="D5" i="24"/>
  <c r="D37" i="22"/>
  <c r="D15" i="16" l="1"/>
  <c r="M12" i="22" l="1"/>
  <c r="H7" i="16"/>
  <c r="H8" i="16"/>
  <c r="H10" i="16"/>
  <c r="E8" i="16"/>
  <c r="E10" i="16"/>
  <c r="E7" i="16"/>
  <c r="E3" i="17" l="1"/>
  <c r="E17" i="22"/>
  <c r="H19" i="22"/>
  <c r="H5" i="17"/>
  <c r="E2" i="17"/>
  <c r="E16" i="22"/>
  <c r="H3" i="17"/>
  <c r="H17" i="22"/>
  <c r="E5" i="17"/>
  <c r="E19" i="22"/>
  <c r="H16" i="22"/>
  <c r="H2" i="17"/>
  <c r="D21" i="16" l="1"/>
  <c r="M18" i="22" l="1"/>
  <c r="C9" i="16"/>
  <c r="F9" i="16"/>
  <c r="F7" i="16"/>
  <c r="C8" i="16"/>
  <c r="F8" i="16"/>
  <c r="C7" i="16"/>
  <c r="D9" i="16"/>
  <c r="F10" i="16"/>
  <c r="C10" i="16"/>
  <c r="F5" i="17" l="1"/>
  <c r="F19" i="22"/>
  <c r="D18" i="22"/>
  <c r="D4" i="17"/>
  <c r="F2" i="17"/>
  <c r="F16" i="22"/>
  <c r="C16" i="22"/>
  <c r="C2" i="17"/>
  <c r="F4" i="17"/>
  <c r="F18" i="22"/>
  <c r="C19" i="22"/>
  <c r="C5" i="17"/>
  <c r="F17" i="22"/>
  <c r="F3" i="17"/>
  <c r="C18" i="22"/>
  <c r="C4" i="17"/>
  <c r="C17" i="22"/>
  <c r="C3" i="17"/>
  <c r="D15" i="18" l="1"/>
  <c r="M22" i="22" l="1"/>
  <c r="I9" i="18"/>
  <c r="I10" i="18"/>
  <c r="I7" i="18"/>
  <c r="I28" i="22" l="1"/>
  <c r="I5" i="19"/>
  <c r="I27" i="22"/>
  <c r="I4" i="19"/>
  <c r="I25" i="22"/>
  <c r="I2" i="19"/>
  <c r="D14" i="18" l="1"/>
  <c r="F7" i="18" l="1"/>
  <c r="F10" i="18"/>
  <c r="F9" i="18"/>
  <c r="M21" i="22"/>
  <c r="D10" i="18"/>
  <c r="D9" i="18"/>
  <c r="D7" i="18"/>
  <c r="D5" i="19" l="1"/>
  <c r="D28" i="22"/>
  <c r="F25" i="22"/>
  <c r="F2" i="19"/>
  <c r="D25" i="22"/>
  <c r="D2" i="19"/>
  <c r="F27" i="22"/>
  <c r="F4" i="19"/>
  <c r="D27" i="22"/>
  <c r="D4" i="19"/>
  <c r="F5" i="19"/>
  <c r="F28" i="22"/>
  <c r="F21" i="14" l="1"/>
  <c r="H11" i="14" l="1"/>
  <c r="H9" i="14"/>
  <c r="M6" i="22"/>
  <c r="H12" i="14"/>
  <c r="H14" i="14"/>
  <c r="H8" i="22" l="1"/>
  <c r="H5" i="15"/>
  <c r="H6" i="15"/>
  <c r="H9" i="22"/>
  <c r="H11" i="22"/>
  <c r="H8" i="15"/>
  <c r="H3" i="15"/>
  <c r="H6" i="22"/>
  <c r="D17" i="18" l="1"/>
  <c r="M24" i="22" s="1"/>
  <c r="F18" i="14" l="1"/>
  <c r="F19" i="14"/>
  <c r="C13" i="14" l="1"/>
  <c r="F12" i="14"/>
  <c r="F10" i="14"/>
  <c r="C14" i="14"/>
  <c r="C11" i="14"/>
  <c r="F13" i="14"/>
  <c r="M4" i="22"/>
  <c r="C10" i="14"/>
  <c r="C7" i="14"/>
  <c r="F8" i="14"/>
  <c r="F5" i="22" s="1"/>
  <c r="C12" i="14"/>
  <c r="C8" i="14"/>
  <c r="C5" i="22" s="1"/>
  <c r="F14" i="14"/>
  <c r="F11" i="14"/>
  <c r="F7" i="14"/>
  <c r="F9" i="14"/>
  <c r="C9" i="14"/>
  <c r="D13" i="14"/>
  <c r="D7" i="14"/>
  <c r="D10" i="14"/>
  <c r="G8" i="14"/>
  <c r="G5" i="22" s="1"/>
  <c r="G14" i="14"/>
  <c r="D14" i="14"/>
  <c r="G9" i="14"/>
  <c r="G13" i="14"/>
  <c r="G10" i="14"/>
  <c r="D9" i="14"/>
  <c r="M3" i="22"/>
  <c r="D8" i="14"/>
  <c r="D5" i="22" s="1"/>
  <c r="G7" i="14"/>
  <c r="G7" i="15" l="1"/>
  <c r="G10" i="22"/>
  <c r="C6" i="22"/>
  <c r="C3" i="15"/>
  <c r="G6" i="22"/>
  <c r="G3" i="15"/>
  <c r="D4" i="15"/>
  <c r="D7" i="22"/>
  <c r="F6" i="22"/>
  <c r="F3" i="15"/>
  <c r="C7" i="22"/>
  <c r="C4" i="15"/>
  <c r="C11" i="22"/>
  <c r="C8" i="15"/>
  <c r="D6" i="22"/>
  <c r="D3" i="15"/>
  <c r="D8" i="15"/>
  <c r="D11" i="22"/>
  <c r="D4" i="22"/>
  <c r="D2" i="15"/>
  <c r="F2" i="15"/>
  <c r="F4" i="22"/>
  <c r="C6" i="15"/>
  <c r="C9" i="22"/>
  <c r="F4" i="15"/>
  <c r="F7" i="22"/>
  <c r="G2" i="15"/>
  <c r="G4" i="22"/>
  <c r="G7" i="22"/>
  <c r="G4" i="15"/>
  <c r="G8" i="15"/>
  <c r="G11" i="22"/>
  <c r="D10" i="22"/>
  <c r="D7" i="15"/>
  <c r="F8" i="22"/>
  <c r="F5" i="15"/>
  <c r="F7" i="15"/>
  <c r="F10" i="22"/>
  <c r="F6" i="15"/>
  <c r="F9" i="22"/>
  <c r="F11" i="22"/>
  <c r="F8" i="15"/>
  <c r="C2" i="15"/>
  <c r="C4" i="22"/>
  <c r="C8" i="22"/>
  <c r="C5" i="15"/>
  <c r="C7" i="15"/>
  <c r="C10" i="22"/>
  <c r="F17" i="14" l="1"/>
  <c r="M2" i="22" s="1"/>
  <c r="D20" i="18" l="1"/>
  <c r="G7" i="18" l="1"/>
  <c r="C8" i="18"/>
  <c r="M27" i="22"/>
  <c r="C10" i="18"/>
  <c r="C7" i="18"/>
  <c r="G9" i="18"/>
  <c r="C9" i="18"/>
  <c r="G10" i="18"/>
  <c r="G8" i="18"/>
  <c r="E8" i="18"/>
  <c r="E7" i="18"/>
  <c r="E10" i="18"/>
  <c r="E9" i="18"/>
  <c r="C25" i="22" l="1"/>
  <c r="C2" i="19"/>
  <c r="E28" i="22"/>
  <c r="E5" i="19"/>
  <c r="G5" i="19"/>
  <c r="G28" i="22"/>
  <c r="C28" i="22"/>
  <c r="C5" i="19"/>
  <c r="E27" i="22"/>
  <c r="E4" i="19"/>
  <c r="G3" i="19"/>
  <c r="G26" i="22"/>
  <c r="G25" i="22"/>
  <c r="G2" i="19"/>
  <c r="E2" i="19"/>
  <c r="E25" i="22"/>
  <c r="C4" i="19"/>
  <c r="C27" i="22"/>
  <c r="E26" i="22"/>
  <c r="E3" i="19"/>
  <c r="G4" i="19"/>
  <c r="G27" i="22"/>
  <c r="C26" i="22"/>
  <c r="C3" i="19"/>
</calcChain>
</file>

<file path=xl/sharedStrings.xml><?xml version="1.0" encoding="utf-8"?>
<sst xmlns="http://schemas.openxmlformats.org/spreadsheetml/2006/main" count="1164" uniqueCount="245">
  <si>
    <t>جهاز مشروعات الخدمة الوطنية</t>
  </si>
  <si>
    <t>الشركة الوطنية لإنشاء وتنمية وإدارة الطرق</t>
  </si>
  <si>
    <t>إدارة محطات الوقود شل أوت</t>
  </si>
  <si>
    <t>المحطة</t>
  </si>
  <si>
    <t>الخزان</t>
  </si>
  <si>
    <t>بنزين 80</t>
  </si>
  <si>
    <t>موجود</t>
  </si>
  <si>
    <t>مطلوب</t>
  </si>
  <si>
    <t>وارد</t>
  </si>
  <si>
    <t>الاستهلاك</t>
  </si>
  <si>
    <t>حد الامداد</t>
  </si>
  <si>
    <t>بنزين 92</t>
  </si>
  <si>
    <t>بنزين 95</t>
  </si>
  <si>
    <t>السولار</t>
  </si>
  <si>
    <t>م</t>
  </si>
  <si>
    <t>ماستر</t>
  </si>
  <si>
    <t>شبرا 1</t>
  </si>
  <si>
    <t>شبرا 2</t>
  </si>
  <si>
    <t>شبرا 3</t>
  </si>
  <si>
    <t>شبرا 4</t>
  </si>
  <si>
    <t>شل 1</t>
  </si>
  <si>
    <t>شل 2</t>
  </si>
  <si>
    <t>أول الجلالة</t>
  </si>
  <si>
    <t>واحة 1</t>
  </si>
  <si>
    <t>واحة 2</t>
  </si>
  <si>
    <t>الساحل</t>
  </si>
  <si>
    <t>الكاب</t>
  </si>
  <si>
    <t>العامرية</t>
  </si>
  <si>
    <t>الضبعة 7</t>
  </si>
  <si>
    <t>الضبعة 8</t>
  </si>
  <si>
    <t>الصنافين 1</t>
  </si>
  <si>
    <t>الصنافين 2</t>
  </si>
  <si>
    <t>الخطاطبة 1</t>
  </si>
  <si>
    <t>الخطاطبة 2</t>
  </si>
  <si>
    <t>الإجمالي</t>
  </si>
  <si>
    <t>إجمالي الخزانات</t>
  </si>
  <si>
    <t>الموجود</t>
  </si>
  <si>
    <t>المطلوب</t>
  </si>
  <si>
    <t>نسبة الموجود %</t>
  </si>
  <si>
    <t>اجمالي الوارد</t>
  </si>
  <si>
    <t>نسبة التنفيذ</t>
  </si>
  <si>
    <t>الوحدة: 1000 لتر</t>
  </si>
  <si>
    <t>لتر</t>
  </si>
  <si>
    <t>مبالغ</t>
  </si>
  <si>
    <t>عائد</t>
  </si>
  <si>
    <t>مبالغ اضافية</t>
  </si>
  <si>
    <t>حسابي</t>
  </si>
  <si>
    <t>اجمالي البيع المواد البترولية</t>
  </si>
  <si>
    <t>اجمالي العائد المواد البترولية</t>
  </si>
  <si>
    <t>الفرق</t>
  </si>
  <si>
    <t>سولار</t>
  </si>
  <si>
    <t>الوحدة: لتر</t>
  </si>
  <si>
    <t>التاريخ</t>
  </si>
  <si>
    <t>من: فرع التموين والتوزيع</t>
  </si>
  <si>
    <t>موقف المحطات</t>
  </si>
  <si>
    <t>المخصص والمورد من المنتجات البترولية</t>
  </si>
  <si>
    <t>الاجمالي</t>
  </si>
  <si>
    <t>المخصص</t>
  </si>
  <si>
    <t>المورد</t>
  </si>
  <si>
    <t>النسبة</t>
  </si>
  <si>
    <t>الوحدة: ألف لتر</t>
  </si>
  <si>
    <t>المباع والمورد من المنتجات</t>
  </si>
  <si>
    <t>المباع</t>
  </si>
  <si>
    <t>اليوم السابق</t>
  </si>
  <si>
    <t>اليوم الحالي</t>
  </si>
  <si>
    <t>البيان</t>
  </si>
  <si>
    <t>اجمالي سعة الخزانات</t>
  </si>
  <si>
    <t>الموجود بالمحطات</t>
  </si>
  <si>
    <t>الجاري تنفيذه</t>
  </si>
  <si>
    <t>الموجود بعد التنفيذ</t>
  </si>
  <si>
    <t>اجمالي المطلوب بعد التنفيذ</t>
  </si>
  <si>
    <t>اجمالي المورد عن اليوم السابق</t>
  </si>
  <si>
    <t>متابعة تشغيل المحطات الجديدة</t>
  </si>
  <si>
    <t>المواد البترولية</t>
  </si>
  <si>
    <t>إجمالي</t>
  </si>
  <si>
    <t>اجمالي اللترات المباعة</t>
  </si>
  <si>
    <t>مبيعات</t>
  </si>
  <si>
    <t>المبالغ</t>
  </si>
  <si>
    <t>العوائد</t>
  </si>
  <si>
    <t xml:space="preserve"> المبالغ الاضافية</t>
  </si>
  <si>
    <t>بنزين</t>
  </si>
  <si>
    <t>تعاون</t>
  </si>
  <si>
    <t xml:space="preserve">موبيل </t>
  </si>
  <si>
    <t>مصر</t>
  </si>
  <si>
    <t>مسطرد</t>
  </si>
  <si>
    <t>السويس</t>
  </si>
  <si>
    <t>المكس</t>
  </si>
  <si>
    <t>موبيل</t>
  </si>
  <si>
    <t>هايكستب</t>
  </si>
  <si>
    <t xml:space="preserve"> سولار</t>
  </si>
  <si>
    <t>طنطا</t>
  </si>
  <si>
    <t>الماكس</t>
  </si>
  <si>
    <t>الهايكستب</t>
  </si>
  <si>
    <t>التعاون</t>
  </si>
  <si>
    <t>خطة الامداد</t>
  </si>
  <si>
    <t>محطة بذاتها</t>
  </si>
  <si>
    <t>مشترك 92</t>
  </si>
  <si>
    <t xml:space="preserve">مشترك سولار </t>
  </si>
  <si>
    <t>منتجات متنوعة</t>
  </si>
  <si>
    <t>المنطقة</t>
  </si>
  <si>
    <t>عدد العربات</t>
  </si>
  <si>
    <t>القاهرة</t>
  </si>
  <si>
    <t>اسكندرية</t>
  </si>
  <si>
    <t>خطة إمداد محطات منطقة القاهرة من المستودعات</t>
  </si>
  <si>
    <t xml:space="preserve">الهايكستب </t>
  </si>
  <si>
    <t>خطة إمداد محطات منطقة السويس من المستودعات</t>
  </si>
  <si>
    <t>خطة إمداد محطات منطقة الاسكندرية من المستودعات</t>
  </si>
  <si>
    <t>تعاون هايكستب</t>
  </si>
  <si>
    <t>خطة إمداد محطات منطقة طنطا من المستودعات</t>
  </si>
  <si>
    <t>الاسكندرية</t>
  </si>
  <si>
    <t>نسبة التنفيذ عن اليوم الحالي</t>
  </si>
  <si>
    <t>نسبة التنفيذ عن اليوم السابق</t>
  </si>
  <si>
    <t>النوبارية</t>
  </si>
  <si>
    <t>الزعفرانة</t>
  </si>
  <si>
    <t>الشركة الوطنية للبترول</t>
  </si>
  <si>
    <t>مقاول النقل</t>
  </si>
  <si>
    <t>الوحدة : رحلة</t>
  </si>
  <si>
    <t xml:space="preserve">اجمالي المطلوب </t>
  </si>
  <si>
    <t>خطة الامداد ( عدد الرحلات )</t>
  </si>
  <si>
    <t>بورسعيد</t>
  </si>
  <si>
    <t>ماستر 1</t>
  </si>
  <si>
    <t>ماستر 2</t>
  </si>
  <si>
    <t>الأسمرات</t>
  </si>
  <si>
    <t>قطاع القاهرة عربة رقم ( 1 )</t>
  </si>
  <si>
    <t>قطاع القاهرة عربة رقم ( 2 )</t>
  </si>
  <si>
    <t>قطاع السويس عربة رقم ( 1 )</t>
  </si>
  <si>
    <t>قطاع طنطا عربة رقم ( 1 )</t>
  </si>
  <si>
    <t>قطاع الاسكندرية عربة رقم ( 1 )</t>
  </si>
  <si>
    <t>الإسكندرية</t>
  </si>
  <si>
    <t>عدد الرحلات</t>
  </si>
  <si>
    <t xml:space="preserve">اسم المحطة </t>
  </si>
  <si>
    <t xml:space="preserve">القاهرة </t>
  </si>
  <si>
    <t xml:space="preserve">طنطا </t>
  </si>
  <si>
    <t xml:space="preserve">الزقازيق </t>
  </si>
  <si>
    <t xml:space="preserve">شاوه </t>
  </si>
  <si>
    <t xml:space="preserve">سملا  </t>
  </si>
  <si>
    <t xml:space="preserve">مسطرد </t>
  </si>
  <si>
    <t xml:space="preserve">هايكستب </t>
  </si>
  <si>
    <t xml:space="preserve">مصر بدر </t>
  </si>
  <si>
    <t xml:space="preserve">  شبـــــــرا 1 -2</t>
  </si>
  <si>
    <t xml:space="preserve">  شبـــــــرا 3 - 4 </t>
  </si>
  <si>
    <t xml:space="preserve"> شــــــــــــل 1-2</t>
  </si>
  <si>
    <t>الضبعـــه 7 - 8</t>
  </si>
  <si>
    <t>الصنافين 1 - 2</t>
  </si>
  <si>
    <t>الخطاطبه 1 - 2</t>
  </si>
  <si>
    <t xml:space="preserve">الاسمرات </t>
  </si>
  <si>
    <t xml:space="preserve">النوبارية </t>
  </si>
  <si>
    <t>العربة</t>
  </si>
  <si>
    <t>ماستـــــر 1 - 2</t>
  </si>
  <si>
    <t xml:space="preserve"> اول الجــــلاله </t>
  </si>
  <si>
    <t xml:space="preserve"> واحــــه 1 - 2 </t>
  </si>
  <si>
    <t>الكــــــــــاب</t>
  </si>
  <si>
    <t xml:space="preserve"> الساحـــــــل </t>
  </si>
  <si>
    <t>العــــــامريه</t>
  </si>
  <si>
    <t>مجموع الكيلومترات</t>
  </si>
  <si>
    <t>التمام</t>
  </si>
  <si>
    <t>المستودعات</t>
  </si>
  <si>
    <t>المنتج</t>
  </si>
  <si>
    <t>السلام</t>
  </si>
  <si>
    <t>سعت 1700</t>
  </si>
  <si>
    <t>اسم مبلغ التمام</t>
  </si>
  <si>
    <t>التمام المسائي سعت  1700 يوم الثلاثاء الموافق  1 / 1 / 2019</t>
  </si>
  <si>
    <t>التمام المسائي سعت  2200 يوم الثلاثاء الموافق  1 / 1 / 2019</t>
  </si>
  <si>
    <t>النخيل</t>
  </si>
  <si>
    <t>طاقة</t>
  </si>
  <si>
    <t>الزقازيق</t>
  </si>
  <si>
    <t>الصنافين1</t>
  </si>
  <si>
    <t>الصنافين2</t>
  </si>
  <si>
    <t>زايد 1</t>
  </si>
  <si>
    <t>زايد 2</t>
  </si>
  <si>
    <t>أكتوبر 1</t>
  </si>
  <si>
    <t>أكتوبر 2</t>
  </si>
  <si>
    <t xml:space="preserve">الإجمالى </t>
  </si>
  <si>
    <t>سعة خزانات المحطات والموجود والمطلوب عن يوم: 1 / 7 / 2019</t>
  </si>
  <si>
    <t>عدد الرحلات المنفذة عن اليوم السابق  1 / 7 / 2019</t>
  </si>
  <si>
    <t>مبيعات وإيرادات وأنشطة المحطات عن يوم  1 / 7 / 2019</t>
  </si>
  <si>
    <t>اكتوبر  1</t>
  </si>
  <si>
    <t>اكتوبر  2</t>
  </si>
  <si>
    <t>زايد   1</t>
  </si>
  <si>
    <t>زايد  2</t>
  </si>
  <si>
    <t>المحطــــــــــــــــــــــــــــة</t>
  </si>
  <si>
    <t>بنزيـــــــــــــــــــــــــن</t>
  </si>
  <si>
    <t xml:space="preserve">سولار </t>
  </si>
  <si>
    <t>إجمالى المبيعات اليومية</t>
  </si>
  <si>
    <t>زايــــــــــــــــد 1 ( كمباوند جامعة القاهرة )</t>
  </si>
  <si>
    <t>زايـــــــــــــــــــــــــــــــــــد 2 ( مول العرب )</t>
  </si>
  <si>
    <t>اكتوبـــــــــــــــــــــــــــــــــــــر  1 ( جالريا )</t>
  </si>
  <si>
    <t>اكتوبـــــــــــــــــــــــــــــــــــــر 2 ( الخمايل )</t>
  </si>
  <si>
    <t xml:space="preserve">النخيــــــــــــــــــــــــــــــــــــــــــــــــــــــــــــــل </t>
  </si>
  <si>
    <t>الســــــــــــــــــــــــــــــــــــــــــــــــــــــــــــــلام</t>
  </si>
  <si>
    <t>النوباريــــــــــــــــــــــــــــــــــــــــــــــــــــــــة</t>
  </si>
  <si>
    <t>ماستـــــــــــــــــــــــــــــــــــــــــــــــــــــــر 2</t>
  </si>
  <si>
    <t>إجمالــــــــــــــــــــــــــــــــــــــــــــــــى</t>
  </si>
  <si>
    <t>مبيعات محطات وقود شل اوت عن يوم الاثنين الموافق 29 / 7 / 2019</t>
  </si>
  <si>
    <t>التمام الصباحي الإثنين الموافق  1 / 9 / 2019</t>
  </si>
  <si>
    <t>البيع اليومي لمحطات شل اوت عن يوم الإثنين الموافق 1 / 9 / 2019</t>
  </si>
  <si>
    <t>التاريخ  1  /   9   /  2019</t>
  </si>
  <si>
    <t>اكتوبر  3</t>
  </si>
  <si>
    <t>الشهيد 1</t>
  </si>
  <si>
    <t>الشهيد 2</t>
  </si>
  <si>
    <t>وادي النطرون</t>
  </si>
  <si>
    <t>الشهيد  2</t>
  </si>
  <si>
    <t>الوكيل</t>
  </si>
  <si>
    <t>بنزيــــــن</t>
  </si>
  <si>
    <t>الشركة</t>
  </si>
  <si>
    <t>الإجمالي العام</t>
  </si>
  <si>
    <t>إجمالي العائد اليومى</t>
  </si>
  <si>
    <r>
      <rPr>
        <b/>
        <sz val="11"/>
        <color theme="1"/>
        <rFont val="Arial"/>
        <family val="2"/>
        <scheme val="minor"/>
      </rPr>
      <t xml:space="preserve">المتحدة للإستثماروالتوريدات </t>
    </r>
    <r>
      <rPr>
        <b/>
        <sz val="10"/>
        <color theme="1"/>
        <rFont val="Arial"/>
        <family val="2"/>
        <scheme val="minor"/>
      </rPr>
      <t xml:space="preserve">   </t>
    </r>
    <r>
      <rPr>
        <b/>
        <sz val="12"/>
        <color theme="1"/>
        <rFont val="Arial"/>
        <family val="2"/>
        <scheme val="minor"/>
      </rPr>
      <t xml:space="preserve">  (مجدي - ماجد - محمد)</t>
    </r>
  </si>
  <si>
    <t>ــــ</t>
  </si>
  <si>
    <t>إجمالي المتحدة</t>
  </si>
  <si>
    <t xml:space="preserve">      ماستر اكسبريس      (احمد ثابت)</t>
  </si>
  <si>
    <t>اكتوبــــــــر1   ( جالريا)</t>
  </si>
  <si>
    <t>إجمالي ماستر</t>
  </si>
  <si>
    <t>اكتوبــــــــر2 (الخمايل)</t>
  </si>
  <si>
    <t xml:space="preserve">             إينوتك            (عصام شديد)</t>
  </si>
  <si>
    <t>زايــــــــد 2 (مول العرب)</t>
  </si>
  <si>
    <t>إجمالي إينوتك</t>
  </si>
  <si>
    <t xml:space="preserve">العميد اسامة </t>
  </si>
  <si>
    <t xml:space="preserve">نقيب محمود </t>
  </si>
  <si>
    <t xml:space="preserve">عميد هشام </t>
  </si>
  <si>
    <t xml:space="preserve">النقيب ايمن </t>
  </si>
  <si>
    <t xml:space="preserve">محاسب احمد </t>
  </si>
  <si>
    <t xml:space="preserve">النقيب علاء </t>
  </si>
  <si>
    <t xml:space="preserve">عميد محمد </t>
  </si>
  <si>
    <t xml:space="preserve">النقيب صلاح </t>
  </si>
  <si>
    <t xml:space="preserve">جندي عبدالله </t>
  </si>
  <si>
    <t xml:space="preserve">عميد خالد </t>
  </si>
  <si>
    <t xml:space="preserve">عميد حامد </t>
  </si>
  <si>
    <t xml:space="preserve">الرائد محمد </t>
  </si>
  <si>
    <t xml:space="preserve">محاسب ماركو </t>
  </si>
  <si>
    <t xml:space="preserve">محاسب سليمان </t>
  </si>
  <si>
    <t xml:space="preserve">جندي حاتم </t>
  </si>
  <si>
    <t xml:space="preserve">جندي ابراهيم </t>
  </si>
  <si>
    <t xml:space="preserve">عميد / احمد </t>
  </si>
  <si>
    <t xml:space="preserve">جندي / مصطفي عادل </t>
  </si>
  <si>
    <t xml:space="preserve">عميد / سمير </t>
  </si>
  <si>
    <t xml:space="preserve">عقيد / محمد علي </t>
  </si>
  <si>
    <t xml:space="preserve">انسة / مي </t>
  </si>
  <si>
    <t xml:space="preserve">عقيد /علاء </t>
  </si>
  <si>
    <t>نقيب / احمد</t>
  </si>
  <si>
    <t xml:space="preserve">عقيد / طارق </t>
  </si>
  <si>
    <t xml:space="preserve">معدل البيع اليومى لمحطات وقود شل اوت التي يديرها الوكلاء (المتحدة  - ماستر اكسبريس - اينوتك) 2019/9/9 </t>
  </si>
  <si>
    <t>زايــــــــــد 1 ( كمباوند جامعة القاهرة)</t>
  </si>
  <si>
    <t xml:space="preserve">النقيب اسماعيل </t>
  </si>
  <si>
    <t xml:space="preserve"> عقيد وائل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</si>
</sst>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"/>
    <numFmt numFmtId="166" formatCode="[$-2010000]yyyy/mm/dd;@"/>
  </numFmts>
  <fonts count="17" x14ac:knownFonts="1">
    <font>
      <sz val="11"/>
      <color theme="1"/>
      <name val="Arial"/>
      <family val="2"/>
      <charset val="178"/>
      <scheme val="minor"/>
    </font>
    <font>
      <sz val="11"/>
      <color theme="1"/>
      <name val="Arial"/>
      <family val="2"/>
      <charset val="178"/>
      <scheme val="minor"/>
    </font>
    <font>
      <b/>
      <sz val="11"/>
      <color theme="1"/>
      <name val="Arial"/>
      <family val="2"/>
      <scheme val="minor"/>
    </font>
    <font>
      <b/>
      <sz val="12"/>
      <color theme="1"/>
      <name val="Arial"/>
      <family val="2"/>
      <scheme val="minor"/>
    </font>
    <font>
      <b/>
      <sz val="14"/>
      <color theme="1"/>
      <name val="Arial"/>
      <family val="2"/>
      <scheme val="minor"/>
    </font>
    <font>
      <b/>
      <sz val="18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1"/>
      <color theme="0"/>
      <name val="Arial"/>
      <family val="2"/>
      <scheme val="minor"/>
    </font>
    <font>
      <b/>
      <sz val="11"/>
      <color rgb="FFFF0000"/>
      <name val="Arial"/>
      <family val="2"/>
      <scheme val="minor"/>
    </font>
    <font>
      <b/>
      <sz val="8"/>
      <color theme="1"/>
      <name val="Arial"/>
      <family val="2"/>
      <scheme val="minor"/>
    </font>
    <font>
      <sz val="14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6"/>
      <color theme="1"/>
      <name val="Arial"/>
      <family val="2"/>
      <scheme val="minor"/>
    </font>
    <font>
      <b/>
      <u/>
      <sz val="12"/>
      <color theme="1"/>
      <name val="Arial"/>
      <family val="2"/>
      <scheme val="minor"/>
    </font>
    <font>
      <b/>
      <sz val="12"/>
      <color theme="1"/>
      <name val="Arial"/>
      <family val="2"/>
      <charset val="178"/>
      <scheme val="minor"/>
    </font>
    <font>
      <u/>
      <sz val="11"/>
      <color theme="1"/>
      <name val="Arial"/>
      <family val="2"/>
      <charset val="178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5BBA9"/>
        <bgColor indexed="64"/>
      </patternFill>
    </fill>
  </fills>
  <borders count="4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/>
      <bottom style="thick">
        <color auto="1"/>
      </bottom>
      <diagonal/>
    </border>
    <border>
      <left/>
      <right style="medium">
        <color auto="1"/>
      </right>
      <top/>
      <bottom/>
      <diagonal/>
    </border>
    <border>
      <left style="thick">
        <color auto="1"/>
      </left>
      <right/>
      <top style="medium">
        <color auto="1"/>
      </top>
      <bottom style="medium">
        <color auto="1"/>
      </bottom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/>
      <top style="thick">
        <color auto="1"/>
      </top>
      <bottom style="medium">
        <color auto="1"/>
      </bottom>
      <diagonal/>
    </border>
    <border>
      <left/>
      <right/>
      <top style="thick">
        <color auto="1"/>
      </top>
      <bottom style="medium">
        <color auto="1"/>
      </bottom>
      <diagonal/>
    </border>
    <border>
      <left/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/>
      <right/>
      <top/>
      <bottom style="thick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medium">
        <color auto="1"/>
      </right>
      <top style="thick">
        <color auto="1"/>
      </top>
      <bottom style="thick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78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/>
    </xf>
    <xf numFmtId="0" fontId="3" fillId="0" borderId="7" xfId="0" applyFont="1" applyBorder="1" applyAlignment="1"/>
    <xf numFmtId="1" fontId="2" fillId="0" borderId="1" xfId="0" applyNumberFormat="1" applyFont="1" applyFill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9" fontId="6" fillId="0" borderId="1" xfId="1" applyFont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 vertical="center"/>
    </xf>
    <xf numFmtId="1" fontId="6" fillId="0" borderId="1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1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14" fontId="6" fillId="2" borderId="1" xfId="0" applyNumberFormat="1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6" fillId="6" borderId="1" xfId="0" applyNumberFormat="1" applyFont="1" applyFill="1" applyBorder="1" applyAlignment="1">
      <alignment horizontal="center" vertical="center"/>
    </xf>
    <xf numFmtId="3" fontId="6" fillId="8" borderId="1" xfId="0" applyNumberFormat="1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7" fillId="0" borderId="0" xfId="0" applyFont="1" applyBorder="1" applyAlignment="1">
      <alignment horizontal="center" vertical="center"/>
    </xf>
    <xf numFmtId="3" fontId="8" fillId="9" borderId="1" xfId="0" applyNumberFormat="1" applyFont="1" applyFill="1" applyBorder="1" applyAlignment="1">
      <alignment horizontal="center" vertical="center"/>
    </xf>
    <xf numFmtId="0" fontId="2" fillId="0" borderId="7" xfId="0" applyFont="1" applyBorder="1" applyAlignment="1"/>
    <xf numFmtId="1" fontId="2" fillId="5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12" borderId="1" xfId="0" applyFont="1" applyFill="1" applyBorder="1" applyAlignment="1">
      <alignment horizontal="center" vertical="center"/>
    </xf>
    <xf numFmtId="0" fontId="3" fillId="12" borderId="15" xfId="0" applyFont="1" applyFill="1" applyBorder="1" applyAlignment="1">
      <alignment horizontal="center" vertical="center"/>
    </xf>
    <xf numFmtId="0" fontId="3" fillId="12" borderId="16" xfId="0" applyFont="1" applyFill="1" applyBorder="1" applyAlignment="1">
      <alignment horizontal="center" vertical="center"/>
    </xf>
    <xf numFmtId="0" fontId="3" fillId="11" borderId="6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3" fontId="3" fillId="5" borderId="1" xfId="0" applyNumberFormat="1" applyFont="1" applyFill="1" applyBorder="1" applyAlignment="1">
      <alignment horizontal="center" vertical="center"/>
    </xf>
    <xf numFmtId="0" fontId="3" fillId="13" borderId="1" xfId="0" applyFont="1" applyFill="1" applyBorder="1"/>
    <xf numFmtId="0" fontId="3" fillId="14" borderId="1" xfId="0" applyFont="1" applyFill="1" applyBorder="1" applyAlignment="1">
      <alignment horizontal="center" vertical="center"/>
    </xf>
    <xf numFmtId="3" fontId="3" fillId="14" borderId="1" xfId="0" applyNumberFormat="1" applyFont="1" applyFill="1" applyBorder="1" applyAlignment="1">
      <alignment horizontal="center" vertical="center"/>
    </xf>
    <xf numFmtId="3" fontId="3" fillId="5" borderId="1" xfId="0" applyNumberFormat="1" applyFont="1" applyFill="1" applyBorder="1"/>
    <xf numFmtId="3" fontId="3" fillId="12" borderId="1" xfId="0" applyNumberFormat="1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3" fontId="3" fillId="5" borderId="5" xfId="0" applyNumberFormat="1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3" fontId="3" fillId="8" borderId="1" xfId="0" applyNumberFormat="1" applyFont="1" applyFill="1" applyBorder="1" applyAlignment="1">
      <alignment horizontal="center" vertical="center"/>
    </xf>
    <xf numFmtId="3" fontId="3" fillId="12" borderId="15" xfId="0" applyNumberFormat="1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 vertical="center"/>
    </xf>
    <xf numFmtId="3" fontId="3" fillId="14" borderId="1" xfId="0" applyNumberFormat="1" applyFont="1" applyFill="1" applyBorder="1"/>
    <xf numFmtId="3" fontId="3" fillId="12" borderId="16" xfId="0" applyNumberFormat="1" applyFont="1" applyFill="1" applyBorder="1" applyAlignment="1">
      <alignment horizontal="center" vertical="center"/>
    </xf>
    <xf numFmtId="3" fontId="3" fillId="12" borderId="1" xfId="0" applyNumberFormat="1" applyFont="1" applyFill="1" applyBorder="1"/>
    <xf numFmtId="0" fontId="3" fillId="8" borderId="6" xfId="0" applyFont="1" applyFill="1" applyBorder="1" applyAlignment="1">
      <alignment horizontal="center" vertical="center"/>
    </xf>
    <xf numFmtId="3" fontId="3" fillId="8" borderId="6" xfId="0" applyNumberFormat="1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3" fontId="3" fillId="6" borderId="1" xfId="0" applyNumberFormat="1" applyFont="1" applyFill="1" applyBorder="1"/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Alignment="1"/>
    <xf numFmtId="0" fontId="3" fillId="2" borderId="5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/>
    </xf>
    <xf numFmtId="0" fontId="0" fillId="0" borderId="17" xfId="0" applyBorder="1"/>
    <xf numFmtId="0" fontId="3" fillId="8" borderId="5" xfId="0" applyFont="1" applyFill="1" applyBorder="1" applyAlignment="1">
      <alignment horizontal="center" vertical="center"/>
    </xf>
    <xf numFmtId="1" fontId="2" fillId="8" borderId="5" xfId="0" applyNumberFormat="1" applyFont="1" applyFill="1" applyBorder="1" applyAlignment="1">
      <alignment horizontal="center" vertical="center"/>
    </xf>
    <xf numFmtId="0" fontId="0" fillId="3" borderId="14" xfId="0" applyFill="1" applyBorder="1"/>
    <xf numFmtId="0" fontId="3" fillId="2" borderId="15" xfId="0" applyFont="1" applyFill="1" applyBorder="1" applyAlignment="1">
      <alignment horizontal="center" vertical="center"/>
    </xf>
    <xf numFmtId="0" fontId="3" fillId="12" borderId="18" xfId="0" applyFont="1" applyFill="1" applyBorder="1" applyAlignment="1">
      <alignment horizontal="center" vertical="center"/>
    </xf>
    <xf numFmtId="1" fontId="2" fillId="12" borderId="18" xfId="0" applyNumberFormat="1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0" fontId="3" fillId="12" borderId="19" xfId="0" applyFont="1" applyFill="1" applyBorder="1" applyAlignment="1">
      <alignment horizontal="center" vertical="center"/>
    </xf>
    <xf numFmtId="1" fontId="2" fillId="12" borderId="19" xfId="0" applyNumberFormat="1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11" borderId="18" xfId="0" applyFont="1" applyFill="1" applyBorder="1" applyAlignment="1">
      <alignment horizontal="center" vertical="center"/>
    </xf>
    <xf numFmtId="1" fontId="2" fillId="11" borderId="18" xfId="0" applyNumberFormat="1" applyFont="1" applyFill="1" applyBorder="1" applyAlignment="1">
      <alignment horizontal="center" vertical="center"/>
    </xf>
    <xf numFmtId="0" fontId="3" fillId="11" borderId="19" xfId="0" applyFont="1" applyFill="1" applyBorder="1" applyAlignment="1">
      <alignment horizontal="center" vertical="center"/>
    </xf>
    <xf numFmtId="1" fontId="2" fillId="11" borderId="19" xfId="0" applyNumberFormat="1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8" borderId="9" xfId="0" applyFont="1" applyFill="1" applyBorder="1" applyAlignment="1">
      <alignment horizontal="center" vertical="center"/>
    </xf>
    <xf numFmtId="1" fontId="2" fillId="8" borderId="9" xfId="0" applyNumberFormat="1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0" fillId="3" borderId="20" xfId="0" applyFill="1" applyBorder="1"/>
    <xf numFmtId="0" fontId="2" fillId="3" borderId="20" xfId="0" applyFont="1" applyFill="1" applyBorder="1" applyAlignment="1">
      <alignment vertical="center"/>
    </xf>
    <xf numFmtId="1" fontId="2" fillId="11" borderId="6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/>
    </xf>
    <xf numFmtId="0" fontId="3" fillId="3" borderId="5" xfId="0" applyFont="1" applyFill="1" applyBorder="1" applyAlignment="1">
      <alignment vertical="center"/>
    </xf>
    <xf numFmtId="0" fontId="3" fillId="3" borderId="6" xfId="0" applyFont="1" applyFill="1" applyBorder="1" applyAlignment="1">
      <alignment vertical="center"/>
    </xf>
    <xf numFmtId="0" fontId="2" fillId="2" borderId="10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3" fillId="2" borderId="1" xfId="0" applyFont="1" applyFill="1" applyBorder="1" applyAlignment="1">
      <alignment vertical="center"/>
    </xf>
    <xf numFmtId="1" fontId="0" fillId="0" borderId="0" xfId="0" applyNumberFormat="1"/>
    <xf numFmtId="0" fontId="2" fillId="0" borderId="1" xfId="0" applyFont="1" applyBorder="1" applyAlignment="1">
      <alignment horizontal="center" vertical="center"/>
    </xf>
    <xf numFmtId="3" fontId="6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9" fontId="6" fillId="0" borderId="1" xfId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3" fontId="6" fillId="0" borderId="1" xfId="1" applyNumberFormat="1" applyFont="1" applyBorder="1" applyAlignment="1">
      <alignment horizontal="center" vertical="center"/>
    </xf>
    <xf numFmtId="3" fontId="6" fillId="0" borderId="0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9" fontId="6" fillId="0" borderId="0" xfId="1" applyFont="1" applyBorder="1" applyAlignment="1">
      <alignment horizontal="center" vertical="center"/>
    </xf>
    <xf numFmtId="164" fontId="6" fillId="0" borderId="0" xfId="0" applyNumberFormat="1" applyFont="1" applyBorder="1" applyAlignment="1">
      <alignment horizontal="center" vertical="center"/>
    </xf>
    <xf numFmtId="1" fontId="6" fillId="0" borderId="0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7" fillId="0" borderId="17" xfId="0" applyFont="1" applyBorder="1" applyAlignment="1">
      <alignment horizontal="center" vertical="center"/>
    </xf>
    <xf numFmtId="0" fontId="6" fillId="0" borderId="17" xfId="0" applyFont="1" applyBorder="1" applyAlignment="1">
      <alignment vertical="center"/>
    </xf>
    <xf numFmtId="9" fontId="6" fillId="0" borderId="17" xfId="1" applyFont="1" applyBorder="1" applyAlignment="1">
      <alignment vertical="center"/>
    </xf>
    <xf numFmtId="0" fontId="3" fillId="2" borderId="0" xfId="0" applyFont="1" applyFill="1" applyBorder="1" applyAlignment="1">
      <alignment horizontal="center" vertical="center"/>
    </xf>
    <xf numFmtId="1" fontId="6" fillId="0" borderId="2" xfId="0" applyNumberFormat="1" applyFont="1" applyBorder="1" applyAlignment="1">
      <alignment horizontal="center" vertical="center"/>
    </xf>
    <xf numFmtId="0" fontId="2" fillId="15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11" fillId="0" borderId="28" xfId="0" applyFont="1" applyBorder="1" applyAlignment="1">
      <alignment horizontal="center" vertical="center" readingOrder="2"/>
    </xf>
    <xf numFmtId="0" fontId="2" fillId="0" borderId="27" xfId="0" applyFont="1" applyBorder="1" applyAlignment="1">
      <alignment horizontal="center" vertical="center" readingOrder="2"/>
    </xf>
    <xf numFmtId="0" fontId="2" fillId="0" borderId="27" xfId="0" applyFont="1" applyFill="1" applyBorder="1" applyAlignment="1">
      <alignment horizontal="center" vertical="center" readingOrder="2"/>
    </xf>
    <xf numFmtId="0" fontId="3" fillId="0" borderId="28" xfId="0" applyFont="1" applyBorder="1" applyAlignment="1">
      <alignment horizontal="center" vertical="center" readingOrder="1"/>
    </xf>
    <xf numFmtId="0" fontId="3" fillId="5" borderId="28" xfId="0" applyFont="1" applyFill="1" applyBorder="1" applyAlignment="1">
      <alignment horizontal="center" vertical="center" readingOrder="1"/>
    </xf>
    <xf numFmtId="0" fontId="3" fillId="5" borderId="29" xfId="0" applyFont="1" applyFill="1" applyBorder="1" applyAlignment="1">
      <alignment horizontal="center" vertical="center" readingOrder="1"/>
    </xf>
    <xf numFmtId="0" fontId="3" fillId="16" borderId="28" xfId="0" applyFont="1" applyFill="1" applyBorder="1" applyAlignment="1">
      <alignment horizontal="center" vertical="center" readingOrder="1"/>
    </xf>
    <xf numFmtId="0" fontId="3" fillId="16" borderId="29" xfId="0" applyFont="1" applyFill="1" applyBorder="1" applyAlignment="1">
      <alignment horizontal="center" vertical="center" readingOrder="1"/>
    </xf>
    <xf numFmtId="0" fontId="3" fillId="0" borderId="29" xfId="0" applyFont="1" applyBorder="1" applyAlignment="1">
      <alignment horizontal="center" vertical="center" readingOrder="1"/>
    </xf>
    <xf numFmtId="0" fontId="2" fillId="0" borderId="28" xfId="0" applyFont="1" applyBorder="1" applyAlignment="1">
      <alignment horizontal="center" vertical="center" readingOrder="1"/>
    </xf>
    <xf numFmtId="0" fontId="2" fillId="5" borderId="28" xfId="0" applyFont="1" applyFill="1" applyBorder="1" applyAlignment="1">
      <alignment horizontal="center" vertical="center" readingOrder="1"/>
    </xf>
    <xf numFmtId="0" fontId="2" fillId="5" borderId="29" xfId="0" applyFont="1" applyFill="1" applyBorder="1" applyAlignment="1">
      <alignment horizontal="center" vertical="center" readingOrder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2" fillId="0" borderId="1" xfId="0" applyFont="1" applyFill="1" applyBorder="1" applyAlignment="1" applyProtection="1">
      <alignment horizontal="center" vertical="center"/>
    </xf>
    <xf numFmtId="0" fontId="0" fillId="0" borderId="0" xfId="0" applyProtection="1">
      <protection locked="0"/>
    </xf>
    <xf numFmtId="0" fontId="2" fillId="5" borderId="1" xfId="0" applyFont="1" applyFill="1" applyBorder="1" applyAlignment="1" applyProtection="1">
      <alignment horizontal="center" vertical="center"/>
      <protection locked="0"/>
    </xf>
    <xf numFmtId="0" fontId="2" fillId="0" borderId="1" xfId="0" applyFont="1" applyFill="1" applyBorder="1" applyAlignment="1" applyProtection="1">
      <alignment horizontal="center" vertical="center"/>
      <protection locked="0"/>
    </xf>
    <xf numFmtId="0" fontId="0" fillId="0" borderId="0" xfId="0" applyProtection="1"/>
    <xf numFmtId="0" fontId="3" fillId="0" borderId="7" xfId="0" applyFont="1" applyBorder="1" applyAlignment="1" applyProtection="1"/>
    <xf numFmtId="0" fontId="4" fillId="0" borderId="0" xfId="0" applyFont="1" applyProtection="1"/>
    <xf numFmtId="0" fontId="2" fillId="3" borderId="1" xfId="0" applyFont="1" applyFill="1" applyBorder="1" applyAlignment="1" applyProtection="1">
      <alignment horizontal="center" vertical="center"/>
    </xf>
    <xf numFmtId="0" fontId="3" fillId="2" borderId="1" xfId="0" applyFont="1" applyFill="1" applyBorder="1" applyAlignment="1" applyProtection="1">
      <alignment horizontal="center" vertical="center"/>
    </xf>
    <xf numFmtId="1" fontId="2" fillId="0" borderId="1" xfId="0" applyNumberFormat="1" applyFont="1" applyBorder="1" applyAlignment="1" applyProtection="1">
      <alignment horizontal="center" vertical="center"/>
    </xf>
    <xf numFmtId="1" fontId="2" fillId="0" borderId="1" xfId="0" applyNumberFormat="1" applyFont="1" applyFill="1" applyBorder="1" applyAlignment="1" applyProtection="1">
      <alignment horizontal="center" vertical="center"/>
    </xf>
    <xf numFmtId="1" fontId="2" fillId="5" borderId="1" xfId="0" applyNumberFormat="1" applyFont="1" applyFill="1" applyBorder="1" applyAlignment="1" applyProtection="1">
      <alignment horizontal="center" vertical="center"/>
    </xf>
    <xf numFmtId="0" fontId="2" fillId="7" borderId="1" xfId="0" applyFont="1" applyFill="1" applyBorder="1" applyAlignment="1" applyProtection="1">
      <alignment horizontal="center" vertical="center"/>
    </xf>
    <xf numFmtId="1" fontId="2" fillId="7" borderId="1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horizontal="center"/>
    </xf>
    <xf numFmtId="3" fontId="6" fillId="0" borderId="1" xfId="0" applyNumberFormat="1" applyFont="1" applyBorder="1" applyAlignment="1" applyProtection="1">
      <alignment horizontal="center" vertical="center"/>
      <protection locked="0"/>
    </xf>
    <xf numFmtId="166" fontId="6" fillId="3" borderId="1" xfId="0" applyNumberFormat="1" applyFont="1" applyFill="1" applyBorder="1" applyAlignment="1" applyProtection="1">
      <alignment horizontal="center" vertical="center" readingOrder="2"/>
      <protection locked="0"/>
    </xf>
    <xf numFmtId="0" fontId="2" fillId="0" borderId="11" xfId="0" applyFont="1" applyFill="1" applyBorder="1" applyAlignment="1" applyProtection="1">
      <alignment horizontal="center" vertical="center"/>
      <protection locked="0"/>
    </xf>
    <xf numFmtId="0" fontId="2" fillId="5" borderId="2" xfId="0" applyFont="1" applyFill="1" applyBorder="1" applyAlignment="1" applyProtection="1">
      <alignment horizontal="center" vertical="center"/>
      <protection locked="0"/>
    </xf>
    <xf numFmtId="0" fontId="2" fillId="0" borderId="2" xfId="0" applyFont="1" applyFill="1" applyBorder="1" applyAlignment="1" applyProtection="1">
      <alignment horizontal="center" vertical="center"/>
      <protection locked="0"/>
    </xf>
    <xf numFmtId="0" fontId="2" fillId="5" borderId="11" xfId="0" applyFont="1" applyFill="1" applyBorder="1" applyAlignment="1" applyProtection="1">
      <alignment horizontal="center" vertical="center"/>
      <protection locked="0"/>
    </xf>
    <xf numFmtId="0" fontId="2" fillId="5" borderId="10" xfId="0" applyFont="1" applyFill="1" applyBorder="1" applyAlignment="1" applyProtection="1">
      <alignment horizontal="center" vertical="center"/>
      <protection locked="0"/>
    </xf>
    <xf numFmtId="0" fontId="2" fillId="0" borderId="10" xfId="0" applyFont="1" applyFill="1" applyBorder="1" applyAlignment="1" applyProtection="1">
      <alignment horizontal="center" vertical="center"/>
      <protection locked="0"/>
    </xf>
    <xf numFmtId="1" fontId="2" fillId="0" borderId="4" xfId="0" applyNumberFormat="1" applyFont="1" applyFill="1" applyBorder="1" applyAlignment="1" applyProtection="1">
      <alignment horizontal="center" vertical="center"/>
      <protection locked="0"/>
    </xf>
    <xf numFmtId="0" fontId="2" fillId="5" borderId="1" xfId="0" applyFont="1" applyFill="1" applyBorder="1" applyAlignment="1" applyProtection="1">
      <alignment horizontal="center"/>
      <protection locked="0"/>
    </xf>
    <xf numFmtId="0" fontId="2" fillId="0" borderId="1" xfId="0" applyFont="1" applyBorder="1" applyAlignment="1" applyProtection="1">
      <alignment horizontal="center"/>
      <protection locked="0"/>
    </xf>
    <xf numFmtId="0" fontId="2" fillId="0" borderId="1" xfId="0" applyFont="1" applyFill="1" applyBorder="1" applyAlignment="1" applyProtection="1">
      <alignment horizontal="center"/>
      <protection locked="0"/>
    </xf>
    <xf numFmtId="0" fontId="2" fillId="16" borderId="1" xfId="0" applyFont="1" applyFill="1" applyBorder="1" applyAlignment="1" applyProtection="1">
      <alignment horizontal="center" vertical="center"/>
    </xf>
    <xf numFmtId="0" fontId="0" fillId="16" borderId="0" xfId="0" applyFill="1" applyAlignment="1" applyProtection="1">
      <alignment horizontal="center"/>
    </xf>
    <xf numFmtId="0" fontId="6" fillId="2" borderId="1" xfId="0" applyFont="1" applyFill="1" applyBorder="1" applyAlignment="1">
      <alignment horizontal="center" vertical="center"/>
    </xf>
    <xf numFmtId="9" fontId="6" fillId="2" borderId="1" xfId="1" applyFont="1" applyFill="1" applyBorder="1" applyAlignment="1">
      <alignment horizontal="center" vertical="center"/>
    </xf>
    <xf numFmtId="0" fontId="0" fillId="16" borderId="0" xfId="0" applyFill="1" applyProtection="1"/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 applyProtection="1">
      <alignment horizontal="center" vertical="center"/>
    </xf>
    <xf numFmtId="0" fontId="2" fillId="3" borderId="1" xfId="0" applyFont="1" applyFill="1" applyBorder="1" applyAlignment="1" applyProtection="1">
      <alignment horizontal="center" vertical="center"/>
      <protection locked="0"/>
    </xf>
    <xf numFmtId="0" fontId="3" fillId="2" borderId="1" xfId="0" applyFont="1" applyFill="1" applyBorder="1" applyAlignment="1" applyProtection="1">
      <alignment horizontal="center" vertical="center"/>
      <protection locked="0"/>
    </xf>
    <xf numFmtId="0" fontId="2" fillId="5" borderId="1" xfId="0" applyFont="1" applyFill="1" applyBorder="1" applyAlignment="1" applyProtection="1">
      <alignment horizontal="center"/>
    </xf>
    <xf numFmtId="0" fontId="2" fillId="0" borderId="1" xfId="0" applyFont="1" applyBorder="1" applyAlignment="1" applyProtection="1">
      <alignment horizontal="center"/>
    </xf>
    <xf numFmtId="0" fontId="0" fillId="0" borderId="17" xfId="0" applyBorder="1" applyProtection="1"/>
    <xf numFmtId="0" fontId="3" fillId="8" borderId="5" xfId="0" applyFont="1" applyFill="1" applyBorder="1" applyAlignment="1" applyProtection="1">
      <alignment horizontal="center" vertical="center"/>
    </xf>
    <xf numFmtId="1" fontId="2" fillId="8" borderId="5" xfId="0" applyNumberFormat="1" applyFont="1" applyFill="1" applyBorder="1" applyAlignment="1" applyProtection="1">
      <alignment horizontal="center" vertical="center"/>
    </xf>
    <xf numFmtId="0" fontId="2" fillId="3" borderId="12" xfId="0" applyFont="1" applyFill="1" applyBorder="1" applyAlignment="1" applyProtection="1">
      <alignment horizontal="center" vertical="center"/>
    </xf>
    <xf numFmtId="0" fontId="2" fillId="3" borderId="13" xfId="0" applyFont="1" applyFill="1" applyBorder="1" applyAlignment="1" applyProtection="1">
      <alignment horizontal="center" vertical="center"/>
    </xf>
    <xf numFmtId="0" fontId="0" fillId="3" borderId="14" xfId="0" applyFill="1" applyBorder="1" applyProtection="1"/>
    <xf numFmtId="0" fontId="3" fillId="12" borderId="18" xfId="0" applyFont="1" applyFill="1" applyBorder="1" applyAlignment="1" applyProtection="1">
      <alignment horizontal="center" vertical="center"/>
    </xf>
    <xf numFmtId="1" fontId="2" fillId="12" borderId="18" xfId="0" applyNumberFormat="1" applyFont="1" applyFill="1" applyBorder="1" applyAlignment="1" applyProtection="1">
      <alignment horizontal="center" vertical="center"/>
    </xf>
    <xf numFmtId="0" fontId="3" fillId="12" borderId="19" xfId="0" applyFont="1" applyFill="1" applyBorder="1" applyAlignment="1" applyProtection="1">
      <alignment horizontal="center" vertical="center"/>
    </xf>
    <xf numFmtId="1" fontId="2" fillId="12" borderId="19" xfId="0" applyNumberFormat="1" applyFont="1" applyFill="1" applyBorder="1" applyAlignment="1" applyProtection="1">
      <alignment horizontal="center" vertical="center"/>
    </xf>
    <xf numFmtId="0" fontId="3" fillId="11" borderId="18" xfId="0" applyFont="1" applyFill="1" applyBorder="1" applyAlignment="1" applyProtection="1">
      <alignment horizontal="center" vertical="center"/>
    </xf>
    <xf numFmtId="1" fontId="2" fillId="11" borderId="18" xfId="0" applyNumberFormat="1" applyFont="1" applyFill="1" applyBorder="1" applyAlignment="1" applyProtection="1">
      <alignment horizontal="center" vertical="center"/>
    </xf>
    <xf numFmtId="0" fontId="3" fillId="11" borderId="19" xfId="0" applyFont="1" applyFill="1" applyBorder="1" applyAlignment="1" applyProtection="1">
      <alignment horizontal="center" vertical="center"/>
    </xf>
    <xf numFmtId="1" fontId="2" fillId="11" borderId="19" xfId="0" applyNumberFormat="1" applyFont="1" applyFill="1" applyBorder="1" applyAlignment="1" applyProtection="1">
      <alignment horizontal="center" vertical="center"/>
    </xf>
    <xf numFmtId="0" fontId="3" fillId="8" borderId="9" xfId="0" applyFont="1" applyFill="1" applyBorder="1" applyAlignment="1" applyProtection="1">
      <alignment horizontal="center" vertical="center"/>
    </xf>
    <xf numFmtId="1" fontId="2" fillId="8" borderId="9" xfId="0" applyNumberFormat="1" applyFont="1" applyFill="1" applyBorder="1" applyAlignment="1" applyProtection="1">
      <alignment horizontal="center" vertical="center"/>
    </xf>
    <xf numFmtId="0" fontId="2" fillId="3" borderId="17" xfId="0" applyFont="1" applyFill="1" applyBorder="1" applyAlignment="1" applyProtection="1">
      <alignment horizontal="center" vertical="center"/>
    </xf>
    <xf numFmtId="0" fontId="2" fillId="3" borderId="0" xfId="0" applyFont="1" applyFill="1" applyBorder="1" applyAlignment="1" applyProtection="1">
      <alignment horizontal="center" vertical="center"/>
    </xf>
    <xf numFmtId="0" fontId="0" fillId="3" borderId="20" xfId="0" applyFill="1" applyBorder="1" applyProtection="1"/>
    <xf numFmtId="0" fontId="2" fillId="3" borderId="20" xfId="0" applyFont="1" applyFill="1" applyBorder="1" applyAlignment="1" applyProtection="1">
      <alignment vertical="center"/>
    </xf>
    <xf numFmtId="0" fontId="3" fillId="11" borderId="6" xfId="0" applyFont="1" applyFill="1" applyBorder="1" applyAlignment="1" applyProtection="1">
      <alignment horizontal="center" vertical="center"/>
    </xf>
    <xf numFmtId="1" fontId="2" fillId="11" borderId="6" xfId="0" applyNumberFormat="1" applyFont="1" applyFill="1" applyBorder="1" applyAlignment="1" applyProtection="1">
      <alignment horizontal="center" vertical="center"/>
    </xf>
    <xf numFmtId="0" fontId="2" fillId="3" borderId="2" xfId="0" applyFont="1" applyFill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2" fillId="0" borderId="1" xfId="0" applyFont="1" applyBorder="1" applyAlignment="1" applyProtection="1">
      <alignment horizontal="center" vertical="center"/>
    </xf>
    <xf numFmtId="0" fontId="2" fillId="2" borderId="1" xfId="0" applyFont="1" applyFill="1" applyBorder="1" applyAlignment="1" applyProtection="1">
      <alignment horizontal="center" vertical="center"/>
    </xf>
    <xf numFmtId="0" fontId="2" fillId="5" borderId="1" xfId="0" applyFont="1" applyFill="1" applyBorder="1" applyAlignment="1" applyProtection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 applyProtection="1">
      <alignment horizontal="center" vertical="center"/>
    </xf>
    <xf numFmtId="0" fontId="2" fillId="2" borderId="1" xfId="0" applyFont="1" applyFill="1" applyBorder="1" applyAlignment="1" applyProtection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5" borderId="1" xfId="0" applyFont="1" applyFill="1" applyBorder="1" applyAlignment="1" applyProtection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 applyProtection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/>
    </xf>
    <xf numFmtId="0" fontId="2" fillId="5" borderId="2" xfId="0" applyFont="1" applyFill="1" applyBorder="1" applyAlignment="1" applyProtection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 applyProtection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16" borderId="1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7" fontId="3" fillId="2" borderId="1" xfId="0" applyNumberFormat="1" applyFont="1" applyFill="1" applyBorder="1" applyAlignment="1">
      <alignment horizontal="center" vertical="center"/>
    </xf>
    <xf numFmtId="0" fontId="2" fillId="11" borderId="2" xfId="0" applyFont="1" applyFill="1" applyBorder="1" applyAlignment="1">
      <alignment horizontal="center" vertical="center"/>
    </xf>
    <xf numFmtId="0" fontId="2" fillId="15" borderId="2" xfId="0" applyFont="1" applyFill="1" applyBorder="1" applyAlignment="1">
      <alignment horizontal="center" vertical="center"/>
    </xf>
    <xf numFmtId="0" fontId="2" fillId="0" borderId="1" xfId="0" applyFont="1" applyBorder="1" applyAlignment="1" applyProtection="1">
      <alignment horizontal="center" vertical="center"/>
    </xf>
    <xf numFmtId="0" fontId="2" fillId="2" borderId="1" xfId="0" applyFont="1" applyFill="1" applyBorder="1" applyAlignment="1" applyProtection="1">
      <alignment horizontal="center" vertical="center"/>
    </xf>
    <xf numFmtId="0" fontId="2" fillId="5" borderId="1" xfId="0" applyFont="1" applyFill="1" applyBorder="1" applyAlignment="1" applyProtection="1">
      <alignment horizontal="center" vertical="center"/>
    </xf>
    <xf numFmtId="0" fontId="2" fillId="0" borderId="1" xfId="0" applyFont="1" applyBorder="1" applyAlignment="1" applyProtection="1">
      <alignment horizontal="center" vertical="center"/>
    </xf>
    <xf numFmtId="0" fontId="2" fillId="0" borderId="1" xfId="0" applyFont="1" applyBorder="1" applyAlignment="1" applyProtection="1">
      <alignment horizontal="center" vertical="center"/>
    </xf>
    <xf numFmtId="0" fontId="3" fillId="2" borderId="1" xfId="0" applyFont="1" applyFill="1" applyBorder="1" applyAlignment="1" applyProtection="1">
      <alignment horizontal="center" vertical="center" readingOrder="2"/>
      <protection locked="0"/>
    </xf>
    <xf numFmtId="0" fontId="3" fillId="2" borderId="11" xfId="0" applyFont="1" applyFill="1" applyBorder="1" applyAlignment="1">
      <alignment horizontal="center" vertical="center" readingOrder="2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3" fontId="3" fillId="16" borderId="10" xfId="0" applyNumberFormat="1" applyFont="1" applyFill="1" applyBorder="1" applyAlignment="1" applyProtection="1">
      <alignment horizontal="center" vertical="center" readingOrder="2"/>
      <protection locked="0"/>
    </xf>
    <xf numFmtId="17" fontId="3" fillId="2" borderId="1" xfId="0" applyNumberFormat="1" applyFont="1" applyFill="1" applyBorder="1" applyAlignment="1" applyProtection="1">
      <alignment horizontal="center" vertical="center" wrapText="1" readingOrder="2"/>
      <protection locked="0"/>
    </xf>
    <xf numFmtId="0" fontId="15" fillId="0" borderId="0" xfId="0" applyFont="1" applyBorder="1" applyAlignment="1">
      <alignment readingOrder="2"/>
    </xf>
    <xf numFmtId="0" fontId="0" fillId="0" borderId="0" xfId="0" applyFont="1" applyAlignment="1">
      <alignment readingOrder="2"/>
    </xf>
    <xf numFmtId="0" fontId="16" fillId="0" borderId="0" xfId="0" applyFont="1" applyAlignment="1">
      <alignment readingOrder="2"/>
    </xf>
    <xf numFmtId="0" fontId="0" fillId="0" borderId="0" xfId="0" applyAlignment="1">
      <alignment readingOrder="2"/>
    </xf>
    <xf numFmtId="0" fontId="2" fillId="5" borderId="1" xfId="0" applyFont="1" applyFill="1" applyBorder="1" applyAlignment="1" applyProtection="1">
      <alignment horizontal="center" vertical="center"/>
    </xf>
    <xf numFmtId="0" fontId="2" fillId="0" borderId="1" xfId="0" applyFont="1" applyFill="1" applyBorder="1" applyAlignment="1" applyProtection="1">
      <alignment horizontal="center" vertical="center" readingOrder="2"/>
      <protection locked="0"/>
    </xf>
    <xf numFmtId="3" fontId="3" fillId="2" borderId="38" xfId="0" applyNumberFormat="1" applyFont="1" applyFill="1" applyBorder="1" applyAlignment="1">
      <alignment horizontal="center" vertical="center" readingOrder="2"/>
    </xf>
    <xf numFmtId="0" fontId="2" fillId="5" borderId="1" xfId="0" applyNumberFormat="1" applyFont="1" applyFill="1" applyBorder="1" applyAlignment="1" applyProtection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 applyProtection="1">
      <alignment horizontal="center" vertical="center"/>
    </xf>
    <xf numFmtId="0" fontId="2" fillId="0" borderId="1" xfId="0" applyFont="1" applyBorder="1" applyAlignment="1" applyProtection="1">
      <alignment horizontal="center" vertical="center"/>
    </xf>
    <xf numFmtId="0" fontId="2" fillId="0" borderId="1" xfId="0" applyFont="1" applyBorder="1" applyAlignment="1" applyProtection="1">
      <alignment horizontal="center" vertical="center"/>
    </xf>
    <xf numFmtId="0" fontId="2" fillId="2" borderId="1" xfId="0" applyFont="1" applyFill="1" applyBorder="1" applyAlignment="1" applyProtection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 applyProtection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2" fillId="17" borderId="1" xfId="0" applyFont="1" applyFill="1" applyBorder="1" applyAlignment="1" applyProtection="1">
      <alignment horizontal="center" vertical="center" readingOrder="2"/>
      <protection locked="0"/>
    </xf>
    <xf numFmtId="0" fontId="2" fillId="17" borderId="2" xfId="0" applyFont="1" applyFill="1" applyBorder="1" applyAlignment="1" applyProtection="1">
      <alignment horizontal="center" vertical="center" readingOrder="2"/>
      <protection locked="0"/>
    </xf>
    <xf numFmtId="0" fontId="3" fillId="2" borderId="1" xfId="0" applyFont="1" applyFill="1" applyBorder="1" applyAlignment="1">
      <alignment horizontal="center" vertical="center" readingOrder="2"/>
    </xf>
    <xf numFmtId="3" fontId="2" fillId="16" borderId="1" xfId="0" applyNumberFormat="1" applyFont="1" applyFill="1" applyBorder="1" applyAlignment="1" applyProtection="1">
      <alignment horizontal="center" vertical="center" readingOrder="2"/>
      <protection locked="0"/>
    </xf>
    <xf numFmtId="1" fontId="2" fillId="16" borderId="1" xfId="0" applyNumberFormat="1" applyFont="1" applyFill="1" applyBorder="1" applyAlignment="1">
      <alignment horizontal="center" vertical="center" readingOrder="2"/>
    </xf>
    <xf numFmtId="3" fontId="2" fillId="16" borderId="2" xfId="0" applyNumberFormat="1" applyFont="1" applyFill="1" applyBorder="1" applyAlignment="1" applyProtection="1">
      <alignment horizontal="center" vertical="center" readingOrder="2"/>
      <protection locked="0"/>
    </xf>
    <xf numFmtId="3" fontId="4" fillId="14" borderId="1" xfId="0" applyNumberFormat="1" applyFont="1" applyFill="1" applyBorder="1" applyAlignment="1" applyProtection="1">
      <alignment horizontal="center" vertical="center" readingOrder="2"/>
      <protection locked="0"/>
    </xf>
    <xf numFmtId="3" fontId="2" fillId="12" borderId="2" xfId="0" applyNumberFormat="1" applyFont="1" applyFill="1" applyBorder="1" applyAlignment="1" applyProtection="1">
      <alignment horizontal="center" vertical="center" readingOrder="2"/>
      <protection locked="0"/>
    </xf>
    <xf numFmtId="3" fontId="4" fillId="12" borderId="2" xfId="0" applyNumberFormat="1" applyFont="1" applyFill="1" applyBorder="1" applyAlignment="1" applyProtection="1">
      <alignment horizontal="center" vertical="center" readingOrder="2"/>
      <protection locked="0"/>
    </xf>
    <xf numFmtId="3" fontId="2" fillId="12" borderId="1" xfId="0" applyNumberFormat="1" applyFont="1" applyFill="1" applyBorder="1" applyAlignment="1" applyProtection="1">
      <alignment horizontal="center" vertical="center" readingOrder="2"/>
      <protection locked="0"/>
    </xf>
    <xf numFmtId="3" fontId="2" fillId="6" borderId="2" xfId="0" applyNumberFormat="1" applyFont="1" applyFill="1" applyBorder="1" applyAlignment="1" applyProtection="1">
      <alignment horizontal="center" vertical="center" readingOrder="2"/>
      <protection locked="0"/>
    </xf>
    <xf numFmtId="3" fontId="2" fillId="6" borderId="1" xfId="0" applyNumberFormat="1" applyFont="1" applyFill="1" applyBorder="1" applyAlignment="1" applyProtection="1">
      <alignment horizontal="center" vertical="center" readingOrder="2"/>
      <protection locked="0"/>
    </xf>
    <xf numFmtId="3" fontId="4" fillId="6" borderId="1" xfId="0" applyNumberFormat="1" applyFont="1" applyFill="1" applyBorder="1" applyAlignment="1" applyProtection="1">
      <alignment horizontal="center" vertical="center" readingOrder="2"/>
      <protection locked="0"/>
    </xf>
    <xf numFmtId="3" fontId="2" fillId="18" borderId="2" xfId="0" applyNumberFormat="1" applyFont="1" applyFill="1" applyBorder="1" applyAlignment="1" applyProtection="1">
      <alignment horizontal="center" vertical="center" readingOrder="2"/>
      <protection locked="0"/>
    </xf>
    <xf numFmtId="3" fontId="4" fillId="18" borderId="2" xfId="0" applyNumberFormat="1" applyFont="1" applyFill="1" applyBorder="1" applyAlignment="1" applyProtection="1">
      <alignment horizontal="center" vertical="center" readingOrder="2"/>
      <protection locked="0"/>
    </xf>
    <xf numFmtId="3" fontId="2" fillId="18" borderId="1" xfId="0" applyNumberFormat="1" applyFont="1" applyFill="1" applyBorder="1" applyAlignment="1" applyProtection="1">
      <alignment horizontal="center" vertical="center" readingOrder="2"/>
      <protection locked="0"/>
    </xf>
    <xf numFmtId="0" fontId="4" fillId="0" borderId="0" xfId="0" applyFont="1" applyAlignment="1" applyProtection="1">
      <alignment horizontal="center"/>
    </xf>
    <xf numFmtId="0" fontId="2" fillId="0" borderId="1" xfId="0" applyFont="1" applyBorder="1" applyAlignment="1" applyProtection="1">
      <alignment horizontal="center" vertical="center"/>
    </xf>
    <xf numFmtId="0" fontId="2" fillId="2" borderId="1" xfId="0" applyFont="1" applyFill="1" applyBorder="1" applyAlignment="1" applyProtection="1">
      <alignment horizontal="center" vertical="center"/>
    </xf>
    <xf numFmtId="0" fontId="3" fillId="0" borderId="7" xfId="0" applyFont="1" applyBorder="1" applyAlignment="1" applyProtection="1">
      <alignment horizontal="center"/>
    </xf>
    <xf numFmtId="0" fontId="3" fillId="0" borderId="0" xfId="0" applyFont="1" applyAlignment="1" applyProtection="1">
      <alignment horizontal="center"/>
    </xf>
    <xf numFmtId="0" fontId="2" fillId="0" borderId="2" xfId="0" applyFont="1" applyBorder="1" applyAlignment="1" applyProtection="1">
      <alignment horizontal="center" vertical="center"/>
    </xf>
    <xf numFmtId="0" fontId="2" fillId="0" borderId="3" xfId="0" applyFont="1" applyBorder="1" applyAlignment="1" applyProtection="1">
      <alignment horizontal="center" vertical="center"/>
    </xf>
    <xf numFmtId="0" fontId="2" fillId="0" borderId="4" xfId="0" applyFont="1" applyBorder="1" applyAlignment="1" applyProtection="1">
      <alignment horizontal="center" vertical="center"/>
    </xf>
    <xf numFmtId="9" fontId="2" fillId="0" borderId="2" xfId="1" applyFont="1" applyBorder="1" applyAlignment="1" applyProtection="1">
      <alignment horizontal="center" vertical="center"/>
    </xf>
    <xf numFmtId="9" fontId="2" fillId="0" borderId="3" xfId="1" applyFont="1" applyBorder="1" applyAlignment="1" applyProtection="1">
      <alignment horizontal="center" vertical="center"/>
    </xf>
    <xf numFmtId="9" fontId="2" fillId="0" borderId="4" xfId="1" applyFont="1" applyBorder="1" applyAlignment="1" applyProtection="1">
      <alignment horizontal="center" vertical="center"/>
    </xf>
    <xf numFmtId="9" fontId="2" fillId="0" borderId="2" xfId="1" applyFont="1" applyBorder="1" applyAlignment="1" applyProtection="1">
      <alignment horizontal="center" vertical="center"/>
      <protection locked="0"/>
    </xf>
    <xf numFmtId="9" fontId="2" fillId="0" borderId="3" xfId="1" applyFont="1" applyBorder="1" applyAlignment="1" applyProtection="1">
      <alignment horizontal="center" vertical="center"/>
      <protection locked="0"/>
    </xf>
    <xf numFmtId="9" fontId="2" fillId="0" borderId="4" xfId="1" applyFont="1" applyBorder="1" applyAlignment="1" applyProtection="1">
      <alignment horizontal="center" vertical="center"/>
      <protection locked="0"/>
    </xf>
    <xf numFmtId="0" fontId="2" fillId="6" borderId="1" xfId="0" applyFont="1" applyFill="1" applyBorder="1" applyAlignment="1" applyProtection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3" fontId="2" fillId="11" borderId="2" xfId="0" applyNumberFormat="1" applyFont="1" applyFill="1" applyBorder="1" applyAlignment="1">
      <alignment horizontal="center" vertical="center"/>
    </xf>
    <xf numFmtId="3" fontId="2" fillId="11" borderId="3" xfId="0" applyNumberFormat="1" applyFont="1" applyFill="1" applyBorder="1" applyAlignment="1">
      <alignment horizontal="center" vertical="center"/>
    </xf>
    <xf numFmtId="3" fontId="2" fillId="11" borderId="4" xfId="0" applyNumberFormat="1" applyFont="1" applyFill="1" applyBorder="1" applyAlignment="1">
      <alignment horizontal="center" vertical="center"/>
    </xf>
    <xf numFmtId="3" fontId="2" fillId="12" borderId="2" xfId="0" applyNumberFormat="1" applyFont="1" applyFill="1" applyBorder="1" applyAlignment="1">
      <alignment horizontal="center" vertical="center"/>
    </xf>
    <xf numFmtId="3" fontId="2" fillId="12" borderId="3" xfId="0" applyNumberFormat="1" applyFont="1" applyFill="1" applyBorder="1" applyAlignment="1">
      <alignment horizontal="center" vertical="center"/>
    </xf>
    <xf numFmtId="3" fontId="2" fillId="12" borderId="4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2" fillId="6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3" fontId="2" fillId="10" borderId="2" xfId="0" applyNumberFormat="1" applyFont="1" applyFill="1" applyBorder="1" applyAlignment="1">
      <alignment horizontal="center" vertical="center"/>
    </xf>
    <xf numFmtId="3" fontId="2" fillId="10" borderId="3" xfId="0" applyNumberFormat="1" applyFont="1" applyFill="1" applyBorder="1" applyAlignment="1">
      <alignment horizontal="center" vertical="center"/>
    </xf>
    <xf numFmtId="3" fontId="2" fillId="10" borderId="4" xfId="0" applyNumberFormat="1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0" xfId="0" applyFont="1" applyAlignment="1" applyProtection="1">
      <alignment horizontal="center" vertical="center"/>
      <protection locked="0"/>
    </xf>
    <xf numFmtId="0" fontId="6" fillId="2" borderId="1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6" fillId="0" borderId="2" xfId="0" applyFont="1" applyBorder="1" applyAlignment="1" applyProtection="1">
      <alignment horizontal="center" vertical="center"/>
      <protection locked="0"/>
    </xf>
    <xf numFmtId="0" fontId="6" fillId="0" borderId="3" xfId="0" applyFont="1" applyBorder="1" applyAlignment="1" applyProtection="1">
      <alignment horizontal="center" vertical="center"/>
      <protection locked="0"/>
    </xf>
    <xf numFmtId="0" fontId="2" fillId="0" borderId="8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9" fontId="6" fillId="0" borderId="2" xfId="1" applyFont="1" applyBorder="1" applyAlignment="1">
      <alignment horizontal="center" vertical="center"/>
    </xf>
    <xf numFmtId="9" fontId="6" fillId="0" borderId="3" xfId="1" applyFont="1" applyBorder="1" applyAlignment="1">
      <alignment horizontal="center" vertical="center"/>
    </xf>
    <xf numFmtId="9" fontId="6" fillId="0" borderId="4" xfId="1" applyFont="1" applyBorder="1" applyAlignment="1">
      <alignment horizontal="center" vertical="center"/>
    </xf>
    <xf numFmtId="0" fontId="6" fillId="0" borderId="4" xfId="0" applyFont="1" applyBorder="1" applyAlignment="1" applyProtection="1">
      <alignment horizontal="center" vertical="center"/>
      <protection locked="0"/>
    </xf>
    <xf numFmtId="3" fontId="6" fillId="0" borderId="2" xfId="0" applyNumberFormat="1" applyFont="1" applyBorder="1" applyAlignment="1">
      <alignment horizontal="center" vertical="center"/>
    </xf>
    <xf numFmtId="3" fontId="6" fillId="0" borderId="3" xfId="0" applyNumberFormat="1" applyFont="1" applyBorder="1" applyAlignment="1">
      <alignment horizontal="center" vertical="center"/>
    </xf>
    <xf numFmtId="3" fontId="6" fillId="0" borderId="4" xfId="0" applyNumberFormat="1" applyFont="1" applyBorder="1" applyAlignment="1">
      <alignment horizontal="center" vertical="center"/>
    </xf>
    <xf numFmtId="1" fontId="6" fillId="0" borderId="2" xfId="0" applyNumberFormat="1" applyFont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3" fillId="2" borderId="18" xfId="0" applyFont="1" applyFill="1" applyBorder="1" applyAlignment="1" applyProtection="1">
      <alignment horizontal="center" vertical="center" readingOrder="2"/>
      <protection locked="0"/>
    </xf>
    <xf numFmtId="0" fontId="3" fillId="2" borderId="6" xfId="0" applyFont="1" applyFill="1" applyBorder="1" applyAlignment="1" applyProtection="1">
      <alignment horizontal="center" vertical="center" readingOrder="2"/>
      <protection locked="0"/>
    </xf>
    <xf numFmtId="0" fontId="3" fillId="2" borderId="34" xfId="0" applyFont="1" applyFill="1" applyBorder="1" applyAlignment="1" applyProtection="1">
      <alignment horizontal="center" vertical="center" wrapText="1" readingOrder="2"/>
      <protection locked="0"/>
    </xf>
    <xf numFmtId="0" fontId="3" fillId="2" borderId="36" xfId="0" applyFont="1" applyFill="1" applyBorder="1" applyAlignment="1" applyProtection="1">
      <alignment horizontal="center" vertical="center" wrapText="1" readingOrder="2"/>
      <protection locked="0"/>
    </xf>
    <xf numFmtId="0" fontId="3" fillId="2" borderId="39" xfId="0" applyFont="1" applyFill="1" applyBorder="1" applyAlignment="1">
      <alignment horizontal="center" vertical="center" readingOrder="2"/>
    </xf>
    <xf numFmtId="0" fontId="3" fillId="2" borderId="40" xfId="0" applyFont="1" applyFill="1" applyBorder="1" applyAlignment="1">
      <alignment horizontal="center" vertical="center" readingOrder="2"/>
    </xf>
    <xf numFmtId="0" fontId="14" fillId="0" borderId="37" xfId="0" applyFont="1" applyBorder="1" applyAlignment="1">
      <alignment horizontal="center" vertical="center" readingOrder="2"/>
    </xf>
    <xf numFmtId="0" fontId="3" fillId="2" borderId="30" xfId="0" applyFont="1" applyFill="1" applyBorder="1" applyAlignment="1">
      <alignment horizontal="center" vertical="center" readingOrder="2"/>
    </xf>
    <xf numFmtId="0" fontId="3" fillId="2" borderId="35" xfId="0" applyFont="1" applyFill="1" applyBorder="1" applyAlignment="1">
      <alignment horizontal="center" vertical="center" readingOrder="2"/>
    </xf>
    <xf numFmtId="0" fontId="3" fillId="2" borderId="31" xfId="0" applyFont="1" applyFill="1" applyBorder="1" applyAlignment="1" applyProtection="1">
      <alignment horizontal="center" vertical="center" readingOrder="2"/>
      <protection locked="0"/>
    </xf>
    <xf numFmtId="0" fontId="3" fillId="2" borderId="32" xfId="0" applyFont="1" applyFill="1" applyBorder="1" applyAlignment="1" applyProtection="1">
      <alignment horizontal="center" vertical="center" readingOrder="2"/>
      <protection locked="0"/>
    </xf>
    <xf numFmtId="0" fontId="3" fillId="2" borderId="33" xfId="0" applyFont="1" applyFill="1" applyBorder="1" applyAlignment="1" applyProtection="1">
      <alignment horizontal="center" vertical="center" readingOrder="2"/>
      <protection locked="0"/>
    </xf>
    <xf numFmtId="3" fontId="4" fillId="19" borderId="5" xfId="0" applyNumberFormat="1" applyFont="1" applyFill="1" applyBorder="1" applyAlignment="1">
      <alignment horizontal="center" vertical="center" readingOrder="2"/>
    </xf>
    <xf numFmtId="3" fontId="4" fillId="19" borderId="6" xfId="0" applyNumberFormat="1" applyFont="1" applyFill="1" applyBorder="1" applyAlignment="1">
      <alignment horizontal="center" vertical="center" readingOrder="2"/>
    </xf>
    <xf numFmtId="0" fontId="5" fillId="19" borderId="5" xfId="0" applyFont="1" applyFill="1" applyBorder="1" applyAlignment="1">
      <alignment horizontal="center" vertical="center"/>
    </xf>
    <xf numFmtId="0" fontId="5" fillId="19" borderId="6" xfId="0" applyFont="1" applyFill="1" applyBorder="1" applyAlignment="1">
      <alignment horizontal="center" vertical="center"/>
    </xf>
    <xf numFmtId="0" fontId="13" fillId="18" borderId="2" xfId="0" applyFont="1" applyFill="1" applyBorder="1" applyAlignment="1">
      <alignment horizontal="center" vertical="center" readingOrder="2"/>
    </xf>
    <xf numFmtId="0" fontId="13" fillId="18" borderId="3" xfId="0" applyFont="1" applyFill="1" applyBorder="1" applyAlignment="1">
      <alignment horizontal="center" vertical="center" readingOrder="2"/>
    </xf>
    <xf numFmtId="0" fontId="13" fillId="18" borderId="4" xfId="0" applyFont="1" applyFill="1" applyBorder="1" applyAlignment="1">
      <alignment horizontal="center" vertical="center" readingOrder="2"/>
    </xf>
    <xf numFmtId="0" fontId="14" fillId="0" borderId="0" xfId="0" applyFont="1" applyBorder="1" applyAlignment="1">
      <alignment horizontal="center" vertical="center"/>
    </xf>
    <xf numFmtId="0" fontId="3" fillId="17" borderId="5" xfId="0" applyFont="1" applyFill="1" applyBorder="1" applyAlignment="1">
      <alignment horizontal="center" vertical="center" readingOrder="2"/>
    </xf>
    <xf numFmtId="0" fontId="3" fillId="17" borderId="6" xfId="0" applyFont="1" applyFill="1" applyBorder="1" applyAlignment="1">
      <alignment horizontal="center" vertical="center" readingOrder="2"/>
    </xf>
    <xf numFmtId="0" fontId="3" fillId="17" borderId="5" xfId="0" applyFont="1" applyFill="1" applyBorder="1" applyAlignment="1" applyProtection="1">
      <alignment horizontal="center" vertical="center" readingOrder="2"/>
      <protection locked="0"/>
    </xf>
    <xf numFmtId="0" fontId="3" fillId="17" borderId="6" xfId="0" applyFont="1" applyFill="1" applyBorder="1" applyAlignment="1" applyProtection="1">
      <alignment horizontal="center" vertical="center" readingOrder="2"/>
      <protection locked="0"/>
    </xf>
    <xf numFmtId="0" fontId="2" fillId="17" borderId="2" xfId="0" applyFont="1" applyFill="1" applyBorder="1" applyAlignment="1" applyProtection="1">
      <alignment horizontal="center" vertical="center" readingOrder="2"/>
      <protection locked="0"/>
    </xf>
    <xf numFmtId="0" fontId="2" fillId="17" borderId="3" xfId="0" applyFont="1" applyFill="1" applyBorder="1" applyAlignment="1" applyProtection="1">
      <alignment horizontal="center" vertical="center" readingOrder="2"/>
      <protection locked="0"/>
    </xf>
    <xf numFmtId="0" fontId="2" fillId="17" borderId="5" xfId="0" applyFont="1" applyFill="1" applyBorder="1" applyAlignment="1" applyProtection="1">
      <alignment horizontal="center" vertical="center" readingOrder="2"/>
      <protection locked="0"/>
    </xf>
    <xf numFmtId="0" fontId="2" fillId="17" borderId="6" xfId="0" applyFont="1" applyFill="1" applyBorder="1" applyAlignment="1" applyProtection="1">
      <alignment horizontal="center" vertical="center" readingOrder="2"/>
      <protection locked="0"/>
    </xf>
    <xf numFmtId="0" fontId="2" fillId="17" borderId="5" xfId="0" applyFont="1" applyFill="1" applyBorder="1" applyAlignment="1" applyProtection="1">
      <alignment horizontal="center" vertical="center" wrapText="1" readingOrder="2"/>
      <protection locked="0"/>
    </xf>
    <xf numFmtId="0" fontId="2" fillId="17" borderId="6" xfId="0" applyFont="1" applyFill="1" applyBorder="1" applyAlignment="1" applyProtection="1">
      <alignment horizontal="center" vertical="center" wrapText="1" readingOrder="2"/>
      <protection locked="0"/>
    </xf>
    <xf numFmtId="0" fontId="2" fillId="17" borderId="4" xfId="0" applyFont="1" applyFill="1" applyBorder="1" applyAlignment="1" applyProtection="1">
      <alignment horizontal="center" vertical="center" readingOrder="2"/>
      <protection locked="0"/>
    </xf>
    <xf numFmtId="0" fontId="3" fillId="16" borderId="5" xfId="0" applyFont="1" applyFill="1" applyBorder="1" applyAlignment="1" applyProtection="1">
      <alignment horizontal="right" vertical="center" wrapText="1" readingOrder="2"/>
      <protection locked="0"/>
    </xf>
    <xf numFmtId="0" fontId="3" fillId="16" borderId="9" xfId="0" applyFont="1" applyFill="1" applyBorder="1" applyAlignment="1" applyProtection="1">
      <alignment horizontal="right" vertical="center" wrapText="1" readingOrder="2"/>
      <protection locked="0"/>
    </xf>
    <xf numFmtId="0" fontId="3" fillId="16" borderId="6" xfId="0" applyFont="1" applyFill="1" applyBorder="1" applyAlignment="1" applyProtection="1">
      <alignment horizontal="right" vertical="center" wrapText="1" readingOrder="2"/>
      <protection locked="0"/>
    </xf>
    <xf numFmtId="0" fontId="13" fillId="12" borderId="2" xfId="0" applyFont="1" applyFill="1" applyBorder="1" applyAlignment="1">
      <alignment horizontal="center" vertical="center" readingOrder="2"/>
    </xf>
    <xf numFmtId="0" fontId="13" fillId="12" borderId="3" xfId="0" applyFont="1" applyFill="1" applyBorder="1" applyAlignment="1">
      <alignment horizontal="center" vertical="center" readingOrder="2"/>
    </xf>
    <xf numFmtId="0" fontId="13" fillId="12" borderId="4" xfId="0" applyFont="1" applyFill="1" applyBorder="1" applyAlignment="1">
      <alignment horizontal="center" vertical="center" readingOrder="2"/>
    </xf>
    <xf numFmtId="0" fontId="3" fillId="16" borderId="5" xfId="0" applyFont="1" applyFill="1" applyBorder="1" applyAlignment="1" applyProtection="1">
      <alignment horizontal="center" vertical="center" wrapText="1" readingOrder="2"/>
      <protection locked="0"/>
    </xf>
    <xf numFmtId="0" fontId="3" fillId="16" borderId="9" xfId="0" applyFont="1" applyFill="1" applyBorder="1" applyAlignment="1" applyProtection="1">
      <alignment horizontal="center" vertical="center" wrapText="1" readingOrder="2"/>
      <protection locked="0"/>
    </xf>
    <xf numFmtId="0" fontId="3" fillId="16" borderId="6" xfId="0" applyFont="1" applyFill="1" applyBorder="1" applyAlignment="1" applyProtection="1">
      <alignment horizontal="center" vertical="center" wrapText="1" readingOrder="2"/>
      <protection locked="0"/>
    </xf>
    <xf numFmtId="0" fontId="13" fillId="6" borderId="2" xfId="0" applyFont="1" applyFill="1" applyBorder="1" applyAlignment="1">
      <alignment horizontal="center" vertical="center" readingOrder="2"/>
    </xf>
    <xf numFmtId="0" fontId="13" fillId="6" borderId="3" xfId="0" applyFont="1" applyFill="1" applyBorder="1" applyAlignment="1">
      <alignment horizontal="center" vertical="center" readingOrder="2"/>
    </xf>
    <xf numFmtId="0" fontId="13" fillId="6" borderId="4" xfId="0" applyFont="1" applyFill="1" applyBorder="1" applyAlignment="1">
      <alignment horizontal="center" vertical="center" readingOrder="2"/>
    </xf>
    <xf numFmtId="0" fontId="2" fillId="8" borderId="2" xfId="0" applyFont="1" applyFill="1" applyBorder="1" applyAlignment="1">
      <alignment horizontal="center" vertical="center"/>
    </xf>
    <xf numFmtId="0" fontId="2" fillId="8" borderId="3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12" borderId="2" xfId="0" applyFont="1" applyFill="1" applyBorder="1" applyAlignment="1">
      <alignment horizontal="center" vertical="center" wrapText="1"/>
    </xf>
    <xf numFmtId="0" fontId="2" fillId="12" borderId="4" xfId="0" applyFont="1" applyFill="1" applyBorder="1" applyAlignment="1">
      <alignment horizontal="center" vertical="center" wrapText="1"/>
    </xf>
    <xf numFmtId="0" fontId="2" fillId="12" borderId="3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12" borderId="2" xfId="0" applyFont="1" applyFill="1" applyBorder="1" applyAlignment="1">
      <alignment horizontal="center" vertical="center"/>
    </xf>
    <xf numFmtId="0" fontId="2" fillId="12" borderId="3" xfId="0" applyFont="1" applyFill="1" applyBorder="1" applyAlignment="1">
      <alignment horizontal="center" vertical="center"/>
    </xf>
    <xf numFmtId="0" fontId="2" fillId="12" borderId="4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12" borderId="18" xfId="0" applyFont="1" applyFill="1" applyBorder="1" applyAlignment="1" applyProtection="1">
      <alignment horizontal="center" vertical="center"/>
    </xf>
    <xf numFmtId="0" fontId="2" fillId="12" borderId="19" xfId="0" applyFont="1" applyFill="1" applyBorder="1" applyAlignment="1" applyProtection="1">
      <alignment horizontal="center" vertical="center"/>
    </xf>
    <xf numFmtId="0" fontId="2" fillId="5" borderId="1" xfId="0" applyFont="1" applyFill="1" applyBorder="1" applyAlignment="1" applyProtection="1">
      <alignment horizontal="center" vertical="center"/>
    </xf>
    <xf numFmtId="1" fontId="2" fillId="10" borderId="1" xfId="0" applyNumberFormat="1" applyFont="1" applyFill="1" applyBorder="1" applyAlignment="1" applyProtection="1">
      <alignment horizontal="center" vertical="center"/>
    </xf>
    <xf numFmtId="0" fontId="2" fillId="11" borderId="9" xfId="0" applyFont="1" applyFill="1" applyBorder="1" applyAlignment="1" applyProtection="1">
      <alignment horizontal="center" vertical="center"/>
    </xf>
    <xf numFmtId="0" fontId="2" fillId="11" borderId="6" xfId="0" applyFont="1" applyFill="1" applyBorder="1" applyAlignment="1" applyProtection="1">
      <alignment horizontal="center" vertical="center"/>
    </xf>
    <xf numFmtId="0" fontId="2" fillId="11" borderId="18" xfId="0" applyFont="1" applyFill="1" applyBorder="1" applyAlignment="1" applyProtection="1">
      <alignment horizontal="center" vertical="center"/>
    </xf>
    <xf numFmtId="0" fontId="2" fillId="11" borderId="19" xfId="0" applyFont="1" applyFill="1" applyBorder="1" applyAlignment="1" applyProtection="1">
      <alignment horizontal="center" vertical="center"/>
    </xf>
    <xf numFmtId="0" fontId="2" fillId="5" borderId="5" xfId="0" applyFont="1" applyFill="1" applyBorder="1" applyAlignment="1" applyProtection="1">
      <alignment horizontal="center" vertical="center"/>
    </xf>
    <xf numFmtId="0" fontId="2" fillId="5" borderId="9" xfId="0" applyFont="1" applyFill="1" applyBorder="1" applyAlignment="1" applyProtection="1">
      <alignment horizontal="center" vertical="center"/>
    </xf>
    <xf numFmtId="0" fontId="2" fillId="5" borderId="6" xfId="0" applyFont="1" applyFill="1" applyBorder="1" applyAlignment="1" applyProtection="1">
      <alignment horizontal="center" vertical="center"/>
    </xf>
    <xf numFmtId="1" fontId="2" fillId="10" borderId="5" xfId="0" applyNumberFormat="1" applyFont="1" applyFill="1" applyBorder="1" applyAlignment="1" applyProtection="1">
      <alignment horizontal="center" vertical="center"/>
    </xf>
    <xf numFmtId="1" fontId="2" fillId="10" borderId="9" xfId="0" applyNumberFormat="1" applyFont="1" applyFill="1" applyBorder="1" applyAlignment="1" applyProtection="1">
      <alignment horizontal="center" vertical="center"/>
    </xf>
    <xf numFmtId="1" fontId="2" fillId="10" borderId="6" xfId="0" applyNumberFormat="1" applyFont="1" applyFill="1" applyBorder="1" applyAlignment="1" applyProtection="1">
      <alignment horizontal="center" vertical="center"/>
    </xf>
    <xf numFmtId="0" fontId="9" fillId="2" borderId="7" xfId="0" applyFont="1" applyFill="1" applyBorder="1" applyAlignment="1" applyProtection="1">
      <alignment horizontal="center"/>
    </xf>
    <xf numFmtId="0" fontId="3" fillId="2" borderId="5" xfId="0" applyFont="1" applyFill="1" applyBorder="1" applyAlignment="1" applyProtection="1">
      <alignment horizontal="center" vertical="center"/>
      <protection locked="0"/>
    </xf>
    <xf numFmtId="0" fontId="3" fillId="2" borderId="6" xfId="0" applyFont="1" applyFill="1" applyBorder="1" applyAlignment="1" applyProtection="1">
      <alignment horizontal="center" vertical="center"/>
      <protection locked="0"/>
    </xf>
    <xf numFmtId="0" fontId="2" fillId="2" borderId="5" xfId="0" applyFont="1" applyFill="1" applyBorder="1" applyAlignment="1" applyProtection="1">
      <alignment horizontal="center" vertical="center" wrapText="1"/>
    </xf>
    <xf numFmtId="0" fontId="2" fillId="2" borderId="6" xfId="0" applyFont="1" applyFill="1" applyBorder="1" applyAlignment="1" applyProtection="1">
      <alignment horizontal="center" vertical="center" wrapText="1"/>
    </xf>
    <xf numFmtId="0" fontId="2" fillId="2" borderId="1" xfId="0" applyFont="1" applyFill="1" applyBorder="1" applyAlignment="1" applyProtection="1">
      <alignment horizontal="center" wrapText="1"/>
    </xf>
    <xf numFmtId="0" fontId="13" fillId="0" borderId="7" xfId="0" applyFont="1" applyBorder="1" applyAlignment="1" applyProtection="1">
      <alignment horizontal="center"/>
      <protection locked="0"/>
    </xf>
    <xf numFmtId="0" fontId="2" fillId="2" borderId="2" xfId="0" applyFont="1" applyFill="1" applyBorder="1" applyAlignment="1" applyProtection="1">
      <alignment horizontal="center" vertical="center"/>
    </xf>
    <xf numFmtId="0" fontId="2" fillId="2" borderId="3" xfId="0" applyFont="1" applyFill="1" applyBorder="1" applyAlignment="1" applyProtection="1">
      <alignment horizontal="center" vertical="center"/>
    </xf>
    <xf numFmtId="0" fontId="2" fillId="2" borderId="4" xfId="0" applyFont="1" applyFill="1" applyBorder="1" applyAlignment="1" applyProtection="1">
      <alignment horizontal="center" vertical="center"/>
    </xf>
    <xf numFmtId="0" fontId="2" fillId="11" borderId="9" xfId="0" applyFont="1" applyFill="1" applyBorder="1" applyAlignment="1">
      <alignment horizontal="center" vertical="center"/>
    </xf>
    <xf numFmtId="0" fontId="2" fillId="11" borderId="6" xfId="0" applyFont="1" applyFill="1" applyBorder="1" applyAlignment="1">
      <alignment horizontal="center" vertical="center"/>
    </xf>
    <xf numFmtId="0" fontId="2" fillId="11" borderId="18" xfId="0" applyFont="1" applyFill="1" applyBorder="1" applyAlignment="1">
      <alignment horizontal="center" vertical="center"/>
    </xf>
    <xf numFmtId="0" fontId="2" fillId="11" borderId="19" xfId="0" applyFont="1" applyFill="1" applyBorder="1" applyAlignment="1">
      <alignment horizontal="center" vertical="center"/>
    </xf>
    <xf numFmtId="0" fontId="2" fillId="12" borderId="18" xfId="0" applyFont="1" applyFill="1" applyBorder="1" applyAlignment="1">
      <alignment horizontal="center" vertical="center"/>
    </xf>
    <xf numFmtId="0" fontId="2" fillId="12" borderId="19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wrapText="1"/>
    </xf>
    <xf numFmtId="0" fontId="11" fillId="0" borderId="26" xfId="0" applyFont="1" applyBorder="1" applyAlignment="1">
      <alignment horizontal="center" vertical="center" readingOrder="2"/>
    </xf>
    <xf numFmtId="0" fontId="11" fillId="0" borderId="29" xfId="0" applyFont="1" applyBorder="1" applyAlignment="1">
      <alignment horizontal="center" vertical="center" readingOrder="2"/>
    </xf>
    <xf numFmtId="0" fontId="2" fillId="0" borderId="7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1" fillId="0" borderId="25" xfId="0" applyFont="1" applyBorder="1" applyAlignment="1">
      <alignment horizontal="center" vertical="center" readingOrder="2"/>
    </xf>
    <xf numFmtId="0" fontId="11" fillId="0" borderId="28" xfId="0" applyFont="1" applyBorder="1" applyAlignment="1">
      <alignment horizontal="center" vertical="center" readingOrder="2"/>
    </xf>
    <xf numFmtId="0" fontId="2" fillId="0" borderId="12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1" fillId="0" borderId="24" xfId="0" applyFont="1" applyBorder="1" applyAlignment="1">
      <alignment horizontal="center" vertical="center" readingOrder="2"/>
    </xf>
    <xf numFmtId="0" fontId="11" fillId="0" borderId="27" xfId="0" applyFont="1" applyBorder="1" applyAlignment="1">
      <alignment horizontal="center" vertical="center" readingOrder="2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3" borderId="21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22" xfId="0" applyFont="1" applyFill="1" applyBorder="1" applyAlignment="1">
      <alignment horizontal="center" vertical="center"/>
    </xf>
    <xf numFmtId="0" fontId="3" fillId="3" borderId="18" xfId="0" applyFont="1" applyFill="1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3" fillId="13" borderId="5" xfId="0" applyFont="1" applyFill="1" applyBorder="1" applyAlignment="1">
      <alignment horizontal="center" vertical="center"/>
    </xf>
    <xf numFmtId="0" fontId="3" fillId="13" borderId="9" xfId="0" applyFont="1" applyFill="1" applyBorder="1" applyAlignment="1">
      <alignment horizontal="center" vertical="center"/>
    </xf>
    <xf numFmtId="0" fontId="3" fillId="13" borderId="6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</cellXfs>
  <cellStyles count="2">
    <cellStyle name="Normal" xfId="0" builtinId="0"/>
    <cellStyle name="Percent" xfId="1" builtinId="5"/>
  </cellStyles>
  <dxfs count="2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Relationship Id="rId30" Type="http://schemas.openxmlformats.org/officeDocument/2006/relationships/revisionHeaders" Target="revisions/revisionHeaders.xml"/><Relationship Id="rId35" Type="http://schemas.openxmlformats.org/officeDocument/2006/relationships/usernames" Target="revisions/userNam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jpeg"/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24</xdr:col>
      <xdr:colOff>133350</xdr:colOff>
      <xdr:row>0</xdr:row>
      <xdr:rowOff>0</xdr:rowOff>
    </xdr:from>
    <xdr:to>
      <xdr:col>25</xdr:col>
      <xdr:colOff>495301</xdr:colOff>
      <xdr:row>4</xdr:row>
      <xdr:rowOff>171450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18325925" y="0"/>
          <a:ext cx="981075" cy="9810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133350</xdr:colOff>
      <xdr:row>0</xdr:row>
      <xdr:rowOff>0</xdr:rowOff>
    </xdr:from>
    <xdr:to>
      <xdr:col>16</xdr:col>
      <xdr:colOff>542925</xdr:colOff>
      <xdr:row>3</xdr:row>
      <xdr:rowOff>352425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24460025" y="0"/>
          <a:ext cx="981075" cy="9810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666750</xdr:colOff>
      <xdr:row>0</xdr:row>
      <xdr:rowOff>0</xdr:rowOff>
    </xdr:from>
    <xdr:to>
      <xdr:col>17</xdr:col>
      <xdr:colOff>0</xdr:colOff>
      <xdr:row>5</xdr:row>
      <xdr:rowOff>104775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24545750" y="0"/>
          <a:ext cx="1066800" cy="1066800"/>
        </a:xfrm>
        <a:prstGeom prst="rect">
          <a:avLst/>
        </a:prstGeom>
      </xdr:spPr>
    </xdr:pic>
    <xdr:clientData/>
  </xdr:twoCellAnchor>
  <xdr:twoCellAnchor>
    <xdr:from>
      <xdr:col>1</xdr:col>
      <xdr:colOff>38100</xdr:colOff>
      <xdr:row>58</xdr:row>
      <xdr:rowOff>142876</xdr:rowOff>
    </xdr:from>
    <xdr:to>
      <xdr:col>5</xdr:col>
      <xdr:colOff>171450</xdr:colOff>
      <xdr:row>65</xdr:row>
      <xdr:rowOff>38101</xdr:rowOff>
    </xdr:to>
    <xdr:sp macro="" textlink="">
      <xdr:nvSpPr>
        <xdr:cNvPr id="4" name="TextBox 3"/>
        <xdr:cNvSpPr txBox="1"/>
      </xdr:nvSpPr>
      <xdr:spPr>
        <a:xfrm>
          <a:off x="11231632350" y="13658851"/>
          <a:ext cx="3181350" cy="10287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r" rtl="1"/>
          <a:r>
            <a:rPr lang="ar-EG" sz="1800" b="1"/>
            <a:t>التوقيع (                                   )</a:t>
          </a:r>
        </a:p>
        <a:p>
          <a:pPr algn="r" rtl="1"/>
          <a:r>
            <a:rPr lang="ar-EG" sz="1800" b="1"/>
            <a:t>عـــــــميد / أســــامـة فـتـحـي صـــــقـــر</a:t>
          </a:r>
        </a:p>
        <a:p>
          <a:pPr algn="r" rtl="1"/>
          <a:r>
            <a:rPr lang="ar-EG" sz="1800" b="1"/>
            <a:t>رئـــــيس فـــــرع الإمــــداد والـتـــوزيـع</a:t>
          </a:r>
        </a:p>
      </xdr:txBody>
    </xdr:sp>
    <xdr:clientData/>
  </xdr:twoCellAnchor>
  <xdr:twoCellAnchor>
    <xdr:from>
      <xdr:col>11</xdr:col>
      <xdr:colOff>314325</xdr:colOff>
      <xdr:row>61</xdr:row>
      <xdr:rowOff>28575</xdr:rowOff>
    </xdr:from>
    <xdr:to>
      <xdr:col>16</xdr:col>
      <xdr:colOff>381001</xdr:colOff>
      <xdr:row>67</xdr:row>
      <xdr:rowOff>114300</xdr:rowOff>
    </xdr:to>
    <xdr:sp macro="" textlink="">
      <xdr:nvSpPr>
        <xdr:cNvPr id="5" name="TextBox 4"/>
        <xdr:cNvSpPr txBox="1"/>
      </xdr:nvSpPr>
      <xdr:spPr>
        <a:xfrm>
          <a:off x="11224555274" y="14030325"/>
          <a:ext cx="3362326" cy="10572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r" rtl="1"/>
          <a:r>
            <a:rPr lang="ar-EG" sz="1800" b="1"/>
            <a:t>التوقيع (                                   )</a:t>
          </a:r>
        </a:p>
        <a:p>
          <a:pPr algn="r" rtl="1"/>
          <a:r>
            <a:rPr lang="ar-EG" sz="1800" b="1"/>
            <a:t>عــــقيد / خـــالد</a:t>
          </a:r>
          <a:r>
            <a:rPr lang="ar-EG" sz="1800" b="1" baseline="0"/>
            <a:t> عبدالحميد مــحمد سعــد</a:t>
          </a:r>
          <a:endParaRPr lang="ar-EG" sz="1800" b="1"/>
        </a:p>
        <a:p>
          <a:pPr algn="r" rtl="1"/>
          <a:r>
            <a:rPr lang="ar-EG" sz="1800" b="1"/>
            <a:t>مـــدير إدارة</a:t>
          </a:r>
          <a:r>
            <a:rPr lang="ar-EG" sz="1800" b="1" baseline="0"/>
            <a:t> محطــات وقــــود شــل أوت</a:t>
          </a:r>
          <a:endParaRPr lang="ar-EG" sz="1800" b="1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0</xdr:row>
      <xdr:rowOff>95250</xdr:rowOff>
    </xdr:from>
    <xdr:to>
      <xdr:col>2</xdr:col>
      <xdr:colOff>2188027</xdr:colOff>
      <xdr:row>5</xdr:row>
      <xdr:rowOff>131362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48661437" y="95250"/>
          <a:ext cx="2487384" cy="920576"/>
        </a:xfrm>
        <a:prstGeom prst="rect">
          <a:avLst/>
        </a:prstGeom>
      </xdr:spPr>
    </xdr:pic>
    <xdr:clientData/>
  </xdr:twoCellAnchor>
  <xdr:twoCellAnchor editAs="oneCell">
    <xdr:from>
      <xdr:col>7</xdr:col>
      <xdr:colOff>340178</xdr:colOff>
      <xdr:row>0</xdr:row>
      <xdr:rowOff>95251</xdr:rowOff>
    </xdr:from>
    <xdr:to>
      <xdr:col>7</xdr:col>
      <xdr:colOff>1269893</xdr:colOff>
      <xdr:row>4</xdr:row>
      <xdr:rowOff>159524</xdr:rowOff>
    </xdr:to>
    <xdr:pic>
      <xdr:nvPicPr>
        <xdr:cNvPr id="6" name="Picture 5" descr="C:\Users\A7med Rasheed\Desktop\نمازج مذكرات\watanya_logo_Final.jp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42966500" y="95251"/>
          <a:ext cx="929715" cy="77184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660400</xdr:colOff>
      <xdr:row>0</xdr:row>
      <xdr:rowOff>76200</xdr:rowOff>
    </xdr:from>
    <xdr:to>
      <xdr:col>11</xdr:col>
      <xdr:colOff>555625</xdr:colOff>
      <xdr:row>4</xdr:row>
      <xdr:rowOff>142875</xdr:rowOff>
    </xdr:to>
    <xdr:pic>
      <xdr:nvPicPr>
        <xdr:cNvPr id="2" name="Picture 1" descr="C:\Users\A7med Rasheed\Desktop\نمازج مذكرات\watanya_logo_Final.jp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8047775" y="76200"/>
          <a:ext cx="914400" cy="790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53974</xdr:colOff>
      <xdr:row>0</xdr:row>
      <xdr:rowOff>127001</xdr:rowOff>
    </xdr:from>
    <xdr:to>
      <xdr:col>3</xdr:col>
      <xdr:colOff>381000</xdr:colOff>
      <xdr:row>4</xdr:row>
      <xdr:rowOff>127001</xdr:rowOff>
    </xdr:to>
    <xdr:sp macro="" textlink="">
      <xdr:nvSpPr>
        <xdr:cNvPr id="3" name="AutoShape 1"/>
        <xdr:cNvSpPr>
          <a:spLocks noChangeArrowheads="1"/>
        </xdr:cNvSpPr>
      </xdr:nvSpPr>
      <xdr:spPr bwMode="auto">
        <a:xfrm>
          <a:off x="11235213750" y="127001"/>
          <a:ext cx="2765426" cy="723900"/>
        </a:xfrm>
        <a:prstGeom prst="roundRect">
          <a:avLst>
            <a:gd name="adj" fmla="val 16667"/>
          </a:avLst>
        </a:prstGeom>
        <a:solidFill>
          <a:srgbClr val="FFFFFF"/>
        </a:solidFill>
        <a:ln w="9525">
          <a:solidFill>
            <a:srgbClr val="8C0C00"/>
          </a:solidFill>
          <a:round/>
          <a:headEnd/>
          <a:tailEnd/>
        </a:ln>
      </xdr:spPr>
      <xdr:txBody>
        <a:bodyPr wrap="square" lIns="91440" tIns="45720" rIns="91440" bIns="45720" anchor="t" upright="1">
          <a:noAutofit/>
        </a:bodyPr>
        <a:lstStyle/>
        <a:p>
          <a:pPr algn="ctr" rtl="1">
            <a:spcAft>
              <a:spcPts val="0"/>
            </a:spcAft>
          </a:pPr>
          <a:r>
            <a:rPr lang="ar-EG" sz="1100" b="1">
              <a:solidFill>
                <a:srgbClr val="000000"/>
              </a:solidFill>
              <a:effectLst/>
              <a:latin typeface="mohammad bold art 1" pitchFamily="2" charset="-78"/>
              <a:ea typeface="Times New Roman" panose="02020603050405020304" pitchFamily="18" charset="0"/>
              <a:cs typeface="Arial" panose="020B0604020202020204" pitchFamily="34" charset="0"/>
            </a:rPr>
            <a:t>وزارة الدفـــــــــاع</a:t>
          </a:r>
          <a:endParaRPr lang="en-US" sz="1200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  <a:p>
          <a:pPr algn="ctr" rtl="1">
            <a:spcAft>
              <a:spcPts val="0"/>
            </a:spcAft>
          </a:pPr>
          <a:r>
            <a:rPr lang="ar-EG" sz="1000" b="1">
              <a:solidFill>
                <a:srgbClr val="000000"/>
              </a:solidFill>
              <a:effectLst/>
              <a:latin typeface="mohammad bold art 1" pitchFamily="2" charset="-78"/>
              <a:ea typeface="Times New Roman" panose="02020603050405020304" pitchFamily="18" charset="0"/>
              <a:cs typeface="Arial" panose="020B0604020202020204" pitchFamily="34" charset="0"/>
            </a:rPr>
            <a:t>الشركــة الوطنيـة لإنشاء وتنمية وإدارةالطــرق</a:t>
          </a:r>
          <a:endParaRPr lang="en-US" sz="1200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  <a:p>
          <a:pPr algn="ctr" rtl="1">
            <a:spcAft>
              <a:spcPts val="0"/>
            </a:spcAft>
          </a:pPr>
          <a:r>
            <a:rPr lang="ar-EG" sz="1000" b="1">
              <a:solidFill>
                <a:srgbClr val="000000"/>
              </a:solidFill>
              <a:effectLst/>
              <a:latin typeface="mohammad bold art 1" pitchFamily="2" charset="-78"/>
              <a:ea typeface="Times New Roman" panose="02020603050405020304" pitchFamily="18" charset="0"/>
              <a:cs typeface="Arial" panose="020B0604020202020204" pitchFamily="34" charset="0"/>
            </a:rPr>
            <a:t>ادارة محطــــات وقـــــود شـــــــــــــــــل اوت</a:t>
          </a:r>
          <a:endParaRPr lang="en-US" sz="1200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  <a:p>
          <a:pPr algn="ctr" rtl="1">
            <a:spcAft>
              <a:spcPts val="0"/>
            </a:spcAft>
          </a:pPr>
          <a:r>
            <a:rPr lang="ar-EG" sz="1100" b="1">
              <a:solidFill>
                <a:srgbClr val="000000"/>
              </a:solidFill>
              <a:effectLst/>
              <a:latin typeface="mohammad bold art 1" pitchFamily="2" charset="-78"/>
              <a:ea typeface="Times New Roman" panose="02020603050405020304" pitchFamily="18" charset="0"/>
              <a:cs typeface="Arial" panose="020B0604020202020204" pitchFamily="34" charset="0"/>
            </a:rPr>
            <a:t>التــاريــــــــــــــــخ   :</a:t>
          </a:r>
          <a:r>
            <a:rPr lang="en-US" sz="1100" b="1">
              <a:solidFill>
                <a:srgbClr val="000000"/>
              </a:solidFill>
              <a:effectLst/>
              <a:latin typeface="mohammad bold art 1" pitchFamily="2" charset="-78"/>
              <a:ea typeface="Times New Roman" panose="02020603050405020304" pitchFamily="18" charset="0"/>
              <a:cs typeface="Arial" panose="020B0604020202020204" pitchFamily="34" charset="0"/>
            </a:rPr>
            <a:t>   </a:t>
          </a:r>
          <a:r>
            <a:rPr lang="en-US" sz="1100" b="1">
              <a:solidFill>
                <a:srgbClr val="000000"/>
              </a:solidFill>
              <a:effectLst/>
              <a:latin typeface="Calibri" panose="020F0502020204030204" pitchFamily="34" charset="0"/>
              <a:ea typeface="Times New Roman" panose="02020603050405020304" pitchFamily="18" charset="0"/>
              <a:cs typeface="Arial" panose="020B0604020202020204" pitchFamily="34" charset="0"/>
            </a:rPr>
            <a:t> </a:t>
          </a:r>
          <a:r>
            <a:rPr lang="en-US" sz="1100" b="1">
              <a:solidFill>
                <a:srgbClr val="000000"/>
              </a:solidFill>
              <a:effectLst/>
              <a:latin typeface="mohammad bold art 1" pitchFamily="2" charset="-78"/>
              <a:ea typeface="Times New Roman" panose="02020603050405020304" pitchFamily="18" charset="0"/>
              <a:cs typeface="Arial" panose="020B0604020202020204" pitchFamily="34" charset="0"/>
            </a:rPr>
            <a:t>/</a:t>
          </a:r>
          <a:r>
            <a:rPr lang="en-US" sz="1100" b="1">
              <a:solidFill>
                <a:srgbClr val="000000"/>
              </a:solidFill>
              <a:effectLst/>
              <a:latin typeface="Calibri" panose="020F0502020204030204" pitchFamily="34" charset="0"/>
              <a:ea typeface="Times New Roman" panose="02020603050405020304" pitchFamily="18" charset="0"/>
              <a:cs typeface="Arial" panose="020B0604020202020204" pitchFamily="34" charset="0"/>
            </a:rPr>
            <a:t> </a:t>
          </a:r>
          <a:r>
            <a:rPr lang="en-US" sz="1100" b="1">
              <a:solidFill>
                <a:srgbClr val="000000"/>
              </a:solidFill>
              <a:effectLst/>
              <a:latin typeface="mohammad bold art 1" pitchFamily="2" charset="-78"/>
              <a:ea typeface="Times New Roman" panose="02020603050405020304" pitchFamily="18" charset="0"/>
              <a:cs typeface="Arial" panose="020B0604020202020204" pitchFamily="34" charset="0"/>
            </a:rPr>
            <a:t>    </a:t>
          </a:r>
          <a:r>
            <a:rPr lang="en-US" sz="1100" b="1">
              <a:solidFill>
                <a:srgbClr val="000000"/>
              </a:solidFill>
              <a:effectLst/>
              <a:latin typeface="Calibri" panose="020F0502020204030204" pitchFamily="34" charset="0"/>
              <a:ea typeface="Times New Roman" panose="02020603050405020304" pitchFamily="18" charset="0"/>
              <a:cs typeface="Arial" panose="020B0604020202020204" pitchFamily="34" charset="0"/>
            </a:rPr>
            <a:t>   </a:t>
          </a:r>
          <a:r>
            <a:rPr lang="en-US" sz="1100" b="1">
              <a:solidFill>
                <a:srgbClr val="000000"/>
              </a:solidFill>
              <a:effectLst/>
              <a:latin typeface="mohammad bold art 1" pitchFamily="2" charset="-78"/>
              <a:ea typeface="Times New Roman" panose="02020603050405020304" pitchFamily="18" charset="0"/>
              <a:cs typeface="Arial" panose="020B0604020202020204" pitchFamily="34" charset="0"/>
            </a:rPr>
            <a:t>/   </a:t>
          </a:r>
          <a:endParaRPr lang="en-US" sz="1200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</xdr:txBody>
    </xdr:sp>
    <xdr:clientData/>
  </xdr:twoCellAnchor>
  <xdr:twoCellAnchor editAs="oneCell">
    <xdr:from>
      <xdr:col>10</xdr:col>
      <xdr:colOff>660400</xdr:colOff>
      <xdr:row>0</xdr:row>
      <xdr:rowOff>76200</xdr:rowOff>
    </xdr:from>
    <xdr:to>
      <xdr:col>11</xdr:col>
      <xdr:colOff>555625</xdr:colOff>
      <xdr:row>4</xdr:row>
      <xdr:rowOff>142875</xdr:rowOff>
    </xdr:to>
    <xdr:pic>
      <xdr:nvPicPr>
        <xdr:cNvPr id="4" name="Picture 3" descr="C:\Users\A7med Rasheed\Desktop\نمازج مذكرات\watanya_logo_Final.jp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8047775" y="76200"/>
          <a:ext cx="914400" cy="790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53974</xdr:colOff>
      <xdr:row>0</xdr:row>
      <xdr:rowOff>127000</xdr:rowOff>
    </xdr:from>
    <xdr:to>
      <xdr:col>3</xdr:col>
      <xdr:colOff>381000</xdr:colOff>
      <xdr:row>5</xdr:row>
      <xdr:rowOff>66674</xdr:rowOff>
    </xdr:to>
    <xdr:sp macro="" textlink="">
      <xdr:nvSpPr>
        <xdr:cNvPr id="5" name="AutoShape 1"/>
        <xdr:cNvSpPr>
          <a:spLocks noChangeArrowheads="1"/>
        </xdr:cNvSpPr>
      </xdr:nvSpPr>
      <xdr:spPr bwMode="auto">
        <a:xfrm>
          <a:off x="11235975750" y="127000"/>
          <a:ext cx="3060701" cy="844549"/>
        </a:xfrm>
        <a:prstGeom prst="roundRect">
          <a:avLst>
            <a:gd name="adj" fmla="val 16667"/>
          </a:avLst>
        </a:prstGeom>
        <a:solidFill>
          <a:srgbClr val="FFFFFF"/>
        </a:solidFill>
        <a:ln w="9525">
          <a:solidFill>
            <a:srgbClr val="8C0C00"/>
          </a:solidFill>
          <a:round/>
          <a:headEnd/>
          <a:tailEnd/>
        </a:ln>
      </xdr:spPr>
      <xdr:txBody>
        <a:bodyPr wrap="square" lIns="91440" tIns="45720" rIns="91440" bIns="45720" anchor="t" upright="1">
          <a:noAutofit/>
        </a:bodyPr>
        <a:lstStyle/>
        <a:p>
          <a:pPr algn="ctr" rtl="1">
            <a:spcAft>
              <a:spcPts val="0"/>
            </a:spcAft>
          </a:pPr>
          <a:r>
            <a:rPr lang="ar-EG" sz="1100" b="1">
              <a:solidFill>
                <a:srgbClr val="000000"/>
              </a:solidFill>
              <a:effectLst/>
              <a:latin typeface="mohammad bold art 1" pitchFamily="2" charset="-78"/>
              <a:ea typeface="Times New Roman" panose="02020603050405020304" pitchFamily="18" charset="0"/>
              <a:cs typeface="Arial" panose="020B0604020202020204" pitchFamily="34" charset="0"/>
            </a:rPr>
            <a:t>وزارة الدفـــــــــاع</a:t>
          </a:r>
          <a:endParaRPr lang="en-US" sz="1200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  <a:p>
          <a:pPr algn="ctr" rtl="1">
            <a:spcAft>
              <a:spcPts val="0"/>
            </a:spcAft>
          </a:pPr>
          <a:r>
            <a:rPr lang="ar-EG" sz="1000" b="1">
              <a:solidFill>
                <a:srgbClr val="000000"/>
              </a:solidFill>
              <a:effectLst/>
              <a:latin typeface="mohammad bold art 1" pitchFamily="2" charset="-78"/>
              <a:ea typeface="Times New Roman" panose="02020603050405020304" pitchFamily="18" charset="0"/>
              <a:cs typeface="Arial" panose="020B0604020202020204" pitchFamily="34" charset="0"/>
            </a:rPr>
            <a:t>الشركــة الوطنيـة لإنشاء وتنمية وإدارةالطــرق</a:t>
          </a:r>
          <a:endParaRPr lang="en-US" sz="1200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  <a:p>
          <a:pPr algn="ctr" rtl="1">
            <a:spcAft>
              <a:spcPts val="0"/>
            </a:spcAft>
          </a:pPr>
          <a:r>
            <a:rPr lang="ar-EG" sz="1000" b="1">
              <a:solidFill>
                <a:srgbClr val="000000"/>
              </a:solidFill>
              <a:effectLst/>
              <a:latin typeface="mohammad bold art 1" pitchFamily="2" charset="-78"/>
              <a:ea typeface="Times New Roman" panose="02020603050405020304" pitchFamily="18" charset="0"/>
              <a:cs typeface="Arial" panose="020B0604020202020204" pitchFamily="34" charset="0"/>
            </a:rPr>
            <a:t>ادارة محطــــات وقـــــود شـــــــــــــــــل اوت</a:t>
          </a:r>
          <a:endParaRPr lang="en-US" sz="1200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  <a:p>
          <a:pPr algn="ctr" rtl="1">
            <a:spcAft>
              <a:spcPts val="0"/>
            </a:spcAft>
          </a:pPr>
          <a:r>
            <a:rPr lang="ar-EG" sz="1100" b="1">
              <a:solidFill>
                <a:srgbClr val="000000"/>
              </a:solidFill>
              <a:effectLst/>
              <a:latin typeface="mohammad bold art 1" pitchFamily="2" charset="-78"/>
              <a:ea typeface="Times New Roman" panose="02020603050405020304" pitchFamily="18" charset="0"/>
              <a:cs typeface="Arial" panose="020B0604020202020204" pitchFamily="34" charset="0"/>
            </a:rPr>
            <a:t>التــاريــــــــــــــــخ   :</a:t>
          </a:r>
          <a:r>
            <a:rPr lang="en-US" sz="1100" b="1">
              <a:solidFill>
                <a:srgbClr val="000000"/>
              </a:solidFill>
              <a:effectLst/>
              <a:latin typeface="mohammad bold art 1" pitchFamily="2" charset="-78"/>
              <a:ea typeface="Times New Roman" panose="02020603050405020304" pitchFamily="18" charset="0"/>
              <a:cs typeface="Arial" panose="020B0604020202020204" pitchFamily="34" charset="0"/>
            </a:rPr>
            <a:t>   </a:t>
          </a:r>
          <a:r>
            <a:rPr lang="en-US" sz="1100" b="1">
              <a:solidFill>
                <a:srgbClr val="000000"/>
              </a:solidFill>
              <a:effectLst/>
              <a:latin typeface="Calibri" panose="020F0502020204030204" pitchFamily="34" charset="0"/>
              <a:ea typeface="Times New Roman" panose="02020603050405020304" pitchFamily="18" charset="0"/>
              <a:cs typeface="Arial" panose="020B0604020202020204" pitchFamily="34" charset="0"/>
            </a:rPr>
            <a:t> </a:t>
          </a:r>
          <a:r>
            <a:rPr lang="en-US" sz="1100" b="1">
              <a:solidFill>
                <a:srgbClr val="000000"/>
              </a:solidFill>
              <a:effectLst/>
              <a:latin typeface="mohammad bold art 1" pitchFamily="2" charset="-78"/>
              <a:ea typeface="Times New Roman" panose="02020603050405020304" pitchFamily="18" charset="0"/>
              <a:cs typeface="Arial" panose="020B0604020202020204" pitchFamily="34" charset="0"/>
            </a:rPr>
            <a:t>/</a:t>
          </a:r>
          <a:r>
            <a:rPr lang="en-US" sz="1100" b="1">
              <a:solidFill>
                <a:srgbClr val="000000"/>
              </a:solidFill>
              <a:effectLst/>
              <a:latin typeface="Calibri" panose="020F0502020204030204" pitchFamily="34" charset="0"/>
              <a:ea typeface="Times New Roman" panose="02020603050405020304" pitchFamily="18" charset="0"/>
              <a:cs typeface="Arial" panose="020B0604020202020204" pitchFamily="34" charset="0"/>
            </a:rPr>
            <a:t> </a:t>
          </a:r>
          <a:r>
            <a:rPr lang="en-US" sz="1100" b="1">
              <a:solidFill>
                <a:srgbClr val="000000"/>
              </a:solidFill>
              <a:effectLst/>
              <a:latin typeface="mohammad bold art 1" pitchFamily="2" charset="-78"/>
              <a:ea typeface="Times New Roman" panose="02020603050405020304" pitchFamily="18" charset="0"/>
              <a:cs typeface="Arial" panose="020B0604020202020204" pitchFamily="34" charset="0"/>
            </a:rPr>
            <a:t>    </a:t>
          </a:r>
          <a:r>
            <a:rPr lang="en-US" sz="1100" b="1">
              <a:solidFill>
                <a:srgbClr val="000000"/>
              </a:solidFill>
              <a:effectLst/>
              <a:latin typeface="Calibri" panose="020F0502020204030204" pitchFamily="34" charset="0"/>
              <a:ea typeface="Times New Roman" panose="02020603050405020304" pitchFamily="18" charset="0"/>
              <a:cs typeface="Arial" panose="020B0604020202020204" pitchFamily="34" charset="0"/>
            </a:rPr>
            <a:t>   </a:t>
          </a:r>
          <a:r>
            <a:rPr lang="en-US" sz="1100" b="1">
              <a:solidFill>
                <a:srgbClr val="000000"/>
              </a:solidFill>
              <a:effectLst/>
              <a:latin typeface="mohammad bold art 1" pitchFamily="2" charset="-78"/>
              <a:ea typeface="Times New Roman" panose="02020603050405020304" pitchFamily="18" charset="0"/>
              <a:cs typeface="Arial" panose="020B0604020202020204" pitchFamily="34" charset="0"/>
            </a:rPr>
            <a:t>/   </a:t>
          </a:r>
          <a:endParaRPr lang="en-US" sz="1200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27517</xdr:colOff>
      <xdr:row>0</xdr:row>
      <xdr:rowOff>0</xdr:rowOff>
    </xdr:from>
    <xdr:to>
      <xdr:col>21</xdr:col>
      <xdr:colOff>421216</xdr:colOff>
      <xdr:row>4</xdr:row>
      <xdr:rowOff>171450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4911450" y="0"/>
          <a:ext cx="912283" cy="98636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48684</xdr:colOff>
      <xdr:row>0</xdr:row>
      <xdr:rowOff>0</xdr:rowOff>
    </xdr:from>
    <xdr:to>
      <xdr:col>21</xdr:col>
      <xdr:colOff>516467</xdr:colOff>
      <xdr:row>4</xdr:row>
      <xdr:rowOff>171450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4847949" y="0"/>
          <a:ext cx="912283" cy="98636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605;&#1587;&#1581;&#1608;&#1576;&#1575;&#1578;%20&#1575;&#1604;&#1605;&#1587;&#1578;&#1608;&#1583;&#1593;&#1575;&#1578;%20&#1608;&#1575;&#1604;&#1578;&#1581;&#1608;&#1610;&#1604;&#1575;&#157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ember 2018"/>
      <sheetName val="كوتة الاكسيل"/>
      <sheetName val="التعاون"/>
      <sheetName val="التعاون.ملخص"/>
      <sheetName val="التعاون ملخص"/>
      <sheetName val="موبيل.ملخص"/>
      <sheetName val="موبيل"/>
      <sheetName val="موبيل ملخص"/>
      <sheetName val="مصر للبترول"/>
      <sheetName val="مصرملخص"/>
      <sheetName val="مصر ملخص"/>
      <sheetName val="طاقة"/>
      <sheetName val="ملخص طاقة"/>
      <sheetName val="تقفيل الشهر"/>
      <sheetName val="Chart1"/>
      <sheetName val="شركات"/>
      <sheetName val="Chart3"/>
      <sheetName val="Sheet1"/>
      <sheetName val="مستودعات"/>
    </sheetNames>
    <sheetDataSet>
      <sheetData sheetId="0"/>
      <sheetData sheetId="1">
        <row r="15">
          <cell r="B15">
            <v>0</v>
          </cell>
          <cell r="F15">
            <v>0</v>
          </cell>
          <cell r="J15">
            <v>0</v>
          </cell>
          <cell r="N15">
            <v>0</v>
          </cell>
        </row>
      </sheetData>
      <sheetData sheetId="2"/>
      <sheetData sheetId="3">
        <row r="2">
          <cell r="D2">
            <v>1256</v>
          </cell>
        </row>
        <row r="3">
          <cell r="D3">
            <v>2504</v>
          </cell>
        </row>
        <row r="4">
          <cell r="D4">
            <v>843</v>
          </cell>
        </row>
        <row r="5">
          <cell r="D5">
            <v>1735</v>
          </cell>
        </row>
        <row r="6">
          <cell r="D6">
            <v>0</v>
          </cell>
        </row>
        <row r="7">
          <cell r="D7">
            <v>149</v>
          </cell>
        </row>
        <row r="8">
          <cell r="D8">
            <v>83</v>
          </cell>
        </row>
        <row r="9">
          <cell r="D9">
            <v>215</v>
          </cell>
        </row>
        <row r="10">
          <cell r="D10">
            <v>0</v>
          </cell>
        </row>
        <row r="11">
          <cell r="D11" t="e">
            <v>#VALUE!</v>
          </cell>
        </row>
      </sheetData>
      <sheetData sheetId="4"/>
      <sheetData sheetId="5">
        <row r="2">
          <cell r="D2" t="e">
            <v>#REF!</v>
          </cell>
        </row>
        <row r="3">
          <cell r="D3" t="e">
            <v>#REF!</v>
          </cell>
        </row>
        <row r="4">
          <cell r="D4" t="e">
            <v>#REF!</v>
          </cell>
        </row>
        <row r="5">
          <cell r="D5" t="e">
            <v>#REF!</v>
          </cell>
        </row>
        <row r="6">
          <cell r="D6" t="e">
            <v>#REF!</v>
          </cell>
        </row>
        <row r="7">
          <cell r="D7" t="e">
            <v>#REF!</v>
          </cell>
        </row>
        <row r="8">
          <cell r="D8" t="e">
            <v>#REF!</v>
          </cell>
        </row>
        <row r="9">
          <cell r="D9" t="e">
            <v>#REF!</v>
          </cell>
        </row>
        <row r="10">
          <cell r="D10" t="e">
            <v>#REF!</v>
          </cell>
        </row>
      </sheetData>
      <sheetData sheetId="6"/>
      <sheetData sheetId="7"/>
      <sheetData sheetId="8"/>
      <sheetData sheetId="9">
        <row r="2">
          <cell r="D2">
            <v>0</v>
          </cell>
        </row>
        <row r="3">
          <cell r="D3" t="e">
            <v>#VALUE!</v>
          </cell>
        </row>
        <row r="4">
          <cell r="D4">
            <v>0</v>
          </cell>
        </row>
        <row r="6">
          <cell r="D6">
            <v>0</v>
          </cell>
        </row>
        <row r="7">
          <cell r="D7">
            <v>0</v>
          </cell>
        </row>
        <row r="8">
          <cell r="D8">
            <v>0</v>
          </cell>
        </row>
        <row r="9">
          <cell r="D9">
            <v>0</v>
          </cell>
        </row>
      </sheetData>
      <sheetData sheetId="10"/>
      <sheetData sheetId="11"/>
      <sheetData sheetId="12"/>
      <sheetData sheetId="13"/>
      <sheetData sheetId="15"/>
      <sheetData sheetId="17"/>
      <sheetData sheetId="18"/>
    </sheetDataSet>
  </externalBook>
</externalLink>
</file>

<file path=xl/revisions/_rels/revisionHeaders.xml.rels><?xml version="1.0" encoding="UTF-8" standalone="yes"?>
<Relationships xmlns="http://schemas.openxmlformats.org/package/2006/relationships"><Relationship Id="rId8" Type="http://schemas.openxmlformats.org/officeDocument/2006/relationships/revisionLog" Target="revisionLog8.xml"/><Relationship Id="rId3" Type="http://schemas.openxmlformats.org/officeDocument/2006/relationships/revisionLog" Target="revisionLog3.xml"/><Relationship Id="rId7" Type="http://schemas.openxmlformats.org/officeDocument/2006/relationships/revisionLog" Target="revisionLog7.xml"/><Relationship Id="rId2" Type="http://schemas.openxmlformats.org/officeDocument/2006/relationships/revisionLog" Target="revisionLog2.xml"/><Relationship Id="rId1" Type="http://schemas.openxmlformats.org/officeDocument/2006/relationships/revisionLog" Target="revisionLog1.xml"/><Relationship Id="rId6" Type="http://schemas.openxmlformats.org/officeDocument/2006/relationships/revisionLog" Target="revisionLog6.xml"/><Relationship Id="rId5" Type="http://schemas.openxmlformats.org/officeDocument/2006/relationships/revisionLog" Target="revisionLog5.xml"/><Relationship Id="rId4" Type="http://schemas.openxmlformats.org/officeDocument/2006/relationships/revisionLog" Target="revisionLog4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C31E9B15-7AEA-4AF3-A9ED-1A70A8E9EE88}" diskRevisions="1" revisionId="124" version="8">
  <header guid="{12B49837-D9E0-4598-86D3-A34424DC9592}" dateTime="2019-09-10T11:52:40" maxSheetId="25" userName="pp" r:id="rId1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56CAF80C-310E-47A4-9BD8-C09B71E0F141}" dateTime="2019-09-10T13:20:52" maxSheetId="25" userName="pp" r:id="rId2" minRId="1" maxRId="6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88233CAB-505E-4B11-8FEA-51266A85DD4D}" dateTime="2019-09-10T14:10:58" maxSheetId="25" userName="pp" r:id="rId3" minRId="7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5AF3E772-855F-4D86-9D53-35BDCFB2B531}" dateTime="2019-09-10T20:23:14" maxSheetId="25" userName="pp" r:id="rId4" minRId="8" maxRId="73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220BA9B8-76A9-43A5-AE9F-75B459600A3F}" dateTime="2019-09-10T22:43:45" maxSheetId="25" userName="pp" r:id="rId5" minRId="74" maxRId="79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9B98DDC7-E7A5-4F7D-A20B-FB2E0DCCC32F}" dateTime="2019-09-11T00:31:20" maxSheetId="25" userName="pp" r:id="rId6" minRId="80" maxRId="82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073B5FE5-1CA5-4842-90E5-59AF72899140}" dateTime="2019-09-11T00:32:03" maxSheetId="25" userName="pp" r:id="rId7" minRId="83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C31E9B15-7AEA-4AF3-A9ED-1A70A8E9EE88}" dateTime="2019-09-11T01:20:06" maxSheetId="25" userName="pp" r:id="rId8" minRId="84" maxRId="124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" sId="4">
    <nc r="H5">
      <v>22359</v>
    </nc>
  </rcc>
  <rcc rId="2" sId="4">
    <nc r="K5">
      <v>6934</v>
    </nc>
  </rcc>
  <rcc rId="3" sId="4" numFmtId="4">
    <nc r="O5">
      <v>1950</v>
    </nc>
  </rcc>
  <rcc rId="4" sId="4">
    <nc r="F5">
      <v>85</v>
    </nc>
  </rcc>
  <rcc rId="5" sId="4">
    <nc r="I5">
      <v>24</v>
    </nc>
  </rcc>
  <rcc rId="6" sId="4">
    <nc r="R5" t="inlineStr">
      <is>
        <t xml:space="preserve">النقيب اسماعيل </t>
      </is>
    </nc>
  </rcc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" sId="4">
    <oc r="R6" t="inlineStr">
      <is>
        <t xml:space="preserve">العقيد وائل </t>
      </is>
    </oc>
    <nc r="R6" t="inlineStr">
      <is>
        <t xml:space="preserve"> عقيد وائل </t>
      </is>
    </nc>
  </rcc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" sId="4">
    <nc r="J7">
      <v>17</v>
    </nc>
  </rcc>
  <rcc rId="9" sId="4">
    <nc r="J9">
      <v>17</v>
    </nc>
  </rcc>
  <rcc rId="10" sId="4">
    <nc r="G22">
      <v>17</v>
    </nc>
  </rcc>
  <rcc rId="11" sId="4">
    <nc r="G23">
      <v>17</v>
    </nc>
  </rcc>
  <rcc rId="12" sId="4">
    <nc r="G5">
      <v>34</v>
    </nc>
  </rcc>
  <rcc rId="13" sId="4">
    <nc r="J6">
      <v>17</v>
    </nc>
  </rcc>
  <rcc rId="14" sId="4">
    <nc r="M20">
      <v>17</v>
    </nc>
  </rcc>
  <rcc rId="15" sId="4">
    <nc r="G21">
      <v>17</v>
    </nc>
  </rcc>
  <rcc rId="16" sId="4">
    <nc r="G14">
      <v>17</v>
    </nc>
  </rcc>
  <rcc rId="17" sId="4">
    <nc r="J14">
      <v>17</v>
    </nc>
  </rcc>
  <rcc rId="18" sId="4">
    <nc r="M14">
      <v>68</v>
    </nc>
  </rcc>
  <rcc rId="19" sId="4">
    <nc r="G9">
      <v>17</v>
    </nc>
  </rcc>
  <rcc rId="20" sId="4">
    <nc r="G8">
      <v>17</v>
    </nc>
  </rcc>
  <rcc rId="21" sId="4">
    <nc r="M8">
      <v>17</v>
    </nc>
  </rcc>
  <rcc rId="22" sId="4">
    <nc r="G30">
      <v>34</v>
    </nc>
  </rcc>
  <rcc rId="23" sId="4">
    <nc r="J31">
      <v>17</v>
    </nc>
  </rcc>
  <rcc rId="24" sId="4">
    <nc r="D7">
      <v>51</v>
    </nc>
  </rcc>
  <rcc rId="25" sId="4">
    <nc r="G7">
      <v>17</v>
    </nc>
  </rcc>
  <rcc rId="26" sId="4">
    <nc r="G12">
      <v>51</v>
    </nc>
  </rcc>
  <rcc rId="27" sId="4">
    <nc r="G13">
      <v>17</v>
    </nc>
  </rcc>
  <rcc rId="28" sId="4">
    <nc r="M13">
      <v>34</v>
    </nc>
  </rcc>
  <rcc rId="29" sId="4">
    <nc r="G24">
      <v>17</v>
    </nc>
  </rcc>
  <rcc rId="30" sId="4">
    <oc r="A26">
      <v>22</v>
    </oc>
    <nc r="A26">
      <v>77</v>
    </nc>
  </rcc>
  <rcc rId="31" sId="4">
    <nc r="G26">
      <v>17</v>
    </nc>
  </rcc>
  <rcc rId="32" sId="4">
    <nc r="M26">
      <v>34</v>
    </nc>
  </rcc>
  <rcc rId="33" sId="4">
    <nc r="G10">
      <v>34</v>
    </nc>
  </rcc>
  <rcc rId="34" sId="4">
    <nc r="D10">
      <v>17</v>
    </nc>
  </rcc>
  <rcc rId="35" sId="7">
    <nc r="H5">
      <v>34</v>
    </nc>
  </rcc>
  <rcc rId="36" sId="7">
    <nc r="I7">
      <v>17</v>
    </nc>
  </rcc>
  <rcc rId="37" sId="7">
    <nc r="I8">
      <v>17</v>
    </nc>
  </rcc>
  <rcc rId="38" sId="7">
    <nc r="E40">
      <v>17</v>
    </nc>
  </rcc>
  <rcc rId="39" sId="7">
    <nc r="E41">
      <v>17</v>
    </nc>
  </rcc>
  <rcc rId="40" sId="7">
    <nc r="G40">
      <v>17</v>
    </nc>
  </rcc>
  <rcc rId="41" sId="7">
    <nc r="I30">
      <v>17</v>
    </nc>
  </rcc>
  <rcc rId="42" sId="7">
    <nc r="I31">
      <v>17</v>
    </nc>
  </rcc>
  <rcc rId="43" sId="7">
    <nc r="F31">
      <v>17</v>
    </nc>
  </rcc>
  <rcc rId="44" sId="7">
    <nc r="R5">
      <v>17</v>
    </nc>
  </rcc>
  <rcc rId="45" sId="7">
    <nc r="S5">
      <v>17</v>
    </nc>
  </rcc>
  <rcc rId="46" sId="7">
    <nc r="T5">
      <v>68</v>
    </nc>
  </rcc>
  <rcc rId="47" sId="7">
    <nc r="C15">
      <v>34</v>
    </nc>
  </rcc>
  <rcc rId="48" sId="7">
    <nc r="D15">
      <v>17</v>
    </nc>
  </rcc>
  <rcc rId="49" sId="7">
    <nc r="D16">
      <v>17</v>
    </nc>
  </rcc>
  <rcc rId="50" sId="7">
    <nc r="C16">
      <v>34</v>
    </nc>
  </rcc>
  <rcc rId="51" sId="7">
    <nc r="C10">
      <v>17</v>
    </nc>
  </rcc>
  <rcc rId="52" sId="7">
    <nc r="C9">
      <v>17</v>
    </nc>
  </rcc>
  <rcc rId="53" sId="7">
    <nc r="E9">
      <v>17</v>
    </nc>
  </rcc>
  <rcc rId="54" sId="7">
    <nc r="G8">
      <v>51</v>
    </nc>
  </rcc>
  <rcc rId="55" sId="7">
    <nc r="H8">
      <v>17</v>
    </nc>
  </rcc>
  <rcc rId="56" sId="7">
    <nc r="Q15">
      <v>51</v>
    </nc>
  </rcc>
  <rcc rId="57" sId="7">
    <nc r="Q16">
      <v>51</v>
    </nc>
  </rcc>
  <rcc rId="58" sId="7">
    <nc r="C14">
      <v>17</v>
    </nc>
  </rcc>
  <rcc rId="59" sId="7">
    <nc r="E14">
      <v>34</v>
    </nc>
  </rcc>
  <rcc rId="60" sId="7">
    <nc r="C13">
      <v>51</v>
    </nc>
  </rcc>
  <rcc rId="61" sId="7">
    <nc r="E42">
      <v>17</v>
    </nc>
  </rcc>
  <rcc rId="62" sId="7">
    <nc r="G42">
      <v>34</v>
    </nc>
  </rcc>
  <rcc rId="63" sId="7">
    <nc r="G11">
      <v>17</v>
    </nc>
  </rcc>
  <rcc rId="64" sId="7">
    <nc r="H11">
      <v>34</v>
    </nc>
  </rcc>
  <rcc rId="65" sId="7">
    <nc r="I10">
      <v>17</v>
    </nc>
  </rcc>
  <rcc rId="66" sId="4">
    <nc r="M21">
      <v>17</v>
    </nc>
  </rcc>
  <rcc rId="67" sId="4">
    <nc r="M22">
      <v>68</v>
    </nc>
  </rcc>
  <rcc rId="68" sId="4">
    <nc r="M23">
      <v>51</v>
    </nc>
  </rcc>
  <rcc rId="69" sId="4">
    <nc r="M24">
      <v>34</v>
    </nc>
  </rcc>
  <rcc rId="70" sId="4">
    <nc r="G31">
      <v>34</v>
    </nc>
  </rcc>
  <rcc rId="71" sId="4">
    <nc r="J30">
      <v>17</v>
    </nc>
  </rcc>
  <rcc rId="72" sId="7">
    <nc r="F32">
      <v>17</v>
    </nc>
  </rcc>
  <rcc rId="73" sId="7">
    <nc r="I32">
      <v>34</v>
    </nc>
  </rcc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4" sId="7">
    <nc r="C18">
      <v>51</v>
    </nc>
  </rcc>
  <rcc rId="75" sId="7">
    <oc r="C16">
      <v>34</v>
    </oc>
    <nc r="C16">
      <v>68</v>
    </nc>
  </rcc>
  <rcc rId="76" sId="7">
    <oc r="D16">
      <v>17</v>
    </oc>
    <nc r="D16">
      <v>34</v>
    </nc>
  </rcc>
  <rcc rId="77" sId="4">
    <nc r="G29">
      <v>51</v>
    </nc>
  </rcc>
  <rcc rId="78" sId="4">
    <oc r="G31">
      <v>34</v>
    </oc>
    <nc r="G31">
      <v>68</v>
    </nc>
  </rcc>
  <rcc rId="79" sId="4">
    <oc r="J31">
      <v>17</v>
    </oc>
    <nc r="J31">
      <v>34</v>
    </nc>
  </rcc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0" sId="7">
    <nc r="C17">
      <v>17</v>
    </nc>
  </rcc>
  <rcc rId="81" sId="7">
    <nc r="D18">
      <v>34</v>
    </nc>
  </rcc>
  <rcc rId="82" sId="4">
    <nc r="G28">
      <v>17</v>
    </nc>
  </rcc>
</revisions>
</file>

<file path=xl/revisions/revisionLog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3" sId="4">
    <nc r="J29">
      <v>34</v>
    </nc>
  </rcc>
</revisions>
</file>

<file path=xl/revisions/revisionLog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4" sId="3">
    <oc r="C11">
      <f>'Z:\Current Month\[مسحوبات المستودعات والتحويلات.xlsx]كوتة الاكسيل'!$F$15/30*1000</f>
    </oc>
    <nc r="C11">
      <f>'Z:\Current Month\[مسحوبات المستودعات والتحويلات.xlsx]كوتة الاكسيل'!$F$15/30*1000</f>
    </nc>
  </rcc>
  <rcc rId="85" sId="3">
    <oc r="D11">
      <f>'التمام الصباحي'!F39*1000</f>
    </oc>
    <nc r="D11">
      <f>'التمام الصباحي'!F39*1000</f>
    </nc>
  </rcc>
  <rcc rId="86" sId="3">
    <oc r="E11">
      <f>D11/C11</f>
    </oc>
    <nc r="E11">
      <f>D11/C11</f>
    </nc>
  </rcc>
  <rcc rId="87" sId="3">
    <oc r="F11">
      <f>'Z:\Current Month\[مسحوبات المستودعات والتحويلات.xlsx]كوتة الاكسيل'!$N$15/30*1000</f>
    </oc>
    <nc r="F11">
      <f>'Z:\Current Month\[مسحوبات المستودعات والتحويلات.xlsx]كوتة الاكسيل'!$N$15/30*1000</f>
    </nc>
  </rcc>
  <rcc rId="88" sId="3">
    <oc r="G11">
      <f>'التمام الصباحي'!L39*1000</f>
    </oc>
    <nc r="G11">
      <f>'التمام الصباحي'!L39*1000</f>
    </nc>
  </rcc>
  <rcc rId="89" sId="3">
    <oc r="H11">
      <f>G11/F11</f>
    </oc>
    <nc r="H11">
      <f>G11/F11</f>
    </nc>
  </rcc>
  <rcc rId="90" sId="3">
    <oc r="I11">
      <f>'Z:\Current Month\[مسحوبات المستودعات والتحويلات.xlsx]كوتة الاكسيل'!$J$15/30*1000</f>
    </oc>
    <nc r="I11">
      <f>'Z:\Current Month\[مسحوبات المستودعات والتحويلات.xlsx]كوتة الاكسيل'!$J$15/30*1000</f>
    </nc>
  </rcc>
  <rcc rId="91" sId="3">
    <oc r="J11">
      <f>'التمام الصباحي'!R39*1000</f>
    </oc>
    <nc r="J11">
      <f>'التمام الصباحي'!R39*1000</f>
    </nc>
  </rcc>
  <rcc rId="92" sId="3">
    <oc r="K11">
      <f>J11/I11</f>
    </oc>
    <nc r="K11">
      <f>J11/I11</f>
    </nc>
  </rcc>
  <rcc rId="93" sId="3">
    <oc r="L11">
      <f>'Z:\Current Month\[مسحوبات المستودعات والتحويلات.xlsx]كوتة الاكسيل'!$B$15/30*1000</f>
    </oc>
    <nc r="L11">
      <f>'Z:\Current Month\[مسحوبات المستودعات والتحويلات.xlsx]كوتة الاكسيل'!$B$15/30*1000</f>
    </nc>
  </rcc>
  <rcc rId="94" sId="14">
    <oc r="F17">
      <f>'Z:\Current Month\[مسحوبات المستودعات والتحويلات.xlsx]التعاون.ملخص'!$D$2</f>
    </oc>
    <nc r="F17">
      <f>'Z:\Current Month\[مسحوبات المستودعات والتحويلات.xlsx]التعاون.ملخص'!$D$2</f>
    </nc>
  </rcc>
  <rcc rId="95" sId="14">
    <oc r="F18">
      <f>'Z:\Current Month\[مسحوبات المستودعات والتحويلات.xlsx]التعاون.ملخص'!$D$4</f>
    </oc>
    <nc r="F18">
      <f>'Z:\Current Month\[مسحوبات المستودعات والتحويلات.xlsx]التعاون.ملخص'!$D$4</f>
    </nc>
  </rcc>
  <rcc rId="96" sId="14">
    <oc r="F19">
      <f>'Z:\Current Month\[مسحوبات المستودعات والتحويلات.xlsx]التعاون.ملخص'!$D$3</f>
    </oc>
    <nc r="F19">
      <f>'Z:\Current Month\[مسحوبات المستودعات والتحويلات.xlsx]التعاون.ملخص'!$D$3</f>
    </nc>
  </rcc>
  <rcc rId="97" sId="14">
    <oc r="F21">
      <f>'Z:\Current Month\[مسحوبات المستودعات والتحويلات.xlsx]التعاون.ملخص'!$D$5</f>
    </oc>
    <nc r="F21">
      <f>'Z:\Current Month\[مسحوبات المستودعات والتحويلات.xlsx]التعاون.ملخص'!$D$5</f>
    </nc>
  </rcc>
  <rcc rId="98" sId="16">
    <oc r="D16">
      <f>'Z:\Current Month\[مسحوبات المستودعات والتحويلات.xlsx]التعاون.ملخص'!$D$6</f>
    </oc>
    <nc r="D16">
      <f>'Z:\Current Month\[مسحوبات المستودعات والتحويلات.xlsx]التعاون.ملخص'!$D$6</f>
    </nc>
  </rcc>
  <rcc rId="99" sId="18">
    <oc r="D15">
      <f>'Z:\Current Month\[مسحوبات المستودعات والتحويلات.xlsx]التعاون.ملخص'!$D$7</f>
    </oc>
    <nc r="D15">
      <f>'Z:\Current Month\[مسحوبات المستودعات والتحويلات.xlsx]التعاون.ملخص'!$D$7</f>
    </nc>
  </rcc>
  <rcc rId="100" sId="20">
    <oc r="D18">
      <f>'Z:\Current Month\[مسحوبات المستودعات والتحويلات.xlsx]التعاون.ملخص'!$D$11</f>
    </oc>
    <nc r="D18">
      <f>'Z:\Current Month\[مسحوبات المستودعات والتحويلات.xlsx]التعاون.ملخص'!$D$11</f>
    </nc>
  </rcc>
  <rcc rId="101" sId="21">
    <oc r="D18">
      <f>'Z:\Current Month\[مسحوبات المستودعات والتحويلات.xlsx]التعاون.ملخص'!$D$11</f>
    </oc>
    <nc r="D18">
      <f>'Z:\Current Month\[مسحوبات المستودعات والتحويلات.xlsx]التعاون.ملخص'!$D$11</f>
    </nc>
  </rcc>
  <rcc rId="102" sId="14">
    <oc r="F22">
      <f>'Z:\Current Month\[مسحوبات المستودعات والتحويلات.xlsx]موبيل.ملخص'!$D$2</f>
    </oc>
    <nc r="F22">
      <f>'Z:\Current Month\[مسحوبات المستودعات والتحويلات.xlsx]موبيل.ملخص'!$D$2</f>
    </nc>
  </rcc>
  <rcc rId="103" sId="14">
    <oc r="F23">
      <f>'Z:\Current Month\[مسحوبات المستودعات والتحويلات.xlsx]موبيل.ملخص'!$D$4</f>
    </oc>
    <nc r="F23">
      <f>'Z:\Current Month\[مسحوبات المستودعات والتحويلات.xlsx]موبيل.ملخص'!$D$4</f>
    </nc>
  </rcc>
  <rcc rId="104" sId="14">
    <oc r="F24">
      <f>'Z:\Current Month\[مسحوبات المستودعات والتحويلات.xlsx]موبيل.ملخص'!$D$3</f>
    </oc>
    <nc r="F24">
      <f>'Z:\Current Month\[مسحوبات المستودعات والتحويلات.xlsx]موبيل.ملخص'!$D$3</f>
    </nc>
  </rcc>
  <rcc rId="105" sId="16">
    <oc r="D17">
      <f>'Z:\Current Month\[مسحوبات المستودعات والتحويلات.xlsx]موبيل.ملخص'!$D$5</f>
    </oc>
    <nc r="D17">
      <f>'Z:\Current Month\[مسحوبات المستودعات والتحويلات.xlsx]موبيل.ملخص'!$D$5</f>
    </nc>
  </rcc>
  <rcc rId="106" sId="16">
    <oc r="D22">
      <f>'Z:\Current Month\[مسحوبات المستودعات والتحويلات.xlsx]موبيل.ملخص'!$D$6</f>
    </oc>
    <nc r="D22">
      <f>'Z:\Current Month\[مسحوبات المستودعات والتحويلات.xlsx]موبيل.ملخص'!$D$6</f>
    </nc>
  </rcc>
  <rcc rId="107" sId="18">
    <oc r="D16">
      <f>'Z:\Current Month\[مسحوبات المستودعات والتحويلات.xlsx]موبيل.ملخص'!$D$8</f>
    </oc>
    <nc r="D16">
      <f>'Z:\Current Month\[مسحوبات المستودعات والتحويلات.xlsx]موبيل.ملخص'!$D$8</f>
    </nc>
  </rcc>
  <rcc rId="108" sId="18">
    <oc r="D17">
      <f>'Z:\Current Month\[مسحوبات المستودعات والتحويلات.xlsx]التعاون.ملخص'!$D$8</f>
    </oc>
    <nc r="D17">
      <f>'Z:\Current Month\[مسحوبات المستودعات والتحويلات.xlsx]التعاون.ملخص'!$D$8</f>
    </nc>
  </rcc>
  <rcc rId="109" sId="18">
    <oc r="D18">
      <f>'Z:\Current Month\[مسحوبات المستودعات والتحويلات.xlsx]موبيل.ملخص'!$D$10</f>
    </oc>
    <nc r="D18">
      <f>'Z:\Current Month\[مسحوبات المستودعات والتحويلات.xlsx]موبيل.ملخص'!$D$10</f>
    </nc>
  </rcc>
  <rcc rId="110" sId="18">
    <oc r="D20">
      <f>'Z:\Current Month\[مسحوبات المستودعات والتحويلات.xlsx]التعاون.ملخص'!$D$9</f>
    </oc>
    <nc r="D20">
      <f>'Z:\Current Month\[مسحوبات المستودعات والتحويلات.xlsx]التعاون.ملخص'!$D$9</f>
    </nc>
  </rcc>
  <rcc rId="111" sId="18">
    <oc r="D21">
      <f>'Z:\Current Month\[مسحوبات المستودعات والتحويلات.xlsx]موبيل.ملخص'!$D$9</f>
    </oc>
    <nc r="D21">
      <f>'Z:\Current Month\[مسحوبات المستودعات والتحويلات.xlsx]موبيل.ملخص'!$D$9</f>
    </nc>
  </rcc>
  <rcc rId="112" sId="16">
    <oc r="D15">
      <f>'Z:\Current Month\[مسحوبات المستودعات والتحويلات.xlsx]مصرملخص'!$D$2</f>
    </oc>
    <nc r="D15">
      <f>'Z:\Current Month\[مسحوبات المستودعات والتحويلات.xlsx]مصرملخص'!$D$2</f>
    </nc>
  </rcc>
  <rcc rId="113" sId="16">
    <oc r="D19">
      <f>'Z:\Current Month\[مسحوبات المستودعات والتحويلات.xlsx]مصرملخص'!$D$4</f>
    </oc>
    <nc r="D19">
      <f>'Z:\Current Month\[مسحوبات المستودعات والتحويلات.xlsx]مصرملخص'!$D$4</f>
    </nc>
  </rcc>
  <rcc rId="114" sId="16">
    <oc r="D20">
      <f>'Z:\Current Month\[مسحوبات المستودعات والتحويلات.xlsx]موبيل.ملخص'!$D$7</f>
    </oc>
    <nc r="D20">
      <f>'Z:\Current Month\[مسحوبات المستودعات والتحويلات.xlsx]موبيل.ملخص'!$D$7</f>
    </nc>
  </rcc>
  <rcc rId="115" sId="16">
    <oc r="D21">
      <f>'Z:\Current Month\[مسحوبات المستودعات والتحويلات.xlsx]مصرملخص'!$D$3</f>
    </oc>
    <nc r="D21">
      <f>'Z:\Current Month\[مسحوبات المستودعات والتحويلات.xlsx]مصرملخص'!$D$3</f>
    </nc>
  </rcc>
  <rcc rId="116" sId="18">
    <oc r="D14">
      <f>'Z:\Current Month\[مسحوبات المستودعات والتحويلات.xlsx]مصرملخص'!$D$6</f>
    </oc>
    <nc r="D14">
      <f>'Z:\Current Month\[مسحوبات المستودعات والتحويلات.xlsx]مصرملخص'!$D$6</f>
    </nc>
  </rcc>
  <rcc rId="117" sId="18">
    <oc r="D19">
      <f>'Z:\Current Month\[مسحوبات المستودعات والتحويلات.xlsx]مصرملخص'!$D$7</f>
    </oc>
    <nc r="D19">
      <f>'Z:\Current Month\[مسحوبات المستودعات والتحويلات.xlsx]مصرملخص'!$D$7</f>
    </nc>
  </rcc>
  <rcc rId="118" sId="20">
    <oc r="D15">
      <f>'Z:\Current Month\[مسحوبات المستودعات والتحويلات.xlsx]مصرملخص'!$D$8</f>
    </oc>
    <nc r="D15">
      <f>'Z:\Current Month\[مسحوبات المستودعات والتحويلات.xlsx]مصرملخص'!$D$8</f>
    </nc>
  </rcc>
  <rcc rId="119" sId="20">
    <oc r="D16">
      <f>'Z:\Current Month\[مسحوبات المستودعات والتحويلات.xlsx]التعاون.ملخص'!$D$10</f>
    </oc>
    <nc r="D16">
      <f>'Z:\Current Month\[مسحوبات المستودعات والتحويلات.xlsx]التعاون.ملخص'!$D$10</f>
    </nc>
  </rcc>
  <rcc rId="120" sId="20">
    <oc r="D17">
      <f>'Z:\Current Month\[مسحوبات المستودعات والتحويلات.xlsx]مصرملخص'!$D$9</f>
    </oc>
    <nc r="D17">
      <f>'Z:\Current Month\[مسحوبات المستودعات والتحويلات.xlsx]مصرملخص'!$D$9</f>
    </nc>
  </rcc>
  <rcc rId="121" sId="21">
    <oc r="D15">
      <f>'Z:\Current Month\[مسحوبات المستودعات والتحويلات.xlsx]مصرملخص'!$D$8</f>
    </oc>
    <nc r="D15">
      <f>'Z:\Current Month\[مسحوبات المستودعات والتحويلات.xlsx]مصرملخص'!$D$8</f>
    </nc>
  </rcc>
  <rcc rId="122" sId="21">
    <oc r="D16">
      <f>'Z:\Current Month\[مسحوبات المستودعات والتحويلات.xlsx]التعاون.ملخص'!$D$10</f>
    </oc>
    <nc r="D16">
      <f>'Z:\Current Month\[مسحوبات المستودعات والتحويلات.xlsx]التعاون.ملخص'!$D$10</f>
    </nc>
  </rcc>
  <rcc rId="123" sId="21">
    <oc r="D17">
      <f>'Z:\Current Month\[مسحوبات المستودعات والتحويلات.xlsx]مصرملخص'!$D$9</f>
    </oc>
    <nc r="D17">
      <f>'Z:\Current Month\[مسحوبات المستودعات والتحويلات.xlsx]مصرملخص'!$D$9</f>
    </nc>
  </rcc>
  <rcc rId="124" sId="16">
    <oc r="D18">
      <f>'Z:\Current Month\[مسحوبات المستودعات والتحويلات.xlsx]مصر للبترول'!$Y$36</f>
    </oc>
    <nc r="D18">
      <f>'Z:\Current Month\[مسحوبات المستودعات والتحويلات.xlsx]مصر للبترول'!$Y$36</f>
    </nc>
  </rcc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5.bin"/><Relationship Id="rId2" Type="http://schemas.openxmlformats.org/officeDocument/2006/relationships/printerSettings" Target="../printerSettings/printerSettings24.bin"/><Relationship Id="rId1" Type="http://schemas.openxmlformats.org/officeDocument/2006/relationships/printerSettings" Target="../printerSettings/printerSettings23.bin"/><Relationship Id="rId4" Type="http://schemas.openxmlformats.org/officeDocument/2006/relationships/drawing" Target="../drawings/drawing6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7.bin"/><Relationship Id="rId1" Type="http://schemas.openxmlformats.org/officeDocument/2006/relationships/printerSettings" Target="../printerSettings/printerSettings26.bin"/><Relationship Id="rId4" Type="http://schemas.openxmlformats.org/officeDocument/2006/relationships/drawing" Target="../drawings/drawing7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1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4.bin"/><Relationship Id="rId2" Type="http://schemas.openxmlformats.org/officeDocument/2006/relationships/printerSettings" Target="../printerSettings/printerSettings33.bin"/><Relationship Id="rId1" Type="http://schemas.openxmlformats.org/officeDocument/2006/relationships/printerSettings" Target="../printerSettings/printerSettings32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7.bin"/><Relationship Id="rId2" Type="http://schemas.openxmlformats.org/officeDocument/2006/relationships/printerSettings" Target="../printerSettings/printerSettings36.bin"/><Relationship Id="rId1" Type="http://schemas.openxmlformats.org/officeDocument/2006/relationships/printerSettings" Target="../printerSettings/printerSettings3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printerSettings" Target="../printerSettings/printerSettings5.bin"/><Relationship Id="rId1" Type="http://schemas.openxmlformats.org/officeDocument/2006/relationships/printerSettings" Target="../printerSettings/printerSettings4.bin"/><Relationship Id="rId4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0.bin"/><Relationship Id="rId2" Type="http://schemas.openxmlformats.org/officeDocument/2006/relationships/printerSettings" Target="../printerSettings/printerSettings39.bin"/><Relationship Id="rId1" Type="http://schemas.openxmlformats.org/officeDocument/2006/relationships/printerSettings" Target="../printerSettings/printerSettings38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3.bin"/><Relationship Id="rId2" Type="http://schemas.openxmlformats.org/officeDocument/2006/relationships/printerSettings" Target="../printerSettings/printerSettings42.bin"/><Relationship Id="rId1" Type="http://schemas.openxmlformats.org/officeDocument/2006/relationships/printerSettings" Target="../printerSettings/printerSettings41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6.bin"/><Relationship Id="rId2" Type="http://schemas.openxmlformats.org/officeDocument/2006/relationships/printerSettings" Target="../printerSettings/printerSettings45.bin"/><Relationship Id="rId1" Type="http://schemas.openxmlformats.org/officeDocument/2006/relationships/printerSettings" Target="../printerSettings/printerSettings44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2.bin"/><Relationship Id="rId2" Type="http://schemas.openxmlformats.org/officeDocument/2006/relationships/printerSettings" Target="../printerSettings/printerSettings11.bin"/><Relationship Id="rId1" Type="http://schemas.openxmlformats.org/officeDocument/2006/relationships/printerSettings" Target="../printerSettings/printerSettings10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14.bin"/><Relationship Id="rId1" Type="http://schemas.openxmlformats.org/officeDocument/2006/relationships/printerSettings" Target="../printerSettings/printerSettings1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9.bin"/><Relationship Id="rId2" Type="http://schemas.openxmlformats.org/officeDocument/2006/relationships/printerSettings" Target="../printerSettings/printerSettings18.bin"/><Relationship Id="rId1" Type="http://schemas.openxmlformats.org/officeDocument/2006/relationships/printerSettings" Target="../printerSettings/printerSettings1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2.bin"/><Relationship Id="rId2" Type="http://schemas.openxmlformats.org/officeDocument/2006/relationships/printerSettings" Target="../printerSettings/printerSettings21.bin"/><Relationship Id="rId1" Type="http://schemas.openxmlformats.org/officeDocument/2006/relationships/printerSettings" Target="../printerSettings/printerSettings20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Z46"/>
  <sheetViews>
    <sheetView rightToLeft="1" zoomScale="70" zoomScaleNormal="70" zoomScaleSheetLayoutView="70"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A17" sqref="A17:XFD17"/>
    </sheetView>
  </sheetViews>
  <sheetFormatPr defaultColWidth="9" defaultRowHeight="14.25" x14ac:dyDescent="0.2"/>
  <cols>
    <col min="1" max="1" width="5.625" style="198" customWidth="1"/>
    <col min="2" max="2" width="10" style="198" customWidth="1"/>
    <col min="3" max="3" width="5.25" style="198" customWidth="1"/>
    <col min="4" max="4" width="6.75" style="198" customWidth="1"/>
    <col min="5" max="5" width="6.25" style="198" customWidth="1"/>
    <col min="6" max="6" width="5.375" style="198" customWidth="1"/>
    <col min="7" max="7" width="6.875" style="198" customWidth="1"/>
    <col min="8" max="8" width="7" style="198" customWidth="1"/>
    <col min="9" max="10" width="6.375" style="198" customWidth="1"/>
    <col min="11" max="11" width="5.375" style="198" customWidth="1"/>
    <col min="12" max="12" width="6.25" style="198" customWidth="1"/>
    <col min="13" max="13" width="6.875" style="198" customWidth="1"/>
    <col min="14" max="14" width="7.125" style="198" bestFit="1" customWidth="1"/>
    <col min="15" max="15" width="6" style="198" customWidth="1"/>
    <col min="16" max="16" width="5.25" style="198" customWidth="1"/>
    <col min="17" max="17" width="5.375" style="198" customWidth="1"/>
    <col min="18" max="18" width="5.125" style="198" customWidth="1"/>
    <col min="19" max="19" width="8.125" style="198" customWidth="1"/>
    <col min="20" max="20" width="7.625" style="198" customWidth="1"/>
    <col min="21" max="21" width="5.875" style="198" customWidth="1"/>
    <col min="22" max="22" width="5.25" style="198" customWidth="1"/>
    <col min="23" max="23" width="5.375" style="198" customWidth="1"/>
    <col min="24" max="24" width="4.75" style="198" customWidth="1"/>
    <col min="25" max="25" width="7.25" style="198" customWidth="1"/>
    <col min="26" max="26" width="7.375" style="198" customWidth="1"/>
    <col min="27" max="16384" width="9" style="198"/>
  </cols>
  <sheetData>
    <row r="1" spans="1:26" ht="18" x14ac:dyDescent="0.25">
      <c r="A1" s="388" t="s">
        <v>0</v>
      </c>
      <c r="B1" s="388"/>
      <c r="C1" s="388"/>
      <c r="D1" s="388"/>
      <c r="E1" s="388"/>
      <c r="X1" s="384"/>
      <c r="Y1" s="384"/>
    </row>
    <row r="2" spans="1:26" ht="15.75" x14ac:dyDescent="0.25">
      <c r="A2" s="388" t="s">
        <v>1</v>
      </c>
      <c r="B2" s="388"/>
      <c r="C2" s="388"/>
      <c r="D2" s="388"/>
      <c r="E2" s="388"/>
    </row>
    <row r="3" spans="1:26" ht="15.75" x14ac:dyDescent="0.25">
      <c r="A3" s="388" t="s">
        <v>2</v>
      </c>
      <c r="B3" s="388"/>
      <c r="C3" s="388"/>
      <c r="D3" s="388"/>
      <c r="E3" s="388"/>
    </row>
    <row r="5" spans="1:26" ht="18.75" thickBot="1" x14ac:dyDescent="0.3">
      <c r="G5" s="199"/>
      <c r="I5" s="387" t="s">
        <v>194</v>
      </c>
      <c r="J5" s="387"/>
      <c r="K5" s="387"/>
      <c r="L5" s="387"/>
      <c r="M5" s="387"/>
      <c r="N5" s="387"/>
      <c r="V5" s="200" t="s">
        <v>41</v>
      </c>
    </row>
    <row r="6" spans="1:26" ht="20.100000000000001" customHeight="1" thickBot="1" x14ac:dyDescent="0.25">
      <c r="A6" s="386" t="s">
        <v>14</v>
      </c>
      <c r="B6" s="386" t="s">
        <v>3</v>
      </c>
      <c r="C6" s="386" t="s">
        <v>4</v>
      </c>
      <c r="D6" s="386" t="s">
        <v>5</v>
      </c>
      <c r="E6" s="386"/>
      <c r="F6" s="386"/>
      <c r="G6" s="386"/>
      <c r="H6" s="386"/>
      <c r="I6" s="386" t="s">
        <v>4</v>
      </c>
      <c r="J6" s="386" t="s">
        <v>11</v>
      </c>
      <c r="K6" s="386"/>
      <c r="L6" s="386"/>
      <c r="M6" s="386"/>
      <c r="N6" s="386"/>
      <c r="O6" s="386" t="s">
        <v>4</v>
      </c>
      <c r="P6" s="386" t="s">
        <v>12</v>
      </c>
      <c r="Q6" s="386"/>
      <c r="R6" s="386"/>
      <c r="S6" s="386"/>
      <c r="T6" s="386"/>
      <c r="U6" s="386" t="s">
        <v>4</v>
      </c>
      <c r="V6" s="386" t="s">
        <v>13</v>
      </c>
      <c r="W6" s="386"/>
      <c r="X6" s="386"/>
      <c r="Y6" s="386"/>
      <c r="Z6" s="386"/>
    </row>
    <row r="7" spans="1:26" ht="20.100000000000001" customHeight="1" thickBot="1" x14ac:dyDescent="0.25">
      <c r="A7" s="386"/>
      <c r="B7" s="386"/>
      <c r="C7" s="386"/>
      <c r="D7" s="201" t="s">
        <v>6</v>
      </c>
      <c r="E7" s="201" t="s">
        <v>7</v>
      </c>
      <c r="F7" s="201" t="s">
        <v>8</v>
      </c>
      <c r="G7" s="201" t="s">
        <v>9</v>
      </c>
      <c r="H7" s="201" t="s">
        <v>10</v>
      </c>
      <c r="I7" s="386"/>
      <c r="J7" s="201" t="s">
        <v>6</v>
      </c>
      <c r="K7" s="201" t="s">
        <v>7</v>
      </c>
      <c r="L7" s="201" t="s">
        <v>8</v>
      </c>
      <c r="M7" s="201" t="s">
        <v>9</v>
      </c>
      <c r="N7" s="201" t="s">
        <v>10</v>
      </c>
      <c r="O7" s="386"/>
      <c r="P7" s="201" t="s">
        <v>6</v>
      </c>
      <c r="Q7" s="201" t="s">
        <v>7</v>
      </c>
      <c r="R7" s="201" t="s">
        <v>8</v>
      </c>
      <c r="S7" s="201" t="s">
        <v>9</v>
      </c>
      <c r="T7" s="201" t="s">
        <v>10</v>
      </c>
      <c r="U7" s="386"/>
      <c r="V7" s="201" t="s">
        <v>6</v>
      </c>
      <c r="W7" s="201" t="s">
        <v>7</v>
      </c>
      <c r="X7" s="201" t="s">
        <v>8</v>
      </c>
      <c r="Y7" s="201" t="s">
        <v>9</v>
      </c>
      <c r="Z7" s="201" t="s">
        <v>10</v>
      </c>
    </row>
    <row r="8" spans="1:26" ht="20.100000000000001" customHeight="1" thickBot="1" x14ac:dyDescent="0.25">
      <c r="A8" s="336">
        <v>1</v>
      </c>
      <c r="B8" s="202" t="s">
        <v>15</v>
      </c>
      <c r="C8" s="337"/>
      <c r="D8" s="337"/>
      <c r="E8" s="337"/>
      <c r="F8" s="337"/>
      <c r="G8" s="337"/>
      <c r="H8" s="337"/>
      <c r="I8" s="336">
        <v>90</v>
      </c>
      <c r="J8" s="335">
        <f>'أخذ التمام الصباحي'!F5</f>
        <v>85</v>
      </c>
      <c r="K8" s="221">
        <f>I8-J8</f>
        <v>5</v>
      </c>
      <c r="L8" s="335">
        <f>'أخذ التمام الصباحي'!G5</f>
        <v>34</v>
      </c>
      <c r="M8" s="335">
        <v>25</v>
      </c>
      <c r="N8" s="203">
        <f>J8/M8</f>
        <v>3.4</v>
      </c>
      <c r="O8" s="336">
        <v>30</v>
      </c>
      <c r="P8" s="335">
        <f>'أخذ التمام الصباحي'!I5</f>
        <v>24</v>
      </c>
      <c r="Q8" s="221">
        <f>O8-P8</f>
        <v>6</v>
      </c>
      <c r="R8" s="335">
        <f>'أخذ التمام الصباحي'!J5</f>
        <v>0</v>
      </c>
      <c r="S8" s="335">
        <v>8</v>
      </c>
      <c r="T8" s="203">
        <f>P8/S8</f>
        <v>3</v>
      </c>
      <c r="U8" s="337"/>
      <c r="V8" s="337"/>
      <c r="W8" s="337"/>
      <c r="X8" s="337"/>
      <c r="Y8" s="337"/>
      <c r="Z8" s="337"/>
    </row>
    <row r="9" spans="1:26" ht="20.100000000000001" customHeight="1" thickBot="1" x14ac:dyDescent="0.25">
      <c r="A9" s="336">
        <v>2</v>
      </c>
      <c r="B9" s="202" t="s">
        <v>163</v>
      </c>
      <c r="C9" s="337"/>
      <c r="D9" s="337"/>
      <c r="E9" s="337"/>
      <c r="F9" s="337"/>
      <c r="G9" s="337"/>
      <c r="H9" s="337"/>
      <c r="I9" s="336">
        <v>90</v>
      </c>
      <c r="J9" s="338">
        <f>'أخذ التمام الصباحي'!F6</f>
        <v>66</v>
      </c>
      <c r="K9" s="221">
        <f>I9-J9</f>
        <v>24</v>
      </c>
      <c r="L9" s="355">
        <f>'أخذ التمام الصباحي'!G6</f>
        <v>0</v>
      </c>
      <c r="M9" s="335">
        <v>29</v>
      </c>
      <c r="N9" s="203">
        <f>J9/M9</f>
        <v>2.2758620689655173</v>
      </c>
      <c r="O9" s="336">
        <v>30</v>
      </c>
      <c r="P9" s="338">
        <f>'أخذ التمام الصباحي'!I6</f>
        <v>13</v>
      </c>
      <c r="Q9" s="221">
        <f>O9-P9</f>
        <v>17</v>
      </c>
      <c r="R9" s="338">
        <f>'أخذ التمام الصباحي'!J6</f>
        <v>17</v>
      </c>
      <c r="S9" s="335">
        <v>9</v>
      </c>
      <c r="T9" s="203">
        <f>P9/S9</f>
        <v>1.4444444444444444</v>
      </c>
      <c r="U9" s="337"/>
      <c r="V9" s="337"/>
      <c r="W9" s="337"/>
      <c r="X9" s="337"/>
      <c r="Y9" s="337"/>
      <c r="Z9" s="337"/>
    </row>
    <row r="10" spans="1:26" ht="20.100000000000001" customHeight="1" thickBot="1" x14ac:dyDescent="0.25">
      <c r="A10" s="336">
        <v>3</v>
      </c>
      <c r="B10" s="202" t="s">
        <v>158</v>
      </c>
      <c r="C10" s="335">
        <v>90</v>
      </c>
      <c r="D10" s="335">
        <f>'أخذ التمام الصباحي'!C7</f>
        <v>61</v>
      </c>
      <c r="E10" s="221">
        <f t="shared" ref="E10:E23" si="0">C10-D10</f>
        <v>29</v>
      </c>
      <c r="F10" s="335">
        <f>'أخذ التمام الصباحي'!D7</f>
        <v>51</v>
      </c>
      <c r="G10" s="335">
        <v>36</v>
      </c>
      <c r="H10" s="204">
        <f t="shared" ref="H10:H23" si="1">D10/G10</f>
        <v>1.6944444444444444</v>
      </c>
      <c r="I10" s="336">
        <v>45</v>
      </c>
      <c r="J10" s="338">
        <f>'أخذ التمام الصباحي'!F7</f>
        <v>22</v>
      </c>
      <c r="K10" s="221">
        <f t="shared" ref="K10:K34" si="2">I10-J10</f>
        <v>23</v>
      </c>
      <c r="L10" s="355">
        <f>'أخذ التمام الصباحي'!G7</f>
        <v>17</v>
      </c>
      <c r="M10" s="335">
        <v>24</v>
      </c>
      <c r="N10" s="203">
        <f t="shared" ref="N10:N34" si="3">J10/M10</f>
        <v>0.91666666666666663</v>
      </c>
      <c r="O10" s="336">
        <v>45</v>
      </c>
      <c r="P10" s="338">
        <f>'أخذ التمام الصباحي'!I7</f>
        <v>40.5</v>
      </c>
      <c r="Q10" s="221">
        <f t="shared" ref="Q10:Q34" si="4">O10-P10</f>
        <v>4.5</v>
      </c>
      <c r="R10" s="338">
        <f>'أخذ التمام الصباحي'!J7</f>
        <v>17</v>
      </c>
      <c r="S10" s="335">
        <v>4</v>
      </c>
      <c r="T10" s="203">
        <f t="shared" ref="T10:T34" si="5">P10/S10</f>
        <v>10.125</v>
      </c>
      <c r="U10" s="337"/>
      <c r="V10" s="337"/>
      <c r="W10" s="337"/>
      <c r="X10" s="337"/>
      <c r="Y10" s="337"/>
      <c r="Z10" s="337"/>
    </row>
    <row r="11" spans="1:26" ht="20.100000000000001" customHeight="1" thickBot="1" x14ac:dyDescent="0.25">
      <c r="A11" s="336">
        <v>4</v>
      </c>
      <c r="B11" s="202" t="s">
        <v>16</v>
      </c>
      <c r="C11" s="335">
        <v>30</v>
      </c>
      <c r="D11" s="338">
        <f>'أخذ التمام الصباحي'!C8</f>
        <v>15</v>
      </c>
      <c r="E11" s="221">
        <f t="shared" si="0"/>
        <v>15</v>
      </c>
      <c r="F11" s="338">
        <f>'أخذ التمام الصباحي'!D8</f>
        <v>0</v>
      </c>
      <c r="G11" s="335">
        <v>5</v>
      </c>
      <c r="H11" s="204">
        <f t="shared" si="1"/>
        <v>3</v>
      </c>
      <c r="I11" s="336">
        <v>60</v>
      </c>
      <c r="J11" s="338">
        <f>'أخذ التمام الصباحي'!F8</f>
        <v>35</v>
      </c>
      <c r="K11" s="221">
        <f t="shared" si="2"/>
        <v>25</v>
      </c>
      <c r="L11" s="355">
        <f>'أخذ التمام الصباحي'!G8</f>
        <v>17</v>
      </c>
      <c r="M11" s="335">
        <v>25</v>
      </c>
      <c r="N11" s="203">
        <f t="shared" si="3"/>
        <v>1.4</v>
      </c>
      <c r="O11" s="336">
        <v>30</v>
      </c>
      <c r="P11" s="338">
        <f>'أخذ التمام الصباحي'!I8</f>
        <v>18</v>
      </c>
      <c r="Q11" s="221">
        <f t="shared" si="4"/>
        <v>12</v>
      </c>
      <c r="R11" s="338">
        <f>'أخذ التمام الصباحي'!J8</f>
        <v>0</v>
      </c>
      <c r="S11" s="335">
        <v>8</v>
      </c>
      <c r="T11" s="203">
        <f t="shared" si="5"/>
        <v>2.25</v>
      </c>
      <c r="U11" s="336">
        <v>180</v>
      </c>
      <c r="V11" s="335">
        <f>'أخذ التمام الصباحي'!L8</f>
        <v>162</v>
      </c>
      <c r="W11" s="221">
        <f t="shared" ref="W11:W29" si="6">U11-V11</f>
        <v>18</v>
      </c>
      <c r="X11" s="335">
        <f>'أخذ التمام الصباحي'!M8</f>
        <v>17</v>
      </c>
      <c r="Y11" s="335">
        <v>6</v>
      </c>
      <c r="Z11" s="203">
        <f>V11/Y11</f>
        <v>27</v>
      </c>
    </row>
    <row r="12" spans="1:26" ht="20.100000000000001" customHeight="1" thickBot="1" x14ac:dyDescent="0.25">
      <c r="A12" s="336">
        <v>5</v>
      </c>
      <c r="B12" s="202" t="s">
        <v>17</v>
      </c>
      <c r="C12" s="349"/>
      <c r="D12" s="349"/>
      <c r="E12" s="349"/>
      <c r="F12" s="349"/>
      <c r="G12" s="349"/>
      <c r="H12" s="352"/>
      <c r="I12" s="336">
        <v>90</v>
      </c>
      <c r="J12" s="338">
        <f>'أخذ التمام الصباحي'!F9</f>
        <v>61</v>
      </c>
      <c r="K12" s="221">
        <f t="shared" si="2"/>
        <v>29</v>
      </c>
      <c r="L12" s="355">
        <f>'أخذ التمام الصباحي'!G9</f>
        <v>17</v>
      </c>
      <c r="M12" s="335">
        <v>42</v>
      </c>
      <c r="N12" s="203">
        <f t="shared" si="3"/>
        <v>1.4523809523809523</v>
      </c>
      <c r="O12" s="336">
        <v>30</v>
      </c>
      <c r="P12" s="338">
        <f>'أخذ التمام الصباحي'!I9</f>
        <v>25</v>
      </c>
      <c r="Q12" s="221">
        <f t="shared" si="4"/>
        <v>5</v>
      </c>
      <c r="R12" s="338">
        <f>'أخذ التمام الصباحي'!J9</f>
        <v>17</v>
      </c>
      <c r="S12" s="335">
        <v>12</v>
      </c>
      <c r="T12" s="203">
        <f t="shared" si="5"/>
        <v>2.0833333333333335</v>
      </c>
      <c r="U12" s="337"/>
      <c r="V12" s="337"/>
      <c r="W12" s="337"/>
      <c r="X12" s="337"/>
      <c r="Y12" s="337"/>
      <c r="Z12" s="337"/>
    </row>
    <row r="13" spans="1:26" ht="20.100000000000001" customHeight="1" thickBot="1" x14ac:dyDescent="0.25">
      <c r="A13" s="336">
        <v>6</v>
      </c>
      <c r="B13" s="202" t="s">
        <v>18</v>
      </c>
      <c r="C13" s="335">
        <v>30</v>
      </c>
      <c r="D13" s="338">
        <f>'أخذ التمام الصباحي'!C10</f>
        <v>12</v>
      </c>
      <c r="E13" s="221">
        <f t="shared" si="0"/>
        <v>18</v>
      </c>
      <c r="F13" s="338">
        <f>'أخذ التمام الصباحي'!D10</f>
        <v>17</v>
      </c>
      <c r="G13" s="335">
        <v>4</v>
      </c>
      <c r="H13" s="204">
        <f t="shared" si="1"/>
        <v>3</v>
      </c>
      <c r="I13" s="336">
        <v>90</v>
      </c>
      <c r="J13" s="338">
        <f>'أخذ التمام الصباحي'!F10</f>
        <v>58</v>
      </c>
      <c r="K13" s="221">
        <f t="shared" si="2"/>
        <v>32</v>
      </c>
      <c r="L13" s="355">
        <f>'أخذ التمام الصباحي'!G10</f>
        <v>34</v>
      </c>
      <c r="M13" s="335">
        <v>27</v>
      </c>
      <c r="N13" s="203">
        <f t="shared" si="3"/>
        <v>2.1481481481481484</v>
      </c>
      <c r="O13" s="337"/>
      <c r="P13" s="337"/>
      <c r="Q13" s="337"/>
      <c r="R13" s="337"/>
      <c r="S13" s="337"/>
      <c r="T13" s="205"/>
      <c r="U13" s="336">
        <v>180</v>
      </c>
      <c r="V13" s="335">
        <f>'أخذ التمام الصباحي'!L10</f>
        <v>161</v>
      </c>
      <c r="W13" s="221">
        <f t="shared" si="6"/>
        <v>19</v>
      </c>
      <c r="X13" s="335">
        <f>'أخذ التمام الصباحي'!M10</f>
        <v>0</v>
      </c>
      <c r="Y13" s="335">
        <v>8</v>
      </c>
      <c r="Z13" s="203">
        <f t="shared" ref="Z13:Z29" si="7">V13/Y13</f>
        <v>20.125</v>
      </c>
    </row>
    <row r="14" spans="1:26" ht="20.100000000000001" customHeight="1" thickBot="1" x14ac:dyDescent="0.25">
      <c r="A14" s="336">
        <v>7</v>
      </c>
      <c r="B14" s="202" t="s">
        <v>19</v>
      </c>
      <c r="C14" s="335">
        <v>30</v>
      </c>
      <c r="D14" s="338">
        <f>'أخذ التمام الصباحي'!C11</f>
        <v>20</v>
      </c>
      <c r="E14" s="221">
        <f t="shared" si="0"/>
        <v>10</v>
      </c>
      <c r="F14" s="338">
        <f>'أخذ التمام الصباحي'!D11</f>
        <v>0</v>
      </c>
      <c r="G14" s="335">
        <v>7</v>
      </c>
      <c r="H14" s="204">
        <f t="shared" si="1"/>
        <v>2.8571428571428572</v>
      </c>
      <c r="I14" s="336">
        <v>90</v>
      </c>
      <c r="J14" s="338">
        <f>'أخذ التمام الصباحي'!F11</f>
        <v>75</v>
      </c>
      <c r="K14" s="221">
        <f t="shared" si="2"/>
        <v>15</v>
      </c>
      <c r="L14" s="355">
        <f>'أخذ التمام الصباحي'!G11</f>
        <v>0</v>
      </c>
      <c r="M14" s="335">
        <v>22</v>
      </c>
      <c r="N14" s="203">
        <f t="shared" si="3"/>
        <v>3.4090909090909092</v>
      </c>
      <c r="O14" s="337"/>
      <c r="P14" s="337"/>
      <c r="Q14" s="337"/>
      <c r="R14" s="337"/>
      <c r="S14" s="337"/>
      <c r="T14" s="205"/>
      <c r="U14" s="336">
        <v>180</v>
      </c>
      <c r="V14" s="338">
        <f>'أخذ التمام الصباحي'!L11</f>
        <v>156</v>
      </c>
      <c r="W14" s="221">
        <f t="shared" si="6"/>
        <v>24</v>
      </c>
      <c r="X14" s="338">
        <f>'أخذ التمام الصباحي'!M11</f>
        <v>0</v>
      </c>
      <c r="Y14" s="335">
        <v>20</v>
      </c>
      <c r="Z14" s="203">
        <f t="shared" si="7"/>
        <v>7.8</v>
      </c>
    </row>
    <row r="15" spans="1:26" ht="20.100000000000001" customHeight="1" thickBot="1" x14ac:dyDescent="0.25">
      <c r="A15" s="336">
        <v>8</v>
      </c>
      <c r="B15" s="202" t="s">
        <v>20</v>
      </c>
      <c r="C15" s="337"/>
      <c r="D15" s="337"/>
      <c r="E15" s="337"/>
      <c r="F15" s="337"/>
      <c r="G15" s="337"/>
      <c r="H15" s="337"/>
      <c r="I15" s="336">
        <v>180</v>
      </c>
      <c r="J15" s="338">
        <f>'أخذ التمام الصباحي'!F12</f>
        <v>135</v>
      </c>
      <c r="K15" s="221">
        <f t="shared" si="2"/>
        <v>45</v>
      </c>
      <c r="L15" s="355">
        <f>'أخذ التمام الصباحي'!G12</f>
        <v>51</v>
      </c>
      <c r="M15" s="335">
        <v>52</v>
      </c>
      <c r="N15" s="203">
        <f t="shared" si="3"/>
        <v>2.5961538461538463</v>
      </c>
      <c r="O15" s="336">
        <v>60</v>
      </c>
      <c r="P15" s="335">
        <f>'أخذ التمام الصباحي'!I12</f>
        <v>47</v>
      </c>
      <c r="Q15" s="221">
        <f t="shared" si="4"/>
        <v>13</v>
      </c>
      <c r="R15" s="335">
        <f>'أخذ التمام الصباحي'!J12</f>
        <v>0</v>
      </c>
      <c r="S15" s="335">
        <v>15</v>
      </c>
      <c r="T15" s="203">
        <f t="shared" si="5"/>
        <v>3.1333333333333333</v>
      </c>
      <c r="U15" s="337"/>
      <c r="V15" s="337"/>
      <c r="W15" s="337"/>
      <c r="X15" s="337"/>
      <c r="Y15" s="337"/>
      <c r="Z15" s="337"/>
    </row>
    <row r="16" spans="1:26" ht="20.100000000000001" customHeight="1" thickBot="1" x14ac:dyDescent="0.25">
      <c r="A16" s="336">
        <v>9</v>
      </c>
      <c r="B16" s="202" t="s">
        <v>21</v>
      </c>
      <c r="C16" s="337"/>
      <c r="D16" s="337"/>
      <c r="E16" s="337"/>
      <c r="F16" s="337"/>
      <c r="G16" s="337"/>
      <c r="H16" s="337"/>
      <c r="I16" s="336">
        <v>180</v>
      </c>
      <c r="J16" s="338">
        <f>'أخذ التمام الصباحي'!F13</f>
        <v>166</v>
      </c>
      <c r="K16" s="221">
        <f t="shared" si="2"/>
        <v>14</v>
      </c>
      <c r="L16" s="355">
        <f>'أخذ التمام الصباحي'!G13</f>
        <v>17</v>
      </c>
      <c r="M16" s="335">
        <v>35</v>
      </c>
      <c r="N16" s="203">
        <f t="shared" si="3"/>
        <v>4.7428571428571429</v>
      </c>
      <c r="O16" s="336">
        <v>45</v>
      </c>
      <c r="P16" s="338">
        <f>'أخذ التمام الصباحي'!I13</f>
        <v>38</v>
      </c>
      <c r="Q16" s="221">
        <f t="shared" si="4"/>
        <v>7</v>
      </c>
      <c r="R16" s="338">
        <f>'أخذ التمام الصباحي'!J13</f>
        <v>0</v>
      </c>
      <c r="S16" s="335">
        <v>11</v>
      </c>
      <c r="T16" s="203">
        <f t="shared" si="5"/>
        <v>3.4545454545454546</v>
      </c>
      <c r="U16" s="336">
        <v>120</v>
      </c>
      <c r="V16" s="335">
        <f>'أخذ التمام الصباحي'!L13</f>
        <v>90</v>
      </c>
      <c r="W16" s="221">
        <f t="shared" si="6"/>
        <v>30</v>
      </c>
      <c r="X16" s="335">
        <f>'أخذ التمام الصباحي'!M13</f>
        <v>34</v>
      </c>
      <c r="Y16" s="335">
        <v>25</v>
      </c>
      <c r="Z16" s="203">
        <f t="shared" si="7"/>
        <v>3.6</v>
      </c>
    </row>
    <row r="17" spans="1:26" ht="20.100000000000001" customHeight="1" thickBot="1" x14ac:dyDescent="0.25">
      <c r="A17" s="336">
        <v>10</v>
      </c>
      <c r="B17" s="202" t="s">
        <v>22</v>
      </c>
      <c r="C17" s="337"/>
      <c r="D17" s="337"/>
      <c r="E17" s="337"/>
      <c r="F17" s="337"/>
      <c r="G17" s="337"/>
      <c r="H17" s="337"/>
      <c r="I17" s="336">
        <v>90</v>
      </c>
      <c r="J17" s="338">
        <f>'أخذ التمام الصباحي'!F14</f>
        <v>67</v>
      </c>
      <c r="K17" s="221">
        <f t="shared" si="2"/>
        <v>23</v>
      </c>
      <c r="L17" s="355">
        <f>'أخذ التمام الصباحي'!G14</f>
        <v>17</v>
      </c>
      <c r="M17" s="335">
        <v>12</v>
      </c>
      <c r="N17" s="203">
        <f t="shared" si="3"/>
        <v>5.583333333333333</v>
      </c>
      <c r="O17" s="336">
        <v>30</v>
      </c>
      <c r="P17" s="338">
        <f>'أخذ التمام الصباحي'!I14</f>
        <v>13</v>
      </c>
      <c r="Q17" s="221">
        <f t="shared" si="4"/>
        <v>17</v>
      </c>
      <c r="R17" s="338">
        <f>'أخذ التمام الصباحي'!J14</f>
        <v>17</v>
      </c>
      <c r="S17" s="335">
        <v>6</v>
      </c>
      <c r="T17" s="203">
        <f>P17/S17</f>
        <v>2.1666666666666665</v>
      </c>
      <c r="U17" s="336">
        <v>180</v>
      </c>
      <c r="V17" s="338">
        <f>'أخذ التمام الصباحي'!L14</f>
        <v>127</v>
      </c>
      <c r="W17" s="221">
        <f t="shared" si="6"/>
        <v>53</v>
      </c>
      <c r="X17" s="338">
        <f>'أخذ التمام الصباحي'!M14</f>
        <v>68</v>
      </c>
      <c r="Y17" s="335">
        <v>31</v>
      </c>
      <c r="Z17" s="203">
        <f t="shared" si="7"/>
        <v>4.096774193548387</v>
      </c>
    </row>
    <row r="18" spans="1:26" ht="20.100000000000001" customHeight="1" thickBot="1" x14ac:dyDescent="0.25">
      <c r="A18" s="336">
        <v>11</v>
      </c>
      <c r="B18" s="202" t="s">
        <v>23</v>
      </c>
      <c r="C18" s="337"/>
      <c r="D18" s="337"/>
      <c r="E18" s="337"/>
      <c r="F18" s="337"/>
      <c r="G18" s="337"/>
      <c r="H18" s="337"/>
      <c r="I18" s="336">
        <v>90</v>
      </c>
      <c r="J18" s="338">
        <f>'أخذ التمام الصباحي'!F15</f>
        <v>76</v>
      </c>
      <c r="K18" s="221">
        <f t="shared" si="2"/>
        <v>14</v>
      </c>
      <c r="L18" s="355">
        <f>'أخذ التمام الصباحي'!G15</f>
        <v>0</v>
      </c>
      <c r="M18" s="335">
        <v>12</v>
      </c>
      <c r="N18" s="203">
        <f t="shared" si="3"/>
        <v>6.333333333333333</v>
      </c>
      <c r="O18" s="336">
        <v>30</v>
      </c>
      <c r="P18" s="338">
        <f>'أخذ التمام الصباحي'!I15</f>
        <v>12</v>
      </c>
      <c r="Q18" s="221">
        <f t="shared" si="4"/>
        <v>18</v>
      </c>
      <c r="R18" s="338">
        <f>'أخذ التمام الصباحي'!J15</f>
        <v>0</v>
      </c>
      <c r="S18" s="335">
        <v>4</v>
      </c>
      <c r="T18" s="203">
        <f t="shared" si="5"/>
        <v>3</v>
      </c>
      <c r="U18" s="336">
        <v>60</v>
      </c>
      <c r="V18" s="338">
        <f>'أخذ التمام الصباحي'!L15</f>
        <v>50</v>
      </c>
      <c r="W18" s="194">
        <f t="shared" si="6"/>
        <v>10</v>
      </c>
      <c r="X18" s="338">
        <f>'أخذ التمام الصباحي'!M15</f>
        <v>0</v>
      </c>
      <c r="Y18" s="335">
        <v>5</v>
      </c>
      <c r="Z18" s="335">
        <f t="shared" si="7"/>
        <v>10</v>
      </c>
    </row>
    <row r="19" spans="1:26" ht="20.100000000000001" customHeight="1" thickBot="1" x14ac:dyDescent="0.25">
      <c r="A19" s="336">
        <v>12</v>
      </c>
      <c r="B19" s="202" t="s">
        <v>24</v>
      </c>
      <c r="C19" s="337"/>
      <c r="D19" s="337"/>
      <c r="E19" s="337"/>
      <c r="F19" s="337"/>
      <c r="G19" s="337"/>
      <c r="H19" s="337"/>
      <c r="I19" s="336">
        <v>60</v>
      </c>
      <c r="J19" s="338">
        <f>'أخذ التمام الصباحي'!F16</f>
        <v>33</v>
      </c>
      <c r="K19" s="221">
        <f t="shared" si="2"/>
        <v>27</v>
      </c>
      <c r="L19" s="355">
        <f>'أخذ التمام الصباحي'!G16</f>
        <v>0</v>
      </c>
      <c r="M19" s="335">
        <v>5</v>
      </c>
      <c r="N19" s="203">
        <f t="shared" si="3"/>
        <v>6.6</v>
      </c>
      <c r="O19" s="336">
        <v>30</v>
      </c>
      <c r="P19" s="338">
        <f>'أخذ التمام الصباحي'!I16</f>
        <v>17</v>
      </c>
      <c r="Q19" s="221">
        <f t="shared" si="4"/>
        <v>13</v>
      </c>
      <c r="R19" s="338">
        <f>'أخذ التمام الصباحي'!J16</f>
        <v>0</v>
      </c>
      <c r="S19" s="335">
        <v>2</v>
      </c>
      <c r="T19" s="203">
        <f t="shared" si="5"/>
        <v>8.5</v>
      </c>
      <c r="U19" s="337"/>
      <c r="V19" s="337"/>
      <c r="W19" s="337"/>
      <c r="X19" s="337"/>
      <c r="Y19" s="337"/>
      <c r="Z19" s="337"/>
    </row>
    <row r="20" spans="1:26" ht="20.100000000000001" customHeight="1" thickBot="1" x14ac:dyDescent="0.25">
      <c r="A20" s="336">
        <v>13</v>
      </c>
      <c r="B20" s="202" t="s">
        <v>26</v>
      </c>
      <c r="C20" s="337"/>
      <c r="D20" s="337"/>
      <c r="E20" s="337"/>
      <c r="F20" s="337"/>
      <c r="G20" s="337"/>
      <c r="H20" s="337"/>
      <c r="I20" s="336">
        <v>90</v>
      </c>
      <c r="J20" s="338">
        <f>'أخذ التمام الصباحي'!F17</f>
        <v>64</v>
      </c>
      <c r="K20" s="221">
        <f t="shared" si="2"/>
        <v>26</v>
      </c>
      <c r="L20" s="355">
        <f>'أخذ التمام الصباحي'!G17</f>
        <v>0</v>
      </c>
      <c r="M20" s="335">
        <v>4</v>
      </c>
      <c r="N20" s="203">
        <f t="shared" si="3"/>
        <v>16</v>
      </c>
      <c r="O20" s="336">
        <v>30</v>
      </c>
      <c r="P20" s="338">
        <f>'أخذ التمام الصباحي'!I17</f>
        <v>15</v>
      </c>
      <c r="Q20" s="221">
        <f t="shared" si="4"/>
        <v>15</v>
      </c>
      <c r="R20" s="338">
        <f>'أخذ التمام الصباحي'!J17</f>
        <v>0</v>
      </c>
      <c r="S20" s="335">
        <v>2</v>
      </c>
      <c r="T20" s="203">
        <f t="shared" si="5"/>
        <v>7.5</v>
      </c>
      <c r="U20" s="336">
        <v>180</v>
      </c>
      <c r="V20" s="335">
        <f>'أخذ التمام الصباحي'!L17</f>
        <v>148</v>
      </c>
      <c r="W20" s="221">
        <f t="shared" si="6"/>
        <v>32</v>
      </c>
      <c r="X20" s="335">
        <f>'أخذ التمام الصباحي'!M17</f>
        <v>0</v>
      </c>
      <c r="Y20" s="335">
        <v>7</v>
      </c>
      <c r="Z20" s="203">
        <f t="shared" si="7"/>
        <v>21.142857142857142</v>
      </c>
    </row>
    <row r="21" spans="1:26" ht="20.100000000000001" customHeight="1" thickBot="1" x14ac:dyDescent="0.25">
      <c r="A21" s="336">
        <v>14</v>
      </c>
      <c r="B21" s="202" t="s">
        <v>25</v>
      </c>
      <c r="C21" s="337"/>
      <c r="D21" s="337"/>
      <c r="E21" s="337"/>
      <c r="F21" s="337"/>
      <c r="G21" s="337"/>
      <c r="H21" s="337"/>
      <c r="I21" s="336">
        <v>90</v>
      </c>
      <c r="J21" s="338">
        <f>'أخذ التمام الصباحي'!F18</f>
        <v>76</v>
      </c>
      <c r="K21" s="221">
        <f t="shared" si="2"/>
        <v>14</v>
      </c>
      <c r="L21" s="355">
        <f>'أخذ التمام الصباحي'!G18</f>
        <v>0</v>
      </c>
      <c r="M21" s="335">
        <v>34</v>
      </c>
      <c r="N21" s="203">
        <f t="shared" si="3"/>
        <v>2.2352941176470589</v>
      </c>
      <c r="O21" s="336">
        <v>30</v>
      </c>
      <c r="P21" s="338">
        <f>'أخذ التمام الصباحي'!I18</f>
        <v>21</v>
      </c>
      <c r="Q21" s="221">
        <f t="shared" si="4"/>
        <v>9</v>
      </c>
      <c r="R21" s="338">
        <f>'أخذ التمام الصباحي'!J18</f>
        <v>0</v>
      </c>
      <c r="S21" s="335">
        <v>13</v>
      </c>
      <c r="T21" s="203">
        <f t="shared" si="5"/>
        <v>1.6153846153846154</v>
      </c>
      <c r="U21" s="336">
        <v>180</v>
      </c>
      <c r="V21" s="338">
        <f>'أخذ التمام الصباحي'!L18</f>
        <v>162</v>
      </c>
      <c r="W21" s="221">
        <f t="shared" si="6"/>
        <v>18</v>
      </c>
      <c r="X21" s="338">
        <f>'أخذ التمام الصباحي'!M18</f>
        <v>0</v>
      </c>
      <c r="Y21" s="335">
        <v>22</v>
      </c>
      <c r="Z21" s="203">
        <f t="shared" si="7"/>
        <v>7.3636363636363633</v>
      </c>
    </row>
    <row r="22" spans="1:26" ht="20.100000000000001" customHeight="1" thickBot="1" x14ac:dyDescent="0.25">
      <c r="A22" s="336">
        <v>15</v>
      </c>
      <c r="B22" s="202" t="s">
        <v>27</v>
      </c>
      <c r="C22" s="337"/>
      <c r="D22" s="337"/>
      <c r="E22" s="337"/>
      <c r="F22" s="337"/>
      <c r="G22" s="337"/>
      <c r="H22" s="337"/>
      <c r="I22" s="336">
        <v>90</v>
      </c>
      <c r="J22" s="338">
        <f>'أخذ التمام الصباحي'!F19</f>
        <v>48</v>
      </c>
      <c r="K22" s="221">
        <f t="shared" si="2"/>
        <v>42</v>
      </c>
      <c r="L22" s="355">
        <f>'أخذ التمام الصباحي'!G19</f>
        <v>0</v>
      </c>
      <c r="M22" s="335">
        <v>8</v>
      </c>
      <c r="N22" s="203">
        <f t="shared" si="3"/>
        <v>6</v>
      </c>
      <c r="O22" s="336">
        <v>30</v>
      </c>
      <c r="P22" s="338">
        <f>'أخذ التمام الصباحي'!I19</f>
        <v>15.6</v>
      </c>
      <c r="Q22" s="221">
        <f t="shared" si="4"/>
        <v>14.4</v>
      </c>
      <c r="R22" s="338">
        <f>'أخذ التمام الصباحي'!J19</f>
        <v>0</v>
      </c>
      <c r="S22" s="335">
        <v>2</v>
      </c>
      <c r="T22" s="203">
        <f t="shared" si="5"/>
        <v>7.8</v>
      </c>
      <c r="U22" s="337"/>
      <c r="V22" s="337"/>
      <c r="W22" s="337"/>
      <c r="X22" s="337"/>
      <c r="Y22" s="337"/>
      <c r="Z22" s="337"/>
    </row>
    <row r="23" spans="1:26" ht="20.100000000000001" customHeight="1" thickBot="1" x14ac:dyDescent="0.25">
      <c r="A23" s="336">
        <v>16</v>
      </c>
      <c r="B23" s="202" t="s">
        <v>28</v>
      </c>
      <c r="C23" s="335">
        <v>30</v>
      </c>
      <c r="D23" s="194">
        <f>'أخذ التمام الصباحي'!C20</f>
        <v>19</v>
      </c>
      <c r="E23" s="194">
        <f t="shared" si="0"/>
        <v>11</v>
      </c>
      <c r="F23" s="194">
        <f>'أخذ التمام الصباحي'!D20</f>
        <v>0</v>
      </c>
      <c r="G23" s="194">
        <v>0.6</v>
      </c>
      <c r="H23" s="194">
        <f t="shared" si="1"/>
        <v>31.666666666666668</v>
      </c>
      <c r="I23" s="336">
        <v>60</v>
      </c>
      <c r="J23" s="338">
        <f>'أخذ التمام الصباحي'!F20</f>
        <v>43</v>
      </c>
      <c r="K23" s="221">
        <f t="shared" si="2"/>
        <v>17</v>
      </c>
      <c r="L23" s="355">
        <f>'أخذ التمام الصباحي'!G20</f>
        <v>0</v>
      </c>
      <c r="M23" s="335">
        <v>3</v>
      </c>
      <c r="N23" s="203">
        <f t="shared" si="3"/>
        <v>14.333333333333334</v>
      </c>
      <c r="O23" s="337"/>
      <c r="P23" s="337"/>
      <c r="Q23" s="337"/>
      <c r="R23" s="337"/>
      <c r="S23" s="337"/>
      <c r="T23" s="205"/>
      <c r="U23" s="336">
        <v>120</v>
      </c>
      <c r="V23" s="335">
        <f>'أخذ التمام الصباحي'!L20</f>
        <v>82</v>
      </c>
      <c r="W23" s="221">
        <f t="shared" si="6"/>
        <v>38</v>
      </c>
      <c r="X23" s="335">
        <f>'أخذ التمام الصباحي'!M20</f>
        <v>17</v>
      </c>
      <c r="Y23" s="335">
        <v>7</v>
      </c>
      <c r="Z23" s="203">
        <f t="shared" si="7"/>
        <v>11.714285714285714</v>
      </c>
    </row>
    <row r="24" spans="1:26" ht="20.100000000000001" customHeight="1" thickBot="1" x14ac:dyDescent="0.25">
      <c r="A24" s="336">
        <v>17</v>
      </c>
      <c r="B24" s="202" t="s">
        <v>29</v>
      </c>
      <c r="C24" s="337"/>
      <c r="D24" s="337"/>
      <c r="E24" s="337"/>
      <c r="F24" s="337"/>
      <c r="G24" s="337"/>
      <c r="H24" s="337"/>
      <c r="I24" s="336">
        <v>60</v>
      </c>
      <c r="J24" s="338">
        <f>'أخذ التمام الصباحي'!F21</f>
        <v>32</v>
      </c>
      <c r="K24" s="221">
        <f t="shared" si="2"/>
        <v>28</v>
      </c>
      <c r="L24" s="355">
        <f>'أخذ التمام الصباحي'!G21</f>
        <v>17</v>
      </c>
      <c r="M24" s="335">
        <v>6</v>
      </c>
      <c r="N24" s="203">
        <f t="shared" si="3"/>
        <v>5.333333333333333</v>
      </c>
      <c r="O24" s="337"/>
      <c r="P24" s="337"/>
      <c r="Q24" s="337"/>
      <c r="R24" s="337"/>
      <c r="S24" s="337"/>
      <c r="T24" s="205"/>
      <c r="U24" s="336">
        <v>120</v>
      </c>
      <c r="V24" s="338">
        <f>'أخذ التمام الصباحي'!L21</f>
        <v>98</v>
      </c>
      <c r="W24" s="221">
        <f t="shared" si="6"/>
        <v>22</v>
      </c>
      <c r="X24" s="338">
        <f>'أخذ التمام الصباحي'!M21</f>
        <v>17</v>
      </c>
      <c r="Y24" s="335">
        <v>5</v>
      </c>
      <c r="Z24" s="203">
        <f t="shared" si="7"/>
        <v>19.600000000000001</v>
      </c>
    </row>
    <row r="25" spans="1:26" ht="20.100000000000001" customHeight="1" thickBot="1" x14ac:dyDescent="0.25">
      <c r="A25" s="336">
        <v>18</v>
      </c>
      <c r="B25" s="202" t="s">
        <v>30</v>
      </c>
      <c r="C25" s="337"/>
      <c r="D25" s="337"/>
      <c r="E25" s="337"/>
      <c r="F25" s="337"/>
      <c r="G25" s="337"/>
      <c r="H25" s="337"/>
      <c r="I25" s="336">
        <v>90</v>
      </c>
      <c r="J25" s="338">
        <f>'أخذ التمام الصباحي'!F22</f>
        <v>82</v>
      </c>
      <c r="K25" s="221">
        <f t="shared" si="2"/>
        <v>8</v>
      </c>
      <c r="L25" s="355">
        <f>'أخذ التمام الصباحي'!G22</f>
        <v>17</v>
      </c>
      <c r="M25" s="335">
        <v>15</v>
      </c>
      <c r="N25" s="203">
        <f t="shared" si="3"/>
        <v>5.4666666666666668</v>
      </c>
      <c r="O25" s="336">
        <v>30</v>
      </c>
      <c r="P25" s="335">
        <f>'أخذ التمام الصباحي'!I22</f>
        <v>21</v>
      </c>
      <c r="Q25" s="221">
        <f t="shared" si="4"/>
        <v>9</v>
      </c>
      <c r="R25" s="335">
        <f>'أخذ التمام الصباحي'!J22</f>
        <v>0</v>
      </c>
      <c r="S25" s="335">
        <v>3</v>
      </c>
      <c r="T25" s="203">
        <f t="shared" si="5"/>
        <v>7</v>
      </c>
      <c r="U25" s="336">
        <v>180</v>
      </c>
      <c r="V25" s="338">
        <f>'أخذ التمام الصباحي'!L22</f>
        <v>114</v>
      </c>
      <c r="W25" s="221">
        <f t="shared" si="6"/>
        <v>66</v>
      </c>
      <c r="X25" s="338">
        <f>'أخذ التمام الصباحي'!M22</f>
        <v>68</v>
      </c>
      <c r="Y25" s="335">
        <v>43</v>
      </c>
      <c r="Z25" s="203">
        <f t="shared" si="7"/>
        <v>2.6511627906976742</v>
      </c>
    </row>
    <row r="26" spans="1:26" ht="20.100000000000001" customHeight="1" thickBot="1" x14ac:dyDescent="0.25">
      <c r="A26" s="336">
        <v>19</v>
      </c>
      <c r="B26" s="202" t="s">
        <v>31</v>
      </c>
      <c r="C26" s="337"/>
      <c r="D26" s="337"/>
      <c r="E26" s="337"/>
      <c r="F26" s="337"/>
      <c r="G26" s="337"/>
      <c r="H26" s="337"/>
      <c r="I26" s="336">
        <v>90</v>
      </c>
      <c r="J26" s="338">
        <f>'أخذ التمام الصباحي'!F23</f>
        <v>68</v>
      </c>
      <c r="K26" s="221">
        <f t="shared" si="2"/>
        <v>22</v>
      </c>
      <c r="L26" s="355">
        <f>'أخذ التمام الصباحي'!G23</f>
        <v>17</v>
      </c>
      <c r="M26" s="335">
        <v>17</v>
      </c>
      <c r="N26" s="203">
        <f t="shared" si="3"/>
        <v>4</v>
      </c>
      <c r="O26" s="336">
        <v>30</v>
      </c>
      <c r="P26" s="338">
        <f>'أخذ التمام الصباحي'!I23</f>
        <v>16</v>
      </c>
      <c r="Q26" s="221">
        <f t="shared" si="4"/>
        <v>14</v>
      </c>
      <c r="R26" s="338">
        <f>'أخذ التمام الصباحي'!J23</f>
        <v>0</v>
      </c>
      <c r="S26" s="335">
        <v>4</v>
      </c>
      <c r="T26" s="203">
        <f t="shared" si="5"/>
        <v>4</v>
      </c>
      <c r="U26" s="336">
        <v>180</v>
      </c>
      <c r="V26" s="338">
        <f>'أخذ التمام الصباحي'!L23</f>
        <v>125</v>
      </c>
      <c r="W26" s="221">
        <f t="shared" si="6"/>
        <v>55</v>
      </c>
      <c r="X26" s="338">
        <f>'أخذ التمام الصباحي'!M23</f>
        <v>51</v>
      </c>
      <c r="Y26" s="335">
        <v>40</v>
      </c>
      <c r="Z26" s="203">
        <f t="shared" si="7"/>
        <v>3.125</v>
      </c>
    </row>
    <row r="27" spans="1:26" ht="20.100000000000001" customHeight="1" thickBot="1" x14ac:dyDescent="0.25">
      <c r="A27" s="336">
        <v>20</v>
      </c>
      <c r="B27" s="202" t="s">
        <v>32</v>
      </c>
      <c r="C27" s="337"/>
      <c r="D27" s="337"/>
      <c r="E27" s="337"/>
      <c r="F27" s="337"/>
      <c r="G27" s="337"/>
      <c r="H27" s="337"/>
      <c r="I27" s="336">
        <v>90</v>
      </c>
      <c r="J27" s="338">
        <f>'أخذ التمام الصباحي'!F24</f>
        <v>74</v>
      </c>
      <c r="K27" s="221">
        <f t="shared" si="2"/>
        <v>16</v>
      </c>
      <c r="L27" s="355">
        <f>'أخذ التمام الصباحي'!G24</f>
        <v>17</v>
      </c>
      <c r="M27" s="335">
        <v>12</v>
      </c>
      <c r="N27" s="203">
        <f t="shared" si="3"/>
        <v>6.166666666666667</v>
      </c>
      <c r="O27" s="336">
        <v>30</v>
      </c>
      <c r="P27" s="338">
        <f>'أخذ التمام الصباحي'!I24</f>
        <v>22</v>
      </c>
      <c r="Q27" s="221">
        <f t="shared" si="4"/>
        <v>8</v>
      </c>
      <c r="R27" s="338">
        <f>'أخذ التمام الصباحي'!J24</f>
        <v>0</v>
      </c>
      <c r="S27" s="335">
        <v>2</v>
      </c>
      <c r="T27" s="203">
        <f t="shared" si="5"/>
        <v>11</v>
      </c>
      <c r="U27" s="336">
        <v>180</v>
      </c>
      <c r="V27" s="338">
        <f>'أخذ التمام الصباحي'!L24</f>
        <v>146</v>
      </c>
      <c r="W27" s="221">
        <f t="shared" si="6"/>
        <v>34</v>
      </c>
      <c r="X27" s="338">
        <f>'أخذ التمام الصباحي'!M24</f>
        <v>34</v>
      </c>
      <c r="Y27" s="335">
        <v>22</v>
      </c>
      <c r="Z27" s="203">
        <f t="shared" si="7"/>
        <v>6.6363636363636367</v>
      </c>
    </row>
    <row r="28" spans="1:26" ht="18.75" customHeight="1" thickBot="1" x14ac:dyDescent="0.25">
      <c r="A28" s="336">
        <v>21</v>
      </c>
      <c r="B28" s="202" t="s">
        <v>33</v>
      </c>
      <c r="C28" s="337"/>
      <c r="D28" s="337"/>
      <c r="E28" s="337"/>
      <c r="F28" s="337"/>
      <c r="G28" s="337"/>
      <c r="H28" s="337"/>
      <c r="I28" s="336">
        <v>90</v>
      </c>
      <c r="J28" s="338">
        <f>'أخذ التمام الصباحي'!F25</f>
        <v>83</v>
      </c>
      <c r="K28" s="221">
        <f t="shared" si="2"/>
        <v>7</v>
      </c>
      <c r="L28" s="355">
        <f>'أخذ التمام الصباحي'!G25</f>
        <v>0</v>
      </c>
      <c r="M28" s="335">
        <v>9</v>
      </c>
      <c r="N28" s="203">
        <f t="shared" si="3"/>
        <v>9.2222222222222214</v>
      </c>
      <c r="O28" s="336">
        <v>30</v>
      </c>
      <c r="P28" s="338">
        <f>'أخذ التمام الصباحي'!I25</f>
        <v>23</v>
      </c>
      <c r="Q28" s="221">
        <f t="shared" si="4"/>
        <v>7</v>
      </c>
      <c r="R28" s="338">
        <f>'أخذ التمام الصباحي'!J25</f>
        <v>0</v>
      </c>
      <c r="S28" s="335">
        <v>2</v>
      </c>
      <c r="T28" s="203">
        <f t="shared" si="5"/>
        <v>11.5</v>
      </c>
      <c r="U28" s="336">
        <v>180</v>
      </c>
      <c r="V28" s="338">
        <f>'أخذ التمام الصباحي'!L25</f>
        <v>149</v>
      </c>
      <c r="W28" s="221">
        <f t="shared" si="6"/>
        <v>31</v>
      </c>
      <c r="X28" s="338">
        <f>'أخذ التمام الصباحي'!M25</f>
        <v>0</v>
      </c>
      <c r="Y28" s="335">
        <v>19</v>
      </c>
      <c r="Z28" s="203">
        <f t="shared" si="7"/>
        <v>7.8421052631578947</v>
      </c>
    </row>
    <row r="29" spans="1:26" ht="18.75" customHeight="1" thickBot="1" x14ac:dyDescent="0.25">
      <c r="A29" s="336">
        <v>22</v>
      </c>
      <c r="B29" s="202" t="s">
        <v>112</v>
      </c>
      <c r="C29" s="336">
        <v>90</v>
      </c>
      <c r="D29" s="194">
        <f>'أخذ التمام الصباحي'!C26</f>
        <v>75</v>
      </c>
      <c r="E29" s="194">
        <f t="shared" ref="E29" si="8">C29-D29</f>
        <v>15</v>
      </c>
      <c r="F29" s="194">
        <f>'أخذ التمام الصباحي'!D26</f>
        <v>0</v>
      </c>
      <c r="G29" s="194">
        <v>5</v>
      </c>
      <c r="H29" s="194">
        <f t="shared" ref="H29" si="9">D29/G29</f>
        <v>15</v>
      </c>
      <c r="I29" s="336">
        <v>45</v>
      </c>
      <c r="J29" s="338">
        <f>'أخذ التمام الصباحي'!F26</f>
        <v>23</v>
      </c>
      <c r="K29" s="221">
        <f t="shared" si="2"/>
        <v>22</v>
      </c>
      <c r="L29" s="355">
        <f>'أخذ التمام الصباحي'!G26</f>
        <v>17</v>
      </c>
      <c r="M29" s="335">
        <v>9</v>
      </c>
      <c r="N29" s="203">
        <f t="shared" si="3"/>
        <v>2.5555555555555554</v>
      </c>
      <c r="O29" s="336">
        <v>45</v>
      </c>
      <c r="P29" s="338">
        <f>'أخذ التمام الصباحي'!I26</f>
        <v>35</v>
      </c>
      <c r="Q29" s="221">
        <f t="shared" si="4"/>
        <v>10</v>
      </c>
      <c r="R29" s="338">
        <f>'أخذ التمام الصباحي'!J26</f>
        <v>0</v>
      </c>
      <c r="S29" s="335">
        <v>2</v>
      </c>
      <c r="T29" s="203">
        <f t="shared" si="5"/>
        <v>17.5</v>
      </c>
      <c r="U29" s="336">
        <v>180</v>
      </c>
      <c r="V29" s="338">
        <f>'أخذ التمام الصباحي'!L26</f>
        <v>144</v>
      </c>
      <c r="W29" s="221">
        <f t="shared" si="6"/>
        <v>36</v>
      </c>
      <c r="X29" s="338">
        <f>'أخذ التمام الصباحي'!M26</f>
        <v>34</v>
      </c>
      <c r="Y29" s="335">
        <v>16</v>
      </c>
      <c r="Z29" s="203">
        <f t="shared" si="7"/>
        <v>9</v>
      </c>
    </row>
    <row r="30" spans="1:26" ht="18.75" customHeight="1" thickBot="1" x14ac:dyDescent="0.25">
      <c r="A30" s="336">
        <v>23</v>
      </c>
      <c r="B30" s="202" t="s">
        <v>121</v>
      </c>
      <c r="C30" s="337"/>
      <c r="D30" s="337"/>
      <c r="E30" s="337"/>
      <c r="F30" s="337"/>
      <c r="G30" s="337"/>
      <c r="H30" s="337"/>
      <c r="I30" s="336">
        <v>135</v>
      </c>
      <c r="J30" s="338">
        <f>'أخذ التمام الصباحي'!F27</f>
        <v>118</v>
      </c>
      <c r="K30" s="221">
        <f t="shared" si="2"/>
        <v>17</v>
      </c>
      <c r="L30" s="355">
        <f>'أخذ التمام الصباحي'!G27</f>
        <v>0</v>
      </c>
      <c r="M30" s="335">
        <v>6</v>
      </c>
      <c r="N30" s="203">
        <f t="shared" si="3"/>
        <v>19.666666666666668</v>
      </c>
      <c r="O30" s="336">
        <v>45</v>
      </c>
      <c r="P30" s="338">
        <f>'أخذ التمام الصباحي'!I27</f>
        <v>38</v>
      </c>
      <c r="Q30" s="221">
        <f t="shared" si="4"/>
        <v>7</v>
      </c>
      <c r="R30" s="338">
        <f>'أخذ التمام الصباحي'!J27</f>
        <v>0</v>
      </c>
      <c r="S30" s="335">
        <v>2</v>
      </c>
      <c r="T30" s="203">
        <f t="shared" si="5"/>
        <v>19</v>
      </c>
      <c r="U30" s="360"/>
      <c r="V30" s="360"/>
      <c r="W30" s="360"/>
      <c r="X30" s="360"/>
      <c r="Y30" s="360"/>
      <c r="Z30" s="205"/>
    </row>
    <row r="31" spans="1:26" ht="18.75" customHeight="1" thickBot="1" x14ac:dyDescent="0.25">
      <c r="A31" s="336">
        <v>24</v>
      </c>
      <c r="B31" s="202" t="s">
        <v>168</v>
      </c>
      <c r="C31" s="337"/>
      <c r="D31" s="337"/>
      <c r="E31" s="337"/>
      <c r="F31" s="337"/>
      <c r="G31" s="337"/>
      <c r="H31" s="337"/>
      <c r="I31" s="336">
        <v>180</v>
      </c>
      <c r="J31" s="338">
        <f>'أخذ التمام الصباحي'!F28</f>
        <v>170</v>
      </c>
      <c r="K31" s="221">
        <f t="shared" si="2"/>
        <v>10</v>
      </c>
      <c r="L31" s="355">
        <f>'أخذ التمام الصباحي'!G28</f>
        <v>17</v>
      </c>
      <c r="M31" s="339">
        <v>27</v>
      </c>
      <c r="N31" s="203">
        <f t="shared" si="3"/>
        <v>6.2962962962962967</v>
      </c>
      <c r="O31" s="336">
        <v>90</v>
      </c>
      <c r="P31" s="338">
        <f>'أخذ التمام الصباحي'!I28</f>
        <v>83</v>
      </c>
      <c r="Q31" s="221">
        <f t="shared" si="4"/>
        <v>7</v>
      </c>
      <c r="R31" s="338">
        <f>'أخذ التمام الصباحي'!J28</f>
        <v>0</v>
      </c>
      <c r="S31" s="339">
        <v>10</v>
      </c>
      <c r="T31" s="203">
        <f t="shared" si="5"/>
        <v>8.3000000000000007</v>
      </c>
      <c r="U31" s="360"/>
      <c r="V31" s="360"/>
      <c r="W31" s="360"/>
      <c r="X31" s="360"/>
      <c r="Y31" s="360"/>
      <c r="Z31" s="205"/>
    </row>
    <row r="32" spans="1:26" ht="18.75" customHeight="1" thickBot="1" x14ac:dyDescent="0.25">
      <c r="A32" s="336">
        <v>25</v>
      </c>
      <c r="B32" s="202" t="s">
        <v>169</v>
      </c>
      <c r="C32" s="337"/>
      <c r="D32" s="337"/>
      <c r="E32" s="337"/>
      <c r="F32" s="337"/>
      <c r="G32" s="337"/>
      <c r="H32" s="337"/>
      <c r="I32" s="336">
        <v>180</v>
      </c>
      <c r="J32" s="338">
        <f>'أخذ التمام الصباحي'!F29</f>
        <v>141</v>
      </c>
      <c r="K32" s="221">
        <f t="shared" si="2"/>
        <v>39</v>
      </c>
      <c r="L32" s="355">
        <f>'أخذ التمام الصباحي'!G29</f>
        <v>51</v>
      </c>
      <c r="M32" s="339">
        <v>27</v>
      </c>
      <c r="N32" s="203">
        <f t="shared" si="3"/>
        <v>5.2222222222222223</v>
      </c>
      <c r="O32" s="336">
        <v>90</v>
      </c>
      <c r="P32" s="338">
        <f>'أخذ التمام الصباحي'!I29</f>
        <v>63</v>
      </c>
      <c r="Q32" s="221">
        <f t="shared" si="4"/>
        <v>27</v>
      </c>
      <c r="R32" s="338">
        <f>'أخذ التمام الصباحي'!J29</f>
        <v>34</v>
      </c>
      <c r="S32" s="339">
        <v>9</v>
      </c>
      <c r="T32" s="203">
        <f t="shared" si="5"/>
        <v>7</v>
      </c>
      <c r="U32" s="360"/>
      <c r="V32" s="360"/>
      <c r="W32" s="360"/>
      <c r="X32" s="360"/>
      <c r="Y32" s="360"/>
      <c r="Z32" s="205"/>
    </row>
    <row r="33" spans="1:26" ht="18.75" customHeight="1" thickBot="1" x14ac:dyDescent="0.25">
      <c r="A33" s="336">
        <v>26</v>
      </c>
      <c r="B33" s="320" t="s">
        <v>170</v>
      </c>
      <c r="C33" s="337"/>
      <c r="D33" s="337"/>
      <c r="E33" s="337"/>
      <c r="F33" s="337"/>
      <c r="G33" s="337"/>
      <c r="H33" s="337"/>
      <c r="I33" s="336">
        <v>180</v>
      </c>
      <c r="J33" s="338">
        <f>'أخذ التمام الصباحي'!F30</f>
        <v>160</v>
      </c>
      <c r="K33" s="221">
        <f t="shared" si="2"/>
        <v>20</v>
      </c>
      <c r="L33" s="355">
        <f>'أخذ التمام الصباحي'!G30</f>
        <v>34</v>
      </c>
      <c r="M33" s="339">
        <v>33</v>
      </c>
      <c r="N33" s="203">
        <f t="shared" si="3"/>
        <v>4.8484848484848486</v>
      </c>
      <c r="O33" s="336">
        <v>90</v>
      </c>
      <c r="P33" s="338">
        <f>'أخذ التمام الصباحي'!I30</f>
        <v>70</v>
      </c>
      <c r="Q33" s="221">
        <f t="shared" si="4"/>
        <v>20</v>
      </c>
      <c r="R33" s="338">
        <f>'أخذ التمام الصباحي'!J30</f>
        <v>17</v>
      </c>
      <c r="S33" s="339">
        <v>8</v>
      </c>
      <c r="T33" s="203">
        <f t="shared" si="5"/>
        <v>8.75</v>
      </c>
      <c r="U33" s="360"/>
      <c r="V33" s="360"/>
      <c r="W33" s="360"/>
      <c r="X33" s="360"/>
      <c r="Y33" s="360"/>
      <c r="Z33" s="205"/>
    </row>
    <row r="34" spans="1:26" ht="18.75" customHeight="1" thickBot="1" x14ac:dyDescent="0.25">
      <c r="A34" s="336">
        <v>27</v>
      </c>
      <c r="B34" s="320" t="s">
        <v>171</v>
      </c>
      <c r="C34" s="337"/>
      <c r="D34" s="337"/>
      <c r="E34" s="337"/>
      <c r="F34" s="337"/>
      <c r="G34" s="337"/>
      <c r="H34" s="337"/>
      <c r="I34" s="336">
        <v>180</v>
      </c>
      <c r="J34" s="338">
        <f>'أخذ التمام الصباحي'!F31</f>
        <v>135</v>
      </c>
      <c r="K34" s="221">
        <f t="shared" si="2"/>
        <v>45</v>
      </c>
      <c r="L34" s="355">
        <f>'أخذ التمام الصباحي'!G31</f>
        <v>68</v>
      </c>
      <c r="M34" s="339">
        <v>52</v>
      </c>
      <c r="N34" s="203">
        <f t="shared" si="3"/>
        <v>2.5961538461538463</v>
      </c>
      <c r="O34" s="336">
        <v>90</v>
      </c>
      <c r="P34" s="338">
        <f>'أخذ التمام الصباحي'!I31</f>
        <v>56</v>
      </c>
      <c r="Q34" s="221">
        <f t="shared" si="4"/>
        <v>34</v>
      </c>
      <c r="R34" s="338">
        <f>'أخذ التمام الصباحي'!J31</f>
        <v>34</v>
      </c>
      <c r="S34" s="339">
        <v>11</v>
      </c>
      <c r="T34" s="203">
        <f t="shared" si="5"/>
        <v>5.0909090909090908</v>
      </c>
      <c r="U34" s="360"/>
      <c r="V34" s="360"/>
      <c r="W34" s="360"/>
      <c r="X34" s="360"/>
      <c r="Y34" s="360"/>
      <c r="Z34" s="205"/>
    </row>
    <row r="35" spans="1:26" ht="18.75" customHeight="1" thickBot="1" x14ac:dyDescent="0.25">
      <c r="A35" s="357">
        <v>28</v>
      </c>
      <c r="B35" s="320" t="s">
        <v>197</v>
      </c>
      <c r="C35" s="360"/>
      <c r="D35" s="360"/>
      <c r="E35" s="360"/>
      <c r="F35" s="360"/>
      <c r="G35" s="360"/>
      <c r="H35" s="360"/>
      <c r="I35" s="357">
        <v>180</v>
      </c>
      <c r="J35" s="356">
        <f>'أخذ التمام الصباحي'!F32</f>
        <v>0</v>
      </c>
      <c r="K35" s="221">
        <f t="shared" ref="K35:K38" si="10">I35-J35</f>
        <v>180</v>
      </c>
      <c r="L35" s="356">
        <f>'أخذ التمام الصباحي'!G32</f>
        <v>0</v>
      </c>
      <c r="M35" s="356">
        <v>27</v>
      </c>
      <c r="N35" s="203">
        <f t="shared" ref="N35:N38" si="11">J35/M35</f>
        <v>0</v>
      </c>
      <c r="O35" s="357">
        <v>90</v>
      </c>
      <c r="P35" s="356">
        <f>'أخذ التمام الصباحي'!I32</f>
        <v>0</v>
      </c>
      <c r="Q35" s="221">
        <f t="shared" ref="Q35:Q38" si="12">O35-P35</f>
        <v>90</v>
      </c>
      <c r="R35" s="356">
        <f>'أخذ التمام الصباحي'!J32</f>
        <v>0</v>
      </c>
      <c r="S35" s="356">
        <v>7</v>
      </c>
      <c r="T35" s="203">
        <f t="shared" ref="T35:T38" si="13">P35/S35</f>
        <v>0</v>
      </c>
      <c r="U35" s="360"/>
      <c r="V35" s="360"/>
      <c r="W35" s="360"/>
      <c r="X35" s="360"/>
      <c r="Y35" s="360"/>
      <c r="Z35" s="205"/>
    </row>
    <row r="36" spans="1:26" ht="18.75" customHeight="1" thickBot="1" x14ac:dyDescent="0.25">
      <c r="A36" s="357">
        <v>29</v>
      </c>
      <c r="B36" s="320" t="s">
        <v>198</v>
      </c>
      <c r="C36" s="360"/>
      <c r="D36" s="360"/>
      <c r="E36" s="360"/>
      <c r="F36" s="360"/>
      <c r="G36" s="360"/>
      <c r="H36" s="360"/>
      <c r="I36" s="357">
        <v>180</v>
      </c>
      <c r="J36" s="356">
        <f>'أخذ التمام الصباحي'!F33</f>
        <v>0</v>
      </c>
      <c r="K36" s="221">
        <f t="shared" si="10"/>
        <v>180</v>
      </c>
      <c r="L36" s="356">
        <f>'أخذ التمام الصباحي'!G33</f>
        <v>0</v>
      </c>
      <c r="M36" s="356">
        <v>38</v>
      </c>
      <c r="N36" s="203">
        <f t="shared" si="11"/>
        <v>0</v>
      </c>
      <c r="O36" s="357">
        <v>90</v>
      </c>
      <c r="P36" s="356">
        <f>'أخذ التمام الصباحي'!I33</f>
        <v>0</v>
      </c>
      <c r="Q36" s="221">
        <f t="shared" si="12"/>
        <v>90</v>
      </c>
      <c r="R36" s="356">
        <f>'أخذ التمام الصباحي'!J33</f>
        <v>0</v>
      </c>
      <c r="S36" s="356">
        <v>8</v>
      </c>
      <c r="T36" s="203">
        <f t="shared" si="13"/>
        <v>0</v>
      </c>
      <c r="U36" s="360"/>
      <c r="V36" s="360"/>
      <c r="W36" s="360"/>
      <c r="X36" s="360"/>
      <c r="Y36" s="360"/>
      <c r="Z36" s="205"/>
    </row>
    <row r="37" spans="1:26" ht="18.75" customHeight="1" thickBot="1" x14ac:dyDescent="0.25">
      <c r="A37" s="357">
        <v>30</v>
      </c>
      <c r="B37" s="320" t="s">
        <v>199</v>
      </c>
      <c r="C37" s="360"/>
      <c r="D37" s="360"/>
      <c r="E37" s="360"/>
      <c r="F37" s="360"/>
      <c r="G37" s="360"/>
      <c r="H37" s="360"/>
      <c r="I37" s="357">
        <v>180</v>
      </c>
      <c r="J37" s="356">
        <f>'أخذ التمام الصباحي'!F34</f>
        <v>0</v>
      </c>
      <c r="K37" s="221">
        <f t="shared" si="10"/>
        <v>180</v>
      </c>
      <c r="L37" s="356">
        <f>'أخذ التمام الصباحي'!G34</f>
        <v>0</v>
      </c>
      <c r="M37" s="356">
        <v>38</v>
      </c>
      <c r="N37" s="203">
        <f t="shared" si="11"/>
        <v>0</v>
      </c>
      <c r="O37" s="357">
        <v>90</v>
      </c>
      <c r="P37" s="356">
        <f>'أخذ التمام الصباحي'!I34</f>
        <v>0</v>
      </c>
      <c r="Q37" s="221">
        <f t="shared" si="12"/>
        <v>90</v>
      </c>
      <c r="R37" s="356">
        <f>'أخذ التمام الصباحي'!J34</f>
        <v>0</v>
      </c>
      <c r="S37" s="356">
        <v>8</v>
      </c>
      <c r="T37" s="203">
        <f t="shared" si="13"/>
        <v>0</v>
      </c>
      <c r="U37" s="360"/>
      <c r="V37" s="360"/>
      <c r="W37" s="360"/>
      <c r="X37" s="360"/>
      <c r="Y37" s="360"/>
      <c r="Z37" s="205"/>
    </row>
    <row r="38" spans="1:26" ht="18.75" customHeight="1" thickBot="1" x14ac:dyDescent="0.25">
      <c r="A38" s="357">
        <v>31</v>
      </c>
      <c r="B38" s="320" t="s">
        <v>200</v>
      </c>
      <c r="C38" s="360"/>
      <c r="D38" s="360"/>
      <c r="E38" s="360"/>
      <c r="F38" s="360"/>
      <c r="G38" s="360"/>
      <c r="H38" s="360"/>
      <c r="I38" s="357">
        <v>180</v>
      </c>
      <c r="J38" s="356">
        <f>'أخذ التمام الصباحي'!F35</f>
        <v>0</v>
      </c>
      <c r="K38" s="221">
        <f t="shared" si="10"/>
        <v>180</v>
      </c>
      <c r="L38" s="356">
        <f>'أخذ التمام الصباحي'!G35</f>
        <v>0</v>
      </c>
      <c r="M38" s="356">
        <v>9</v>
      </c>
      <c r="N38" s="203">
        <f t="shared" si="11"/>
        <v>0</v>
      </c>
      <c r="O38" s="357">
        <v>90</v>
      </c>
      <c r="P38" s="356">
        <f>'أخذ التمام الصباحي'!I35</f>
        <v>0</v>
      </c>
      <c r="Q38" s="221">
        <f t="shared" si="12"/>
        <v>90</v>
      </c>
      <c r="R38" s="356">
        <f>'أخذ التمام الصباحي'!J35</f>
        <v>0</v>
      </c>
      <c r="S38" s="356">
        <v>2</v>
      </c>
      <c r="T38" s="203">
        <f t="shared" si="13"/>
        <v>0</v>
      </c>
      <c r="U38" s="357">
        <v>180</v>
      </c>
      <c r="V38" s="356">
        <f>'أخذ التمام الصباحي'!L35</f>
        <v>0</v>
      </c>
      <c r="W38" s="221">
        <f t="shared" ref="W38" si="14">U38-V38</f>
        <v>180</v>
      </c>
      <c r="X38" s="356">
        <f>'أخذ التمام الصباحي'!M35</f>
        <v>0</v>
      </c>
      <c r="Y38" s="356">
        <v>30</v>
      </c>
      <c r="Z38" s="203">
        <f t="shared" ref="Z38" si="15">V38/Y38</f>
        <v>0</v>
      </c>
    </row>
    <row r="39" spans="1:26" ht="20.100000000000001" customHeight="1" thickBot="1" x14ac:dyDescent="0.25">
      <c r="A39" s="398" t="s">
        <v>34</v>
      </c>
      <c r="B39" s="398"/>
      <c r="C39" s="206">
        <f>SUM(C8:C38)</f>
        <v>300</v>
      </c>
      <c r="D39" s="206">
        <f t="shared" ref="D39:Z39" si="16">SUM(D8:D38)</f>
        <v>202</v>
      </c>
      <c r="E39" s="206">
        <f t="shared" si="16"/>
        <v>98</v>
      </c>
      <c r="F39" s="206">
        <f t="shared" si="16"/>
        <v>68</v>
      </c>
      <c r="G39" s="206">
        <f t="shared" si="16"/>
        <v>57.6</v>
      </c>
      <c r="H39" s="206">
        <f t="shared" si="16"/>
        <v>57.218253968253968</v>
      </c>
      <c r="I39" s="206">
        <f t="shared" si="16"/>
        <v>3525</v>
      </c>
      <c r="J39" s="206">
        <f t="shared" si="16"/>
        <v>2196</v>
      </c>
      <c r="K39" s="206">
        <f t="shared" si="16"/>
        <v>1329</v>
      </c>
      <c r="L39" s="206">
        <f t="shared" si="16"/>
        <v>459</v>
      </c>
      <c r="M39" s="206">
        <f t="shared" si="16"/>
        <v>684</v>
      </c>
      <c r="N39" s="206">
        <f t="shared" si="16"/>
        <v>150.80072217617857</v>
      </c>
      <c r="O39" s="206">
        <f t="shared" si="16"/>
        <v>1380</v>
      </c>
      <c r="P39" s="206">
        <f t="shared" si="16"/>
        <v>726.1</v>
      </c>
      <c r="Q39" s="206">
        <f t="shared" si="16"/>
        <v>653.9</v>
      </c>
      <c r="R39" s="206">
        <f t="shared" si="16"/>
        <v>153</v>
      </c>
      <c r="S39" s="206">
        <f t="shared" si="16"/>
        <v>174</v>
      </c>
      <c r="T39" s="206">
        <f t="shared" si="16"/>
        <v>155.21361693861695</v>
      </c>
      <c r="U39" s="206">
        <f t="shared" si="16"/>
        <v>2580</v>
      </c>
      <c r="V39" s="206">
        <f t="shared" si="16"/>
        <v>1914</v>
      </c>
      <c r="W39" s="206">
        <f t="shared" si="16"/>
        <v>666</v>
      </c>
      <c r="X39" s="206">
        <f t="shared" si="16"/>
        <v>340</v>
      </c>
      <c r="Y39" s="206">
        <f t="shared" si="16"/>
        <v>306</v>
      </c>
      <c r="Z39" s="206">
        <f t="shared" si="16"/>
        <v>161.69718510454678</v>
      </c>
    </row>
    <row r="40" spans="1:26" ht="20.100000000000001" customHeight="1" thickBot="1" x14ac:dyDescent="0.25">
      <c r="A40" s="385" t="s">
        <v>35</v>
      </c>
      <c r="B40" s="385"/>
      <c r="C40" s="389">
        <f>C39+I39+O39+U39</f>
        <v>7785</v>
      </c>
      <c r="D40" s="390"/>
      <c r="E40" s="390"/>
      <c r="F40" s="390"/>
      <c r="G40" s="390"/>
      <c r="H40" s="390"/>
      <c r="I40" s="390"/>
      <c r="J40" s="390"/>
      <c r="K40" s="390"/>
      <c r="L40" s="390"/>
      <c r="M40" s="390"/>
      <c r="N40" s="390"/>
      <c r="O40" s="390"/>
      <c r="P40" s="390"/>
      <c r="Q40" s="390"/>
      <c r="R40" s="390"/>
      <c r="S40" s="390"/>
      <c r="T40" s="390"/>
      <c r="U40" s="390"/>
      <c r="V40" s="390"/>
      <c r="W40" s="390"/>
      <c r="X40" s="390"/>
      <c r="Y40" s="390"/>
      <c r="Z40" s="391"/>
    </row>
    <row r="41" spans="1:26" ht="20.100000000000001" customHeight="1" thickBot="1" x14ac:dyDescent="0.25">
      <c r="A41" s="385" t="s">
        <v>36</v>
      </c>
      <c r="B41" s="385"/>
      <c r="C41" s="389">
        <f>D39+J39+P39+V39</f>
        <v>5038.1000000000004</v>
      </c>
      <c r="D41" s="390"/>
      <c r="E41" s="390"/>
      <c r="F41" s="390"/>
      <c r="G41" s="390"/>
      <c r="H41" s="390"/>
      <c r="I41" s="390"/>
      <c r="J41" s="390"/>
      <c r="K41" s="390"/>
      <c r="L41" s="390"/>
      <c r="M41" s="390"/>
      <c r="N41" s="390"/>
      <c r="O41" s="390"/>
      <c r="P41" s="390"/>
      <c r="Q41" s="390"/>
      <c r="R41" s="390"/>
      <c r="S41" s="390"/>
      <c r="T41" s="390"/>
      <c r="U41" s="390"/>
      <c r="V41" s="390"/>
      <c r="W41" s="390"/>
      <c r="X41" s="390"/>
      <c r="Y41" s="390"/>
      <c r="Z41" s="391"/>
    </row>
    <row r="42" spans="1:26" ht="20.100000000000001" customHeight="1" thickBot="1" x14ac:dyDescent="0.25">
      <c r="A42" s="385" t="s">
        <v>37</v>
      </c>
      <c r="B42" s="385"/>
      <c r="C42" s="389">
        <f>E39+K39+Q39+W39</f>
        <v>2746.9</v>
      </c>
      <c r="D42" s="390"/>
      <c r="E42" s="390"/>
      <c r="F42" s="390"/>
      <c r="G42" s="390"/>
      <c r="H42" s="390"/>
      <c r="I42" s="390"/>
      <c r="J42" s="390"/>
      <c r="K42" s="390"/>
      <c r="L42" s="390"/>
      <c r="M42" s="390"/>
      <c r="N42" s="390"/>
      <c r="O42" s="390"/>
      <c r="P42" s="390"/>
      <c r="Q42" s="390"/>
      <c r="R42" s="390"/>
      <c r="S42" s="390"/>
      <c r="T42" s="390"/>
      <c r="U42" s="390"/>
      <c r="V42" s="390"/>
      <c r="W42" s="390"/>
      <c r="X42" s="390"/>
      <c r="Y42" s="390"/>
      <c r="Z42" s="391"/>
    </row>
    <row r="43" spans="1:26" ht="20.100000000000001" customHeight="1" thickBot="1" x14ac:dyDescent="0.25">
      <c r="A43" s="385" t="s">
        <v>38</v>
      </c>
      <c r="B43" s="385"/>
      <c r="C43" s="392">
        <f>C41/C40</f>
        <v>0.64715478484264621</v>
      </c>
      <c r="D43" s="393"/>
      <c r="E43" s="393"/>
      <c r="F43" s="393"/>
      <c r="G43" s="393"/>
      <c r="H43" s="393"/>
      <c r="I43" s="393"/>
      <c r="J43" s="393"/>
      <c r="K43" s="393"/>
      <c r="L43" s="393"/>
      <c r="M43" s="393"/>
      <c r="N43" s="393"/>
      <c r="O43" s="393"/>
      <c r="P43" s="393"/>
      <c r="Q43" s="393"/>
      <c r="R43" s="393"/>
      <c r="S43" s="393"/>
      <c r="T43" s="393"/>
      <c r="U43" s="393"/>
      <c r="V43" s="393"/>
      <c r="W43" s="393"/>
      <c r="X43" s="393"/>
      <c r="Y43" s="393"/>
      <c r="Z43" s="394"/>
    </row>
    <row r="44" spans="1:26" ht="20.100000000000001" customHeight="1" thickBot="1" x14ac:dyDescent="0.25">
      <c r="A44" s="385" t="s">
        <v>39</v>
      </c>
      <c r="B44" s="385"/>
      <c r="C44" s="389">
        <f>F39+L39+R39+X39</f>
        <v>1020</v>
      </c>
      <c r="D44" s="390"/>
      <c r="E44" s="390"/>
      <c r="F44" s="390"/>
      <c r="G44" s="390"/>
      <c r="H44" s="390"/>
      <c r="I44" s="390"/>
      <c r="J44" s="390"/>
      <c r="K44" s="390"/>
      <c r="L44" s="390"/>
      <c r="M44" s="390"/>
      <c r="N44" s="390"/>
      <c r="O44" s="390"/>
      <c r="P44" s="390"/>
      <c r="Q44" s="390"/>
      <c r="R44" s="390"/>
      <c r="S44" s="390"/>
      <c r="T44" s="390"/>
      <c r="U44" s="390"/>
      <c r="V44" s="390"/>
      <c r="W44" s="390"/>
      <c r="X44" s="390"/>
      <c r="Y44" s="390"/>
      <c r="Z44" s="391"/>
    </row>
    <row r="45" spans="1:26" ht="15.75" thickBot="1" x14ac:dyDescent="0.25">
      <c r="A45" s="385" t="s">
        <v>40</v>
      </c>
      <c r="B45" s="385"/>
      <c r="C45" s="395">
        <f>C44/'التمام الصباحي'!$C$41:$Z$41</f>
        <v>0.20245727556023102</v>
      </c>
      <c r="D45" s="396"/>
      <c r="E45" s="396"/>
      <c r="F45" s="396"/>
      <c r="G45" s="396"/>
      <c r="H45" s="396"/>
      <c r="I45" s="396"/>
      <c r="J45" s="396"/>
      <c r="K45" s="396"/>
      <c r="L45" s="396"/>
      <c r="M45" s="396"/>
      <c r="N45" s="396"/>
      <c r="O45" s="396"/>
      <c r="P45" s="396"/>
      <c r="Q45" s="396"/>
      <c r="R45" s="396"/>
      <c r="S45" s="396"/>
      <c r="T45" s="396"/>
      <c r="U45" s="396"/>
      <c r="V45" s="396"/>
      <c r="W45" s="396"/>
      <c r="X45" s="396"/>
      <c r="Y45" s="396"/>
      <c r="Z45" s="397"/>
    </row>
    <row r="46" spans="1:26" x14ac:dyDescent="0.2">
      <c r="A46" s="208"/>
      <c r="B46" s="208"/>
      <c r="C46" s="222"/>
      <c r="D46" s="208"/>
      <c r="E46" s="208"/>
      <c r="F46" s="208"/>
      <c r="G46" s="208"/>
      <c r="H46" s="208"/>
      <c r="I46" s="208"/>
      <c r="J46" s="208"/>
      <c r="K46" s="208"/>
      <c r="L46" s="208"/>
      <c r="M46" s="208"/>
      <c r="N46" s="208"/>
      <c r="O46" s="208"/>
      <c r="P46" s="208"/>
      <c r="Q46" s="208"/>
      <c r="R46" s="208"/>
      <c r="S46" s="208"/>
      <c r="T46" s="208"/>
      <c r="U46" s="208"/>
      <c r="V46" s="208"/>
      <c r="W46" s="208"/>
      <c r="X46" s="208"/>
      <c r="Y46" s="208"/>
      <c r="Z46" s="208"/>
    </row>
  </sheetData>
  <sheetProtection selectLockedCells="1"/>
  <customSheetViews>
    <customSheetView guid="{18C0F7AC-4BB1-46DE-8A01-8E31FE0585FC}" scale="70" fitToPage="1">
      <pane xSplit="2" ySplit="7" topLeftCell="C8" activePane="bottomRight" state="frozen"/>
      <selection pane="bottomRight" activeCell="E10" sqref="E10"/>
      <pageMargins left="0.25" right="0.25" top="0.75" bottom="0.75" header="0.3" footer="0.3"/>
      <pageSetup paperSize="9" scale="74" orientation="landscape" r:id="rId1"/>
    </customSheetView>
    <customSheetView guid="{8317B6D8-8A99-4EB0-9DBC-8E9AE0170A4B}" scale="90" fitToPage="1">
      <pane xSplit="2" ySplit="7" topLeftCell="C8" activePane="bottomRight" state="frozen"/>
      <selection pane="bottomRight" activeCell="A14" sqref="A14:XFD14"/>
      <pageMargins left="0.11811023622047245" right="0.59055118110236227" top="0.74803149606299213" bottom="0.74803149606299213" header="0.31496062992125984" footer="0.31496062992125984"/>
      <pageSetup paperSize="9" scale="74" orientation="landscape" r:id="rId2"/>
    </customSheetView>
  </customSheetViews>
  <mergeCells count="28">
    <mergeCell ref="A39:B39"/>
    <mergeCell ref="A40:B40"/>
    <mergeCell ref="A41:B41"/>
    <mergeCell ref="A42:B42"/>
    <mergeCell ref="A43:B43"/>
    <mergeCell ref="A45:B45"/>
    <mergeCell ref="C40:Z40"/>
    <mergeCell ref="C41:Z41"/>
    <mergeCell ref="C42:Z42"/>
    <mergeCell ref="C43:Z43"/>
    <mergeCell ref="C44:Z44"/>
    <mergeCell ref="C45:Z45"/>
    <mergeCell ref="X1:Y1"/>
    <mergeCell ref="A44:B44"/>
    <mergeCell ref="P6:T6"/>
    <mergeCell ref="U6:U7"/>
    <mergeCell ref="V6:Z6"/>
    <mergeCell ref="A6:A7"/>
    <mergeCell ref="C6:C7"/>
    <mergeCell ref="B6:B7"/>
    <mergeCell ref="D6:H6"/>
    <mergeCell ref="I6:I7"/>
    <mergeCell ref="J6:N6"/>
    <mergeCell ref="O6:O7"/>
    <mergeCell ref="I5:N5"/>
    <mergeCell ref="A1:E1"/>
    <mergeCell ref="A2:E2"/>
    <mergeCell ref="A3:E3"/>
  </mergeCells>
  <pageMargins left="0.25" right="0.25" top="0.75" bottom="0.75" header="0.3" footer="0.3"/>
  <pageSetup paperSize="9" scale="57" orientation="landscape" r:id="rId3"/>
  <drawing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33"/>
  <sheetViews>
    <sheetView rightToLeft="1" zoomScale="90" zoomScaleNormal="90" zoomScaleSheetLayoutView="70"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Q9" sqref="Q9"/>
    </sheetView>
  </sheetViews>
  <sheetFormatPr defaultColWidth="9" defaultRowHeight="14.25" x14ac:dyDescent="0.2"/>
  <cols>
    <col min="1" max="1" width="5.625" style="198" customWidth="1"/>
    <col min="2" max="2" width="9.125" style="198" customWidth="1"/>
    <col min="3" max="3" width="5.25" style="198" customWidth="1"/>
    <col min="4" max="4" width="6.75" style="198" customWidth="1"/>
    <col min="5" max="5" width="7.375" style="198" customWidth="1"/>
    <col min="6" max="6" width="6.75" style="198" bestFit="1" customWidth="1"/>
    <col min="7" max="7" width="6.875" style="198" customWidth="1"/>
    <col min="8" max="8" width="7" style="198" customWidth="1"/>
    <col min="9" max="9" width="6.375" style="198" customWidth="1"/>
    <col min="10" max="10" width="6.875" style="198" customWidth="1"/>
    <col min="11" max="11" width="6.75" style="198" bestFit="1" customWidth="1"/>
    <col min="12" max="12" width="6.875" style="198" bestFit="1" customWidth="1"/>
    <col min="13" max="13" width="6.375" style="198" customWidth="1"/>
    <col min="14" max="15" width="6.75" style="198" customWidth="1"/>
    <col min="16" max="16" width="6.75" style="198" bestFit="1" customWidth="1"/>
    <col min="17" max="17" width="6.875" style="198" bestFit="1" customWidth="1"/>
    <col min="18" max="18" width="5.125" style="198" customWidth="1"/>
    <col min="19" max="19" width="6.375" style="198" customWidth="1"/>
    <col min="20" max="20" width="6.75" style="198" customWidth="1"/>
    <col min="21" max="21" width="6.75" style="198" bestFit="1" customWidth="1"/>
    <col min="22" max="22" width="6.625" style="198" customWidth="1"/>
    <col min="23" max="23" width="5.375" style="198" customWidth="1"/>
    <col min="24" max="24" width="4.75" style="198" customWidth="1"/>
    <col min="25" max="25" width="7.25" style="198" customWidth="1"/>
    <col min="26" max="26" width="7.375" style="198" customWidth="1"/>
    <col min="27" max="16384" width="9" style="198"/>
  </cols>
  <sheetData>
    <row r="1" spans="1:25" ht="18" x14ac:dyDescent="0.25">
      <c r="A1" s="388" t="s">
        <v>0</v>
      </c>
      <c r="B1" s="388"/>
      <c r="C1" s="388"/>
      <c r="D1" s="388"/>
      <c r="E1" s="388"/>
      <c r="X1" s="384"/>
      <c r="Y1" s="384"/>
    </row>
    <row r="2" spans="1:25" ht="15.75" x14ac:dyDescent="0.25">
      <c r="A2" s="388" t="s">
        <v>1</v>
      </c>
      <c r="B2" s="388"/>
      <c r="C2" s="388"/>
      <c r="D2" s="388"/>
      <c r="E2" s="388"/>
    </row>
    <row r="3" spans="1:25" ht="15.75" x14ac:dyDescent="0.25">
      <c r="A3" s="388" t="s">
        <v>2</v>
      </c>
      <c r="B3" s="388"/>
      <c r="C3" s="388"/>
      <c r="D3" s="388"/>
      <c r="E3" s="388"/>
    </row>
    <row r="5" spans="1:25" ht="36.75" customHeight="1" thickBot="1" x14ac:dyDescent="0.3">
      <c r="G5" s="199"/>
      <c r="H5" s="387" t="s">
        <v>161</v>
      </c>
      <c r="I5" s="387"/>
      <c r="J5" s="387"/>
      <c r="K5" s="387"/>
      <c r="L5" s="387"/>
      <c r="M5" s="387"/>
      <c r="N5" s="387"/>
      <c r="O5" s="387"/>
      <c r="T5" s="200" t="s">
        <v>41</v>
      </c>
    </row>
    <row r="6" spans="1:25" ht="20.100000000000001" customHeight="1" thickBot="1" x14ac:dyDescent="0.25">
      <c r="A6" s="386" t="s">
        <v>14</v>
      </c>
      <c r="B6" s="386" t="s">
        <v>3</v>
      </c>
      <c r="C6" s="386" t="s">
        <v>4</v>
      </c>
      <c r="D6" s="531" t="s">
        <v>5</v>
      </c>
      <c r="E6" s="532"/>
      <c r="F6" s="532"/>
      <c r="G6" s="533"/>
      <c r="H6" s="386" t="s">
        <v>4</v>
      </c>
      <c r="I6" s="531" t="s">
        <v>11</v>
      </c>
      <c r="J6" s="532"/>
      <c r="K6" s="532"/>
      <c r="L6" s="533"/>
      <c r="M6" s="386" t="s">
        <v>4</v>
      </c>
      <c r="N6" s="531" t="s">
        <v>12</v>
      </c>
      <c r="O6" s="532"/>
      <c r="P6" s="532"/>
      <c r="Q6" s="533"/>
      <c r="R6" s="386" t="s">
        <v>4</v>
      </c>
      <c r="S6" s="531" t="s">
        <v>13</v>
      </c>
      <c r="T6" s="532"/>
      <c r="U6" s="532"/>
      <c r="V6" s="533"/>
    </row>
    <row r="7" spans="1:25" ht="20.100000000000001" customHeight="1" thickBot="1" x14ac:dyDescent="0.25">
      <c r="A7" s="386"/>
      <c r="B7" s="386"/>
      <c r="C7" s="386"/>
      <c r="D7" s="201" t="s">
        <v>6</v>
      </c>
      <c r="E7" s="201" t="s">
        <v>7</v>
      </c>
      <c r="F7" s="201" t="s">
        <v>9</v>
      </c>
      <c r="G7" s="201" t="s">
        <v>10</v>
      </c>
      <c r="H7" s="386"/>
      <c r="I7" s="201" t="s">
        <v>6</v>
      </c>
      <c r="J7" s="201" t="s">
        <v>7</v>
      </c>
      <c r="K7" s="201" t="s">
        <v>9</v>
      </c>
      <c r="L7" s="201" t="s">
        <v>10</v>
      </c>
      <c r="M7" s="386"/>
      <c r="N7" s="201" t="s">
        <v>6</v>
      </c>
      <c r="O7" s="201" t="s">
        <v>7</v>
      </c>
      <c r="P7" s="201" t="s">
        <v>9</v>
      </c>
      <c r="Q7" s="201" t="s">
        <v>10</v>
      </c>
      <c r="R7" s="386"/>
      <c r="S7" s="201" t="s">
        <v>6</v>
      </c>
      <c r="T7" s="201" t="s">
        <v>7</v>
      </c>
      <c r="U7" s="201" t="s">
        <v>9</v>
      </c>
      <c r="V7" s="201" t="s">
        <v>10</v>
      </c>
    </row>
    <row r="8" spans="1:25" ht="20.100000000000001" customHeight="1" thickBot="1" x14ac:dyDescent="0.25">
      <c r="A8" s="262">
        <v>1</v>
      </c>
      <c r="B8" s="202" t="s">
        <v>15</v>
      </c>
      <c r="C8" s="263"/>
      <c r="D8" s="263"/>
      <c r="E8" s="263"/>
      <c r="F8" s="263"/>
      <c r="G8" s="263"/>
      <c r="H8" s="262">
        <v>90</v>
      </c>
      <c r="I8" s="261">
        <f>H8-J8</f>
        <v>90</v>
      </c>
      <c r="J8" s="221">
        <f>'خطة الإمداد'!F8</f>
        <v>0</v>
      </c>
      <c r="K8" s="261">
        <v>19</v>
      </c>
      <c r="L8" s="203">
        <f>I8/K8</f>
        <v>4.7368421052631575</v>
      </c>
      <c r="M8" s="262">
        <v>30</v>
      </c>
      <c r="N8" s="261">
        <f>M8-O8</f>
        <v>30</v>
      </c>
      <c r="O8" s="221">
        <f>'خطة الإمداد'!G8</f>
        <v>0</v>
      </c>
      <c r="P8" s="261">
        <v>5</v>
      </c>
      <c r="Q8" s="203">
        <f>N8/P8</f>
        <v>6</v>
      </c>
      <c r="R8" s="263"/>
      <c r="S8" s="263"/>
      <c r="T8" s="263"/>
      <c r="U8" s="263"/>
      <c r="V8" s="263"/>
    </row>
    <row r="9" spans="1:25" ht="20.100000000000001" customHeight="1" thickBot="1" x14ac:dyDescent="0.25">
      <c r="A9" s="281">
        <v>2</v>
      </c>
      <c r="B9" s="202" t="s">
        <v>163</v>
      </c>
      <c r="C9" s="286"/>
      <c r="D9" s="286"/>
      <c r="E9" s="286"/>
      <c r="F9" s="286"/>
      <c r="G9" s="286"/>
      <c r="H9" s="281"/>
      <c r="I9" s="280"/>
      <c r="J9" s="221"/>
      <c r="K9" s="280"/>
      <c r="L9" s="203"/>
      <c r="M9" s="281"/>
      <c r="N9" s="280"/>
      <c r="O9" s="221"/>
      <c r="P9" s="280"/>
      <c r="Q9" s="203"/>
      <c r="R9" s="286"/>
      <c r="S9" s="286"/>
      <c r="T9" s="286"/>
      <c r="U9" s="286"/>
      <c r="V9" s="286"/>
    </row>
    <row r="10" spans="1:25" ht="20.100000000000001" customHeight="1" thickBot="1" x14ac:dyDescent="0.25">
      <c r="A10" s="281">
        <v>3</v>
      </c>
      <c r="B10" s="202" t="s">
        <v>16</v>
      </c>
      <c r="C10" s="261">
        <v>30</v>
      </c>
      <c r="D10" s="261">
        <f t="shared" ref="D10:D22" si="0">C10-E10</f>
        <v>30</v>
      </c>
      <c r="E10" s="261">
        <f>'خطة الإمداد'!E10</f>
        <v>0</v>
      </c>
      <c r="F10" s="261">
        <v>4</v>
      </c>
      <c r="G10" s="204">
        <f>D10/F10</f>
        <v>7.5</v>
      </c>
      <c r="H10" s="262">
        <v>60</v>
      </c>
      <c r="I10" s="261">
        <f t="shared" ref="I10:I27" si="1">H10-J10</f>
        <v>60</v>
      </c>
      <c r="J10" s="221">
        <f>'خطة الإمداد'!F10</f>
        <v>0</v>
      </c>
      <c r="K10" s="261">
        <v>21</v>
      </c>
      <c r="L10" s="203">
        <f t="shared" ref="L10:L21" si="2">I10/K10</f>
        <v>2.8571428571428572</v>
      </c>
      <c r="M10" s="262">
        <v>30</v>
      </c>
      <c r="N10" s="261">
        <f t="shared" ref="N10:N27" si="3">M10-O10</f>
        <v>30</v>
      </c>
      <c r="O10" s="221">
        <f>'خطة الإمداد'!G10</f>
        <v>0</v>
      </c>
      <c r="P10" s="261">
        <v>5</v>
      </c>
      <c r="Q10" s="203">
        <f>N10/P10</f>
        <v>6</v>
      </c>
      <c r="R10" s="262">
        <v>180</v>
      </c>
      <c r="S10" s="221">
        <f t="shared" ref="S10:S27" si="4">R10-T10</f>
        <v>180</v>
      </c>
      <c r="T10" s="261">
        <f>'خطة الإمداد'!H10</f>
        <v>0</v>
      </c>
      <c r="U10" s="261">
        <v>3</v>
      </c>
      <c r="V10" s="203">
        <f>S10/U10</f>
        <v>60</v>
      </c>
    </row>
    <row r="11" spans="1:25" ht="20.100000000000001" customHeight="1" thickBot="1" x14ac:dyDescent="0.25">
      <c r="A11" s="281">
        <v>4</v>
      </c>
      <c r="B11" s="202" t="s">
        <v>17</v>
      </c>
      <c r="C11" s="261">
        <v>30</v>
      </c>
      <c r="D11" s="261">
        <f t="shared" si="0"/>
        <v>30</v>
      </c>
      <c r="E11" s="261">
        <f>'خطة الإمداد'!E11</f>
        <v>0</v>
      </c>
      <c r="F11" s="261">
        <v>9</v>
      </c>
      <c r="G11" s="204">
        <f>D11/F11</f>
        <v>3.3333333333333335</v>
      </c>
      <c r="H11" s="262">
        <v>60</v>
      </c>
      <c r="I11" s="261">
        <f t="shared" si="1"/>
        <v>60</v>
      </c>
      <c r="J11" s="221">
        <f>'خطة الإمداد'!F11</f>
        <v>0</v>
      </c>
      <c r="K11" s="261">
        <v>34</v>
      </c>
      <c r="L11" s="203">
        <f t="shared" si="2"/>
        <v>1.7647058823529411</v>
      </c>
      <c r="M11" s="262">
        <v>30</v>
      </c>
      <c r="N11" s="261">
        <f t="shared" si="3"/>
        <v>30</v>
      </c>
      <c r="O11" s="221">
        <f>'خطة الإمداد'!G11</f>
        <v>0</v>
      </c>
      <c r="P11" s="261">
        <v>8</v>
      </c>
      <c r="Q11" s="203">
        <f>N11/P11</f>
        <v>3.75</v>
      </c>
      <c r="R11" s="263"/>
      <c r="S11" s="263"/>
      <c r="T11" s="263"/>
      <c r="U11" s="263"/>
      <c r="V11" s="263"/>
    </row>
    <row r="12" spans="1:25" ht="20.100000000000001" customHeight="1" thickBot="1" x14ac:dyDescent="0.25">
      <c r="A12" s="281">
        <v>5</v>
      </c>
      <c r="B12" s="202" t="s">
        <v>18</v>
      </c>
      <c r="C12" s="261">
        <v>30</v>
      </c>
      <c r="D12" s="261">
        <f t="shared" si="0"/>
        <v>30</v>
      </c>
      <c r="E12" s="261">
        <f>'خطة الإمداد'!E12</f>
        <v>0</v>
      </c>
      <c r="F12" s="261">
        <v>4</v>
      </c>
      <c r="G12" s="204">
        <f>D12/F12</f>
        <v>7.5</v>
      </c>
      <c r="H12" s="262">
        <v>90</v>
      </c>
      <c r="I12" s="261">
        <f t="shared" si="1"/>
        <v>90</v>
      </c>
      <c r="J12" s="221">
        <f>'خطة الإمداد'!F12</f>
        <v>0</v>
      </c>
      <c r="K12" s="261">
        <v>19</v>
      </c>
      <c r="L12" s="203">
        <f t="shared" si="2"/>
        <v>4.7368421052631575</v>
      </c>
      <c r="M12" s="263"/>
      <c r="N12" s="263"/>
      <c r="O12" s="263"/>
      <c r="P12" s="263"/>
      <c r="Q12" s="205"/>
      <c r="R12" s="262">
        <v>180</v>
      </c>
      <c r="S12" s="221">
        <f t="shared" si="4"/>
        <v>180</v>
      </c>
      <c r="T12" s="261">
        <f>'خطة الإمداد'!H12</f>
        <v>0</v>
      </c>
      <c r="U12" s="261">
        <v>8</v>
      </c>
      <c r="V12" s="203">
        <f>S12/U12</f>
        <v>22.5</v>
      </c>
    </row>
    <row r="13" spans="1:25" ht="20.100000000000001" customHeight="1" thickBot="1" x14ac:dyDescent="0.25">
      <c r="A13" s="281">
        <v>6</v>
      </c>
      <c r="B13" s="202" t="s">
        <v>19</v>
      </c>
      <c r="C13" s="261">
        <v>30</v>
      </c>
      <c r="D13" s="261">
        <f t="shared" si="0"/>
        <v>30</v>
      </c>
      <c r="E13" s="261">
        <f>'خطة الإمداد'!E13</f>
        <v>0</v>
      </c>
      <c r="F13" s="261">
        <v>4</v>
      </c>
      <c r="G13" s="204">
        <f>D13/F13</f>
        <v>7.5</v>
      </c>
      <c r="H13" s="262">
        <v>90</v>
      </c>
      <c r="I13" s="261">
        <f t="shared" si="1"/>
        <v>90</v>
      </c>
      <c r="J13" s="221">
        <f>'خطة الإمداد'!F13</f>
        <v>0</v>
      </c>
      <c r="K13" s="261">
        <v>16</v>
      </c>
      <c r="L13" s="203">
        <f t="shared" si="2"/>
        <v>5.625</v>
      </c>
      <c r="M13" s="263"/>
      <c r="N13" s="263"/>
      <c r="O13" s="263"/>
      <c r="P13" s="263"/>
      <c r="Q13" s="205"/>
      <c r="R13" s="262">
        <v>180</v>
      </c>
      <c r="S13" s="221">
        <f t="shared" si="4"/>
        <v>180</v>
      </c>
      <c r="T13" s="261">
        <f>'خطة الإمداد'!H13</f>
        <v>0</v>
      </c>
      <c r="U13" s="261">
        <v>19</v>
      </c>
      <c r="V13" s="203">
        <f>S13/U13</f>
        <v>9.473684210526315</v>
      </c>
    </row>
    <row r="14" spans="1:25" ht="20.100000000000001" customHeight="1" thickBot="1" x14ac:dyDescent="0.25">
      <c r="A14" s="281">
        <v>7</v>
      </c>
      <c r="B14" s="202" t="s">
        <v>20</v>
      </c>
      <c r="C14" s="263"/>
      <c r="D14" s="263"/>
      <c r="E14" s="263"/>
      <c r="F14" s="263"/>
      <c r="G14" s="263"/>
      <c r="H14" s="262">
        <v>180</v>
      </c>
      <c r="I14" s="261">
        <f t="shared" si="1"/>
        <v>180</v>
      </c>
      <c r="J14" s="221">
        <f>'خطة الإمداد'!F14</f>
        <v>0</v>
      </c>
      <c r="K14" s="261">
        <v>39</v>
      </c>
      <c r="L14" s="203">
        <f t="shared" si="2"/>
        <v>4.615384615384615</v>
      </c>
      <c r="M14" s="262">
        <v>60</v>
      </c>
      <c r="N14" s="261">
        <f t="shared" si="3"/>
        <v>60</v>
      </c>
      <c r="O14" s="221">
        <f>'خطة الإمداد'!G14</f>
        <v>0</v>
      </c>
      <c r="P14" s="261">
        <v>7</v>
      </c>
      <c r="Q14" s="203">
        <f t="shared" ref="Q14:Q21" si="5">N14/P14</f>
        <v>8.5714285714285712</v>
      </c>
      <c r="R14" s="263"/>
      <c r="S14" s="263"/>
      <c r="T14" s="263"/>
      <c r="U14" s="263"/>
      <c r="V14" s="263"/>
    </row>
    <row r="15" spans="1:25" ht="20.100000000000001" customHeight="1" thickBot="1" x14ac:dyDescent="0.25">
      <c r="A15" s="281">
        <v>8</v>
      </c>
      <c r="B15" s="202" t="s">
        <v>21</v>
      </c>
      <c r="C15" s="263"/>
      <c r="D15" s="263"/>
      <c r="E15" s="263"/>
      <c r="F15" s="263"/>
      <c r="G15" s="263"/>
      <c r="H15" s="262">
        <v>180</v>
      </c>
      <c r="I15" s="261">
        <f t="shared" si="1"/>
        <v>180</v>
      </c>
      <c r="J15" s="221">
        <f>'خطة الإمداد'!F15</f>
        <v>0</v>
      </c>
      <c r="K15" s="261">
        <v>36</v>
      </c>
      <c r="L15" s="203">
        <f t="shared" si="2"/>
        <v>5</v>
      </c>
      <c r="M15" s="262">
        <v>45</v>
      </c>
      <c r="N15" s="261">
        <f t="shared" si="3"/>
        <v>45</v>
      </c>
      <c r="O15" s="221">
        <f>'خطة الإمداد'!G15</f>
        <v>0</v>
      </c>
      <c r="P15" s="261">
        <v>8</v>
      </c>
      <c r="Q15" s="203">
        <f t="shared" si="5"/>
        <v>5.625</v>
      </c>
      <c r="R15" s="262">
        <v>120</v>
      </c>
      <c r="S15" s="221">
        <f t="shared" si="4"/>
        <v>120</v>
      </c>
      <c r="T15" s="261">
        <f>'خطة الإمداد'!H15</f>
        <v>0</v>
      </c>
      <c r="U15" s="261">
        <v>26</v>
      </c>
      <c r="V15" s="203">
        <f>S15/U15</f>
        <v>4.615384615384615</v>
      </c>
    </row>
    <row r="16" spans="1:25" ht="20.100000000000001" customHeight="1" thickBot="1" x14ac:dyDescent="0.25">
      <c r="A16" s="281">
        <v>9</v>
      </c>
      <c r="B16" s="202" t="s">
        <v>22</v>
      </c>
      <c r="C16" s="263"/>
      <c r="D16" s="263"/>
      <c r="E16" s="263"/>
      <c r="F16" s="263"/>
      <c r="G16" s="263"/>
      <c r="H16" s="262">
        <v>90</v>
      </c>
      <c r="I16" s="261">
        <f t="shared" si="1"/>
        <v>90</v>
      </c>
      <c r="J16" s="221">
        <f>'خطة الإمداد'!F16</f>
        <v>0</v>
      </c>
      <c r="K16" s="261">
        <v>6</v>
      </c>
      <c r="L16" s="203">
        <f t="shared" si="2"/>
        <v>15</v>
      </c>
      <c r="M16" s="262">
        <v>30</v>
      </c>
      <c r="N16" s="261">
        <f t="shared" si="3"/>
        <v>30</v>
      </c>
      <c r="O16" s="221">
        <f>'خطة الإمداد'!G16</f>
        <v>0</v>
      </c>
      <c r="P16" s="261">
        <v>2</v>
      </c>
      <c r="Q16" s="203">
        <f t="shared" si="5"/>
        <v>15</v>
      </c>
      <c r="R16" s="262">
        <v>180</v>
      </c>
      <c r="S16" s="221">
        <f t="shared" si="4"/>
        <v>180</v>
      </c>
      <c r="T16" s="261">
        <f>'خطة الإمداد'!H16</f>
        <v>0</v>
      </c>
      <c r="U16" s="261">
        <v>56</v>
      </c>
      <c r="V16" s="203">
        <f>S16/U16</f>
        <v>3.2142857142857144</v>
      </c>
    </row>
    <row r="17" spans="1:26" ht="20.100000000000001" customHeight="1" thickBot="1" x14ac:dyDescent="0.25">
      <c r="A17" s="281">
        <v>10</v>
      </c>
      <c r="B17" s="202" t="s">
        <v>23</v>
      </c>
      <c r="C17" s="263"/>
      <c r="D17" s="263"/>
      <c r="E17" s="263"/>
      <c r="F17" s="263"/>
      <c r="G17" s="263"/>
      <c r="H17" s="262">
        <v>90</v>
      </c>
      <c r="I17" s="261">
        <f t="shared" si="1"/>
        <v>90</v>
      </c>
      <c r="J17" s="221">
        <f>'خطة الإمداد'!F17</f>
        <v>0</v>
      </c>
      <c r="K17" s="261">
        <v>5</v>
      </c>
      <c r="L17" s="203">
        <f t="shared" si="2"/>
        <v>18</v>
      </c>
      <c r="M17" s="262">
        <v>30</v>
      </c>
      <c r="N17" s="261">
        <f t="shared" si="3"/>
        <v>30</v>
      </c>
      <c r="O17" s="221">
        <f>'خطة الإمداد'!G17</f>
        <v>0</v>
      </c>
      <c r="P17" s="261">
        <v>1</v>
      </c>
      <c r="Q17" s="203">
        <f t="shared" si="5"/>
        <v>30</v>
      </c>
      <c r="R17" s="262">
        <v>60</v>
      </c>
      <c r="S17" s="194">
        <f t="shared" si="4"/>
        <v>60</v>
      </c>
      <c r="T17" s="261">
        <f>'خطة الإمداد'!H17</f>
        <v>0</v>
      </c>
      <c r="U17" s="261">
        <v>2</v>
      </c>
      <c r="V17" s="261">
        <f>S17/U17</f>
        <v>30</v>
      </c>
    </row>
    <row r="18" spans="1:26" ht="20.100000000000001" customHeight="1" thickBot="1" x14ac:dyDescent="0.25">
      <c r="A18" s="281">
        <v>11</v>
      </c>
      <c r="B18" s="202" t="s">
        <v>24</v>
      </c>
      <c r="C18" s="263"/>
      <c r="D18" s="263"/>
      <c r="E18" s="263"/>
      <c r="F18" s="263"/>
      <c r="G18" s="263"/>
      <c r="H18" s="262">
        <v>60</v>
      </c>
      <c r="I18" s="261">
        <f t="shared" si="1"/>
        <v>60</v>
      </c>
      <c r="J18" s="221">
        <f>'خطة الإمداد'!F18</f>
        <v>0</v>
      </c>
      <c r="K18" s="261">
        <v>2</v>
      </c>
      <c r="L18" s="203">
        <f t="shared" si="2"/>
        <v>30</v>
      </c>
      <c r="M18" s="262">
        <v>30</v>
      </c>
      <c r="N18" s="261">
        <f t="shared" si="3"/>
        <v>30</v>
      </c>
      <c r="O18" s="221">
        <f>'خطة الإمداد'!G18</f>
        <v>0</v>
      </c>
      <c r="P18" s="261">
        <v>1</v>
      </c>
      <c r="Q18" s="203">
        <f t="shared" si="5"/>
        <v>30</v>
      </c>
      <c r="R18" s="263"/>
      <c r="S18" s="263"/>
      <c r="T18" s="263"/>
      <c r="U18" s="263"/>
      <c r="V18" s="263"/>
    </row>
    <row r="19" spans="1:26" ht="20.100000000000001" customHeight="1" thickBot="1" x14ac:dyDescent="0.25">
      <c r="A19" s="281">
        <v>12</v>
      </c>
      <c r="B19" s="202" t="s">
        <v>26</v>
      </c>
      <c r="C19" s="263"/>
      <c r="D19" s="263"/>
      <c r="E19" s="263"/>
      <c r="F19" s="263"/>
      <c r="G19" s="263"/>
      <c r="H19" s="262">
        <v>90</v>
      </c>
      <c r="I19" s="261">
        <f t="shared" si="1"/>
        <v>90</v>
      </c>
      <c r="J19" s="221">
        <f>'خطة الإمداد'!F19</f>
        <v>0</v>
      </c>
      <c r="K19" s="261">
        <v>6</v>
      </c>
      <c r="L19" s="203">
        <f t="shared" si="2"/>
        <v>15</v>
      </c>
      <c r="M19" s="262">
        <v>30</v>
      </c>
      <c r="N19" s="261">
        <f t="shared" si="3"/>
        <v>30</v>
      </c>
      <c r="O19" s="221">
        <f>'خطة الإمداد'!G19</f>
        <v>0</v>
      </c>
      <c r="P19" s="261">
        <v>2</v>
      </c>
      <c r="Q19" s="203">
        <f t="shared" si="5"/>
        <v>15</v>
      </c>
      <c r="R19" s="262">
        <v>180</v>
      </c>
      <c r="S19" s="221">
        <f t="shared" si="4"/>
        <v>180</v>
      </c>
      <c r="T19" s="261">
        <f>'خطة الإمداد'!H19</f>
        <v>0</v>
      </c>
      <c r="U19" s="261">
        <v>16</v>
      </c>
      <c r="V19" s="203">
        <f>S19/U19</f>
        <v>11.25</v>
      </c>
    </row>
    <row r="20" spans="1:26" ht="20.100000000000001" customHeight="1" thickBot="1" x14ac:dyDescent="0.25">
      <c r="A20" s="281">
        <v>13</v>
      </c>
      <c r="B20" s="202" t="s">
        <v>25</v>
      </c>
      <c r="C20" s="263"/>
      <c r="D20" s="263"/>
      <c r="E20" s="263"/>
      <c r="F20" s="263"/>
      <c r="G20" s="263"/>
      <c r="H20" s="262">
        <v>90</v>
      </c>
      <c r="I20" s="261">
        <f t="shared" si="1"/>
        <v>90</v>
      </c>
      <c r="J20" s="221">
        <f>'خطة الإمداد'!F20</f>
        <v>0</v>
      </c>
      <c r="K20" s="261">
        <v>7</v>
      </c>
      <c r="L20" s="203">
        <f t="shared" si="2"/>
        <v>12.857142857142858</v>
      </c>
      <c r="M20" s="262">
        <v>30</v>
      </c>
      <c r="N20" s="261">
        <f t="shared" si="3"/>
        <v>30</v>
      </c>
      <c r="O20" s="221">
        <f>'خطة الإمداد'!G20</f>
        <v>0</v>
      </c>
      <c r="P20" s="261">
        <v>1</v>
      </c>
      <c r="Q20" s="203">
        <f t="shared" si="5"/>
        <v>30</v>
      </c>
      <c r="R20" s="262">
        <v>180</v>
      </c>
      <c r="S20" s="221">
        <f t="shared" si="4"/>
        <v>180</v>
      </c>
      <c r="T20" s="261">
        <f>'خطة الإمداد'!H20</f>
        <v>0</v>
      </c>
      <c r="U20" s="261">
        <v>18</v>
      </c>
      <c r="V20" s="203">
        <f>S20/U20</f>
        <v>10</v>
      </c>
    </row>
    <row r="21" spans="1:26" ht="20.100000000000001" customHeight="1" thickBot="1" x14ac:dyDescent="0.25">
      <c r="A21" s="281">
        <v>14</v>
      </c>
      <c r="B21" s="202" t="s">
        <v>27</v>
      </c>
      <c r="C21" s="263"/>
      <c r="D21" s="263"/>
      <c r="E21" s="263"/>
      <c r="F21" s="263"/>
      <c r="G21" s="263"/>
      <c r="H21" s="262">
        <v>90</v>
      </c>
      <c r="I21" s="261">
        <f t="shared" si="1"/>
        <v>90</v>
      </c>
      <c r="J21" s="221">
        <f>'خطة الإمداد'!F21</f>
        <v>0</v>
      </c>
      <c r="K21" s="261">
        <v>5</v>
      </c>
      <c r="L21" s="203">
        <f t="shared" si="2"/>
        <v>18</v>
      </c>
      <c r="M21" s="262">
        <v>30</v>
      </c>
      <c r="N21" s="261">
        <f t="shared" si="3"/>
        <v>30</v>
      </c>
      <c r="O21" s="221">
        <f>'خطة الإمداد'!G21</f>
        <v>0</v>
      </c>
      <c r="P21" s="261">
        <v>1</v>
      </c>
      <c r="Q21" s="203">
        <f t="shared" si="5"/>
        <v>30</v>
      </c>
      <c r="R21" s="263"/>
      <c r="S21" s="263"/>
      <c r="T21" s="263"/>
      <c r="U21" s="263"/>
      <c r="V21" s="263"/>
    </row>
    <row r="22" spans="1:26" ht="20.100000000000001" customHeight="1" thickBot="1" x14ac:dyDescent="0.25">
      <c r="A22" s="281">
        <v>15</v>
      </c>
      <c r="B22" s="202" t="s">
        <v>28</v>
      </c>
      <c r="C22" s="261">
        <v>30</v>
      </c>
      <c r="D22" s="194">
        <f t="shared" si="0"/>
        <v>30</v>
      </c>
      <c r="E22" s="261">
        <f>'خطة الإمداد'!E22</f>
        <v>0</v>
      </c>
      <c r="F22" s="194">
        <v>0.2</v>
      </c>
      <c r="G22" s="194">
        <f>D22/F22</f>
        <v>150</v>
      </c>
      <c r="H22" s="262">
        <v>60</v>
      </c>
      <c r="I22" s="261">
        <f t="shared" si="1"/>
        <v>60</v>
      </c>
      <c r="J22" s="221">
        <f>'خطة الإمداد'!F22</f>
        <v>0</v>
      </c>
      <c r="K22" s="261">
        <v>1</v>
      </c>
      <c r="L22" s="203">
        <f t="shared" ref="L22:L27" si="6">I22/K22</f>
        <v>60</v>
      </c>
      <c r="M22" s="263"/>
      <c r="N22" s="263"/>
      <c r="O22" s="263"/>
      <c r="P22" s="263"/>
      <c r="Q22" s="205"/>
      <c r="R22" s="262">
        <v>120</v>
      </c>
      <c r="S22" s="221">
        <f t="shared" si="4"/>
        <v>120</v>
      </c>
      <c r="T22" s="261">
        <f>'خطة الإمداد'!H22</f>
        <v>0</v>
      </c>
      <c r="U22" s="261">
        <v>14</v>
      </c>
      <c r="V22" s="203">
        <f t="shared" ref="V22:V27" si="7">S22/U22</f>
        <v>8.5714285714285712</v>
      </c>
    </row>
    <row r="23" spans="1:26" ht="20.100000000000001" customHeight="1" thickBot="1" x14ac:dyDescent="0.25">
      <c r="A23" s="281">
        <v>16</v>
      </c>
      <c r="B23" s="202" t="s">
        <v>29</v>
      </c>
      <c r="C23" s="263"/>
      <c r="D23" s="263"/>
      <c r="E23" s="263"/>
      <c r="F23" s="263"/>
      <c r="G23" s="263"/>
      <c r="H23" s="262">
        <v>60</v>
      </c>
      <c r="I23" s="261">
        <f t="shared" si="1"/>
        <v>60</v>
      </c>
      <c r="J23" s="221">
        <f>'خطة الإمداد'!F23</f>
        <v>0</v>
      </c>
      <c r="K23" s="261">
        <v>1</v>
      </c>
      <c r="L23" s="203">
        <f t="shared" si="6"/>
        <v>60</v>
      </c>
      <c r="M23" s="263"/>
      <c r="N23" s="263"/>
      <c r="O23" s="263"/>
      <c r="P23" s="263"/>
      <c r="Q23" s="205"/>
      <c r="R23" s="262">
        <v>120</v>
      </c>
      <c r="S23" s="221">
        <f t="shared" si="4"/>
        <v>120</v>
      </c>
      <c r="T23" s="261">
        <f>'خطة الإمداد'!H23</f>
        <v>0</v>
      </c>
      <c r="U23" s="261">
        <v>7</v>
      </c>
      <c r="V23" s="203">
        <f t="shared" si="7"/>
        <v>17.142857142857142</v>
      </c>
    </row>
    <row r="24" spans="1:26" ht="20.100000000000001" customHeight="1" thickBot="1" x14ac:dyDescent="0.25">
      <c r="A24" s="281">
        <v>17</v>
      </c>
      <c r="B24" s="202" t="s">
        <v>30</v>
      </c>
      <c r="C24" s="263"/>
      <c r="D24" s="263"/>
      <c r="E24" s="263"/>
      <c r="F24" s="263"/>
      <c r="G24" s="263"/>
      <c r="H24" s="262">
        <v>90</v>
      </c>
      <c r="I24" s="261">
        <f t="shared" si="1"/>
        <v>90</v>
      </c>
      <c r="J24" s="221">
        <f>'خطة الإمداد'!F24</f>
        <v>0</v>
      </c>
      <c r="K24" s="261">
        <v>11</v>
      </c>
      <c r="L24" s="203">
        <f t="shared" si="6"/>
        <v>8.1818181818181817</v>
      </c>
      <c r="M24" s="262">
        <v>30</v>
      </c>
      <c r="N24" s="261">
        <f t="shared" si="3"/>
        <v>30</v>
      </c>
      <c r="O24" s="221">
        <f>'خطة الإمداد'!G24</f>
        <v>0</v>
      </c>
      <c r="P24" s="261">
        <v>1</v>
      </c>
      <c r="Q24" s="203">
        <f>N24/P24</f>
        <v>30</v>
      </c>
      <c r="R24" s="262">
        <v>180</v>
      </c>
      <c r="S24" s="221">
        <f t="shared" si="4"/>
        <v>180</v>
      </c>
      <c r="T24" s="261">
        <f>'خطة الإمداد'!H24</f>
        <v>0</v>
      </c>
      <c r="U24" s="261">
        <v>42</v>
      </c>
      <c r="V24" s="203">
        <f t="shared" si="7"/>
        <v>4.2857142857142856</v>
      </c>
    </row>
    <row r="25" spans="1:26" ht="20.100000000000001" customHeight="1" thickBot="1" x14ac:dyDescent="0.25">
      <c r="A25" s="281">
        <v>18</v>
      </c>
      <c r="B25" s="202" t="s">
        <v>31</v>
      </c>
      <c r="C25" s="263"/>
      <c r="D25" s="263"/>
      <c r="E25" s="263"/>
      <c r="F25" s="263"/>
      <c r="G25" s="263"/>
      <c r="H25" s="262">
        <v>90</v>
      </c>
      <c r="I25" s="261">
        <f t="shared" si="1"/>
        <v>90</v>
      </c>
      <c r="J25" s="221">
        <f>'خطة الإمداد'!F25</f>
        <v>0</v>
      </c>
      <c r="K25" s="261">
        <v>14</v>
      </c>
      <c r="L25" s="203">
        <f t="shared" si="6"/>
        <v>6.4285714285714288</v>
      </c>
      <c r="M25" s="262">
        <v>30</v>
      </c>
      <c r="N25" s="261">
        <f t="shared" si="3"/>
        <v>30</v>
      </c>
      <c r="O25" s="221">
        <f>'خطة الإمداد'!G25</f>
        <v>0</v>
      </c>
      <c r="P25" s="261">
        <v>2</v>
      </c>
      <c r="Q25" s="203">
        <f>N25/P25</f>
        <v>15</v>
      </c>
      <c r="R25" s="262">
        <v>180</v>
      </c>
      <c r="S25" s="221">
        <f t="shared" si="4"/>
        <v>180</v>
      </c>
      <c r="T25" s="261">
        <f>'خطة الإمداد'!H25</f>
        <v>0</v>
      </c>
      <c r="U25" s="261">
        <v>35</v>
      </c>
      <c r="V25" s="203">
        <f t="shared" si="7"/>
        <v>5.1428571428571432</v>
      </c>
      <c r="W25" s="225"/>
    </row>
    <row r="26" spans="1:26" ht="20.100000000000001" customHeight="1" thickBot="1" x14ac:dyDescent="0.25">
      <c r="A26" s="281">
        <v>19</v>
      </c>
      <c r="B26" s="202" t="s">
        <v>32</v>
      </c>
      <c r="C26" s="263"/>
      <c r="D26" s="263"/>
      <c r="E26" s="263"/>
      <c r="F26" s="263"/>
      <c r="G26" s="263"/>
      <c r="H26" s="262">
        <v>90</v>
      </c>
      <c r="I26" s="261">
        <f t="shared" si="1"/>
        <v>90</v>
      </c>
      <c r="J26" s="221">
        <f>'خطة الإمداد'!F26</f>
        <v>0</v>
      </c>
      <c r="K26" s="261">
        <v>6</v>
      </c>
      <c r="L26" s="203">
        <f t="shared" si="6"/>
        <v>15</v>
      </c>
      <c r="M26" s="262">
        <v>30</v>
      </c>
      <c r="N26" s="261">
        <f t="shared" si="3"/>
        <v>30</v>
      </c>
      <c r="O26" s="221">
        <f>'خطة الإمداد'!G26</f>
        <v>0</v>
      </c>
      <c r="P26" s="261">
        <v>1</v>
      </c>
      <c r="Q26" s="203">
        <f>N26/P26</f>
        <v>30</v>
      </c>
      <c r="R26" s="262">
        <v>180</v>
      </c>
      <c r="S26" s="221">
        <f t="shared" si="4"/>
        <v>180</v>
      </c>
      <c r="T26" s="261">
        <f>'خطة الإمداد'!H26</f>
        <v>0</v>
      </c>
      <c r="U26" s="261">
        <v>21</v>
      </c>
      <c r="V26" s="203">
        <f t="shared" si="7"/>
        <v>8.5714285714285712</v>
      </c>
    </row>
    <row r="27" spans="1:26" ht="24.75" customHeight="1" thickBot="1" x14ac:dyDescent="0.25">
      <c r="A27" s="281">
        <v>20</v>
      </c>
      <c r="B27" s="202" t="s">
        <v>33</v>
      </c>
      <c r="C27" s="263"/>
      <c r="D27" s="263"/>
      <c r="E27" s="263"/>
      <c r="F27" s="263"/>
      <c r="G27" s="263"/>
      <c r="H27" s="262">
        <v>90</v>
      </c>
      <c r="I27" s="261">
        <f t="shared" si="1"/>
        <v>90</v>
      </c>
      <c r="J27" s="221">
        <f>'خطة الإمداد'!F27</f>
        <v>0</v>
      </c>
      <c r="K27" s="261">
        <v>7</v>
      </c>
      <c r="L27" s="203">
        <f t="shared" si="6"/>
        <v>12.857142857142858</v>
      </c>
      <c r="M27" s="262">
        <v>30</v>
      </c>
      <c r="N27" s="261">
        <f t="shared" si="3"/>
        <v>30</v>
      </c>
      <c r="O27" s="221">
        <f>'خطة الإمداد'!G27</f>
        <v>0</v>
      </c>
      <c r="P27" s="261">
        <v>1</v>
      </c>
      <c r="Q27" s="203">
        <f>N27/P27</f>
        <v>30</v>
      </c>
      <c r="R27" s="262">
        <v>180</v>
      </c>
      <c r="S27" s="221">
        <f t="shared" si="4"/>
        <v>180</v>
      </c>
      <c r="T27" s="261">
        <f>'خطة الإمداد'!H27</f>
        <v>0</v>
      </c>
      <c r="U27" s="261">
        <v>22</v>
      </c>
      <c r="V27" s="203">
        <f t="shared" si="7"/>
        <v>8.1818181818181817</v>
      </c>
    </row>
    <row r="28" spans="1:26" ht="20.100000000000001" customHeight="1" thickBot="1" x14ac:dyDescent="0.25">
      <c r="A28" s="398" t="s">
        <v>34</v>
      </c>
      <c r="B28" s="398"/>
      <c r="C28" s="206">
        <f t="shared" ref="C28:V28" si="8">SUM(C8:C27)</f>
        <v>150</v>
      </c>
      <c r="D28" s="206">
        <f t="shared" si="8"/>
        <v>150</v>
      </c>
      <c r="E28" s="206">
        <f t="shared" si="8"/>
        <v>0</v>
      </c>
      <c r="F28" s="206">
        <f t="shared" si="8"/>
        <v>21.2</v>
      </c>
      <c r="G28" s="206">
        <f t="shared" si="8"/>
        <v>175.83333333333334</v>
      </c>
      <c r="H28" s="262">
        <f t="shared" si="8"/>
        <v>1740</v>
      </c>
      <c r="I28" s="206">
        <f t="shared" si="8"/>
        <v>1740</v>
      </c>
      <c r="J28" s="206">
        <f t="shared" si="8"/>
        <v>0</v>
      </c>
      <c r="K28" s="206">
        <f t="shared" si="8"/>
        <v>255</v>
      </c>
      <c r="L28" s="207">
        <f t="shared" si="8"/>
        <v>300.66059289008206</v>
      </c>
      <c r="M28" s="262">
        <f t="shared" si="8"/>
        <v>495</v>
      </c>
      <c r="N28" s="206">
        <f t="shared" si="8"/>
        <v>495</v>
      </c>
      <c r="O28" s="206">
        <f t="shared" si="8"/>
        <v>0</v>
      </c>
      <c r="P28" s="206">
        <f t="shared" si="8"/>
        <v>46</v>
      </c>
      <c r="Q28" s="207">
        <f t="shared" si="8"/>
        <v>284.94642857142856</v>
      </c>
      <c r="R28" s="262">
        <f t="shared" si="8"/>
        <v>2220</v>
      </c>
      <c r="S28" s="206">
        <f t="shared" si="8"/>
        <v>2220</v>
      </c>
      <c r="T28" s="206">
        <f t="shared" si="8"/>
        <v>0</v>
      </c>
      <c r="U28" s="206">
        <f t="shared" si="8"/>
        <v>289</v>
      </c>
      <c r="V28" s="207">
        <f t="shared" si="8"/>
        <v>202.94945843630055</v>
      </c>
    </row>
    <row r="29" spans="1:26" ht="20.100000000000001" customHeight="1" thickBot="1" x14ac:dyDescent="0.25">
      <c r="A29" s="385" t="s">
        <v>35</v>
      </c>
      <c r="B29" s="385"/>
      <c r="C29" s="389">
        <f>C28+H28+M28+R28</f>
        <v>4605</v>
      </c>
      <c r="D29" s="390"/>
      <c r="E29" s="390"/>
      <c r="F29" s="390"/>
      <c r="G29" s="390"/>
      <c r="H29" s="390"/>
      <c r="I29" s="390"/>
      <c r="J29" s="390"/>
      <c r="K29" s="390"/>
      <c r="L29" s="390"/>
      <c r="M29" s="390"/>
      <c r="N29" s="390"/>
      <c r="O29" s="390"/>
      <c r="P29" s="390"/>
      <c r="Q29" s="390"/>
      <c r="R29" s="390"/>
      <c r="S29" s="390"/>
      <c r="T29" s="390"/>
      <c r="U29" s="390"/>
      <c r="V29" s="391"/>
    </row>
    <row r="30" spans="1:26" ht="20.100000000000001" customHeight="1" thickBot="1" x14ac:dyDescent="0.25">
      <c r="A30" s="385" t="s">
        <v>36</v>
      </c>
      <c r="B30" s="385"/>
      <c r="C30" s="389">
        <f>D28+I28+N28+S28</f>
        <v>4605</v>
      </c>
      <c r="D30" s="390"/>
      <c r="E30" s="390"/>
      <c r="F30" s="390"/>
      <c r="G30" s="390"/>
      <c r="H30" s="390"/>
      <c r="I30" s="390"/>
      <c r="J30" s="390"/>
      <c r="K30" s="390"/>
      <c r="L30" s="390"/>
      <c r="M30" s="390"/>
      <c r="N30" s="390"/>
      <c r="O30" s="390"/>
      <c r="P30" s="390"/>
      <c r="Q30" s="390"/>
      <c r="R30" s="390"/>
      <c r="S30" s="390"/>
      <c r="T30" s="390"/>
      <c r="U30" s="390"/>
      <c r="V30" s="391"/>
    </row>
    <row r="31" spans="1:26" ht="20.100000000000001" customHeight="1" thickBot="1" x14ac:dyDescent="0.25">
      <c r="A31" s="385" t="s">
        <v>37</v>
      </c>
      <c r="B31" s="385"/>
      <c r="C31" s="389">
        <f>E28+J28+O28+T28</f>
        <v>0</v>
      </c>
      <c r="D31" s="390"/>
      <c r="E31" s="390"/>
      <c r="F31" s="390"/>
      <c r="G31" s="390"/>
      <c r="H31" s="390"/>
      <c r="I31" s="390"/>
      <c r="J31" s="390"/>
      <c r="K31" s="390"/>
      <c r="L31" s="390"/>
      <c r="M31" s="390"/>
      <c r="N31" s="390"/>
      <c r="O31" s="390"/>
      <c r="P31" s="390"/>
      <c r="Q31" s="390"/>
      <c r="R31" s="390"/>
      <c r="S31" s="390"/>
      <c r="T31" s="390"/>
      <c r="U31" s="390"/>
      <c r="V31" s="391"/>
    </row>
    <row r="32" spans="1:26" ht="15.75" thickBot="1" x14ac:dyDescent="0.25">
      <c r="A32" s="385" t="s">
        <v>38</v>
      </c>
      <c r="B32" s="385"/>
      <c r="C32" s="392">
        <f>C30/C29</f>
        <v>1</v>
      </c>
      <c r="D32" s="393"/>
      <c r="E32" s="393"/>
      <c r="F32" s="393"/>
      <c r="G32" s="393"/>
      <c r="H32" s="393"/>
      <c r="I32" s="393"/>
      <c r="J32" s="393"/>
      <c r="K32" s="393"/>
      <c r="L32" s="393"/>
      <c r="M32" s="393"/>
      <c r="N32" s="393"/>
      <c r="O32" s="393"/>
      <c r="P32" s="393"/>
      <c r="Q32" s="393"/>
      <c r="R32" s="393"/>
      <c r="S32" s="393"/>
      <c r="T32" s="393"/>
      <c r="U32" s="393"/>
      <c r="V32" s="394"/>
      <c r="W32" s="208"/>
      <c r="X32" s="208"/>
      <c r="Y32" s="208"/>
      <c r="Z32" s="208"/>
    </row>
    <row r="33" spans="1:22" x14ac:dyDescent="0.2">
      <c r="A33" s="208"/>
      <c r="B33" s="208"/>
      <c r="C33" s="222"/>
      <c r="D33" s="208"/>
      <c r="E33" s="208"/>
      <c r="F33" s="208"/>
      <c r="G33" s="208"/>
      <c r="H33" s="208"/>
      <c r="I33" s="208"/>
      <c r="J33" s="208"/>
      <c r="K33" s="208"/>
      <c r="L33" s="208"/>
      <c r="M33" s="208"/>
      <c r="N33" s="208"/>
      <c r="O33" s="208"/>
      <c r="P33" s="208"/>
      <c r="Q33" s="208"/>
      <c r="R33" s="208"/>
      <c r="S33" s="208"/>
      <c r="T33" s="208"/>
      <c r="U33" s="208"/>
      <c r="V33" s="208"/>
    </row>
  </sheetData>
  <sheetProtection selectLockedCells="1"/>
  <customSheetViews>
    <customSheetView guid="{18C0F7AC-4BB1-46DE-8A01-8E31FE0585FC}" scale="90" fitToPage="1" state="hidden">
      <pane xSplit="2" ySplit="7" topLeftCell="C8" activePane="bottomRight" state="frozen"/>
      <selection pane="bottomRight" activeCell="Q9" sqref="Q9"/>
      <pageMargins left="0.11811023622047245" right="0.59055118110236227" top="0.74803149606299213" bottom="0.74803149606299213" header="0.31496062992125984" footer="0.31496062992125984"/>
      <pageSetup paperSize="9" scale="79" orientation="landscape" r:id="rId1"/>
    </customSheetView>
    <customSheetView guid="{8317B6D8-8A99-4EB0-9DBC-8E9AE0170A4B}" scale="90" showPageBreaks="1" fitToPage="1" printArea="1">
      <pane xSplit="2" ySplit="7" topLeftCell="C8" activePane="bottomRight" state="frozen"/>
      <selection pane="bottomRight" activeCell="Q9" sqref="Q9"/>
      <pageMargins left="0.11811023622047245" right="0.59055118110236227" top="0.74803149606299213" bottom="0.74803149606299213" header="0.31496062992125984" footer="0.31496062992125984"/>
      <pageSetup paperSize="9" scale="78" orientation="landscape" r:id="rId2"/>
    </customSheetView>
  </customSheetViews>
  <mergeCells count="24">
    <mergeCell ref="X1:Y1"/>
    <mergeCell ref="A2:E2"/>
    <mergeCell ref="A3:E3"/>
    <mergeCell ref="A6:A7"/>
    <mergeCell ref="B6:B7"/>
    <mergeCell ref="C6:C7"/>
    <mergeCell ref="H6:H7"/>
    <mergeCell ref="I6:L6"/>
    <mergeCell ref="N6:Q6"/>
    <mergeCell ref="S6:V6"/>
    <mergeCell ref="H5:O5"/>
    <mergeCell ref="M6:M7"/>
    <mergeCell ref="R6:R7"/>
    <mergeCell ref="C32:V32"/>
    <mergeCell ref="A28:B28"/>
    <mergeCell ref="D6:G6"/>
    <mergeCell ref="A1:E1"/>
    <mergeCell ref="A32:B32"/>
    <mergeCell ref="A29:B29"/>
    <mergeCell ref="A30:B30"/>
    <mergeCell ref="A31:B31"/>
    <mergeCell ref="C29:V29"/>
    <mergeCell ref="C30:V30"/>
    <mergeCell ref="C31:V31"/>
  </mergeCells>
  <pageMargins left="0.11811023622047245" right="0.59055118110236227" top="0.74803149606299213" bottom="0.74803149606299213" header="0.31496062992125984" footer="0.31496062992125984"/>
  <pageSetup paperSize="9" scale="79" orientation="landscape" r:id="rId3"/>
  <drawing r:id="rId4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33"/>
  <sheetViews>
    <sheetView rightToLeft="1" zoomScale="90" zoomScaleNormal="90" zoomScaleSheetLayoutView="70"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P26" sqref="P26"/>
    </sheetView>
  </sheetViews>
  <sheetFormatPr defaultColWidth="9" defaultRowHeight="14.25" x14ac:dyDescent="0.2"/>
  <cols>
    <col min="1" max="1" width="5.625" style="198" customWidth="1"/>
    <col min="2" max="2" width="9.125" style="198" customWidth="1"/>
    <col min="3" max="3" width="5.25" style="198" customWidth="1"/>
    <col min="4" max="4" width="6.75" style="198" customWidth="1"/>
    <col min="5" max="5" width="6.25" style="198" customWidth="1"/>
    <col min="6" max="6" width="6.75" style="198" bestFit="1" customWidth="1"/>
    <col min="7" max="7" width="6.875" style="198" customWidth="1"/>
    <col min="8" max="8" width="7" style="198" customWidth="1"/>
    <col min="9" max="10" width="6.375" style="198" customWidth="1"/>
    <col min="11" max="11" width="6.75" style="198" bestFit="1" customWidth="1"/>
    <col min="12" max="12" width="6.875" style="198" bestFit="1" customWidth="1"/>
    <col min="13" max="13" width="6.875" style="198" customWidth="1"/>
    <col min="14" max="14" width="6.75" style="198" customWidth="1"/>
    <col min="15" max="15" width="6" style="198" customWidth="1"/>
    <col min="16" max="16" width="6.75" style="198" bestFit="1" customWidth="1"/>
    <col min="17" max="17" width="6.875" style="198" bestFit="1" customWidth="1"/>
    <col min="18" max="18" width="5.125" style="198" customWidth="1"/>
    <col min="19" max="19" width="8.125" style="198" customWidth="1"/>
    <col min="20" max="20" width="7.625" style="198" customWidth="1"/>
    <col min="21" max="21" width="5.875" style="198" customWidth="1"/>
    <col min="22" max="22" width="7.125" style="198" customWidth="1"/>
    <col min="23" max="23" width="5.375" style="198" customWidth="1"/>
    <col min="24" max="24" width="4.75" style="198" customWidth="1"/>
    <col min="25" max="25" width="7.25" style="198" customWidth="1"/>
    <col min="26" max="26" width="7.375" style="198" customWidth="1"/>
    <col min="27" max="16384" width="9" style="198"/>
  </cols>
  <sheetData>
    <row r="1" spans="1:25" ht="18" x14ac:dyDescent="0.25">
      <c r="A1" s="388" t="s">
        <v>0</v>
      </c>
      <c r="B1" s="388"/>
      <c r="C1" s="388"/>
      <c r="D1" s="388"/>
      <c r="E1" s="388"/>
      <c r="X1" s="384"/>
      <c r="Y1" s="384"/>
    </row>
    <row r="2" spans="1:25" ht="15.75" x14ac:dyDescent="0.25">
      <c r="A2" s="388" t="s">
        <v>1</v>
      </c>
      <c r="B2" s="388"/>
      <c r="C2" s="388"/>
      <c r="D2" s="388"/>
      <c r="E2" s="388"/>
    </row>
    <row r="3" spans="1:25" ht="15.75" x14ac:dyDescent="0.25">
      <c r="A3" s="388" t="s">
        <v>2</v>
      </c>
      <c r="B3" s="388"/>
      <c r="C3" s="388"/>
      <c r="D3" s="388"/>
      <c r="E3" s="388"/>
    </row>
    <row r="5" spans="1:25" ht="32.25" customHeight="1" thickBot="1" x14ac:dyDescent="0.3">
      <c r="G5" s="199"/>
      <c r="H5" s="387" t="s">
        <v>162</v>
      </c>
      <c r="I5" s="387"/>
      <c r="J5" s="387"/>
      <c r="K5" s="387"/>
      <c r="L5" s="387"/>
      <c r="M5" s="387"/>
      <c r="N5" s="387"/>
      <c r="O5" s="387"/>
      <c r="T5" s="200" t="s">
        <v>41</v>
      </c>
    </row>
    <row r="6" spans="1:25" ht="20.100000000000001" customHeight="1" thickBot="1" x14ac:dyDescent="0.25">
      <c r="A6" s="386" t="s">
        <v>14</v>
      </c>
      <c r="B6" s="386" t="s">
        <v>3</v>
      </c>
      <c r="C6" s="386" t="s">
        <v>4</v>
      </c>
      <c r="D6" s="531" t="s">
        <v>5</v>
      </c>
      <c r="E6" s="532"/>
      <c r="F6" s="532"/>
      <c r="G6" s="533"/>
      <c r="H6" s="386" t="s">
        <v>4</v>
      </c>
      <c r="I6" s="531" t="s">
        <v>11</v>
      </c>
      <c r="J6" s="532"/>
      <c r="K6" s="532"/>
      <c r="L6" s="533"/>
      <c r="M6" s="386" t="s">
        <v>4</v>
      </c>
      <c r="N6" s="531" t="s">
        <v>12</v>
      </c>
      <c r="O6" s="532"/>
      <c r="P6" s="532"/>
      <c r="Q6" s="533"/>
      <c r="R6" s="386" t="s">
        <v>4</v>
      </c>
      <c r="S6" s="531" t="s">
        <v>13</v>
      </c>
      <c r="T6" s="532"/>
      <c r="U6" s="532"/>
      <c r="V6" s="533"/>
    </row>
    <row r="7" spans="1:25" ht="20.100000000000001" customHeight="1" thickBot="1" x14ac:dyDescent="0.25">
      <c r="A7" s="386"/>
      <c r="B7" s="386"/>
      <c r="C7" s="386"/>
      <c r="D7" s="201" t="s">
        <v>6</v>
      </c>
      <c r="E7" s="201" t="s">
        <v>7</v>
      </c>
      <c r="F7" s="201" t="s">
        <v>9</v>
      </c>
      <c r="G7" s="201" t="s">
        <v>10</v>
      </c>
      <c r="H7" s="386"/>
      <c r="I7" s="201" t="s">
        <v>6</v>
      </c>
      <c r="J7" s="201" t="s">
        <v>7</v>
      </c>
      <c r="K7" s="201" t="s">
        <v>9</v>
      </c>
      <c r="L7" s="201" t="s">
        <v>10</v>
      </c>
      <c r="M7" s="386"/>
      <c r="N7" s="201" t="s">
        <v>6</v>
      </c>
      <c r="O7" s="201" t="s">
        <v>7</v>
      </c>
      <c r="P7" s="201" t="s">
        <v>9</v>
      </c>
      <c r="Q7" s="201" t="s">
        <v>10</v>
      </c>
      <c r="R7" s="386"/>
      <c r="S7" s="201" t="s">
        <v>6</v>
      </c>
      <c r="T7" s="201" t="s">
        <v>7</v>
      </c>
      <c r="U7" s="201" t="s">
        <v>9</v>
      </c>
      <c r="V7" s="201" t="s">
        <v>10</v>
      </c>
    </row>
    <row r="8" spans="1:25" ht="20.100000000000001" customHeight="1" thickBot="1" x14ac:dyDescent="0.25">
      <c r="A8" s="262">
        <v>1</v>
      </c>
      <c r="B8" s="202" t="s">
        <v>15</v>
      </c>
      <c r="C8" s="263"/>
      <c r="D8" s="263"/>
      <c r="E8" s="263"/>
      <c r="F8" s="263"/>
      <c r="G8" s="263"/>
      <c r="H8" s="262">
        <v>90</v>
      </c>
      <c r="I8" s="261">
        <f>H8-J8</f>
        <v>60</v>
      </c>
      <c r="J8" s="221">
        <f>'خطة الإمداد'!F32</f>
        <v>30</v>
      </c>
      <c r="K8" s="261">
        <v>19</v>
      </c>
      <c r="L8" s="203">
        <f>I8/K8</f>
        <v>3.1578947368421053</v>
      </c>
      <c r="M8" s="262">
        <v>30</v>
      </c>
      <c r="N8" s="261">
        <f>M8-O8</f>
        <v>16</v>
      </c>
      <c r="O8" s="221">
        <f>'خطة الإمداد'!G32</f>
        <v>14</v>
      </c>
      <c r="P8" s="261">
        <v>5</v>
      </c>
      <c r="Q8" s="203">
        <f>N8/P8</f>
        <v>3.2</v>
      </c>
      <c r="R8" s="263"/>
      <c r="S8" s="263"/>
      <c r="T8" s="263"/>
      <c r="U8" s="263"/>
      <c r="V8" s="263"/>
    </row>
    <row r="9" spans="1:25" ht="20.100000000000001" customHeight="1" thickBot="1" x14ac:dyDescent="0.25">
      <c r="A9" s="281">
        <v>2</v>
      </c>
      <c r="B9" s="202" t="s">
        <v>163</v>
      </c>
      <c r="C9" s="286"/>
      <c r="D9" s="286"/>
      <c r="E9" s="286"/>
      <c r="F9" s="286"/>
      <c r="G9" s="286"/>
      <c r="H9" s="281"/>
      <c r="I9" s="280"/>
      <c r="J9" s="221"/>
      <c r="K9" s="280"/>
      <c r="L9" s="203"/>
      <c r="M9" s="281"/>
      <c r="N9" s="280"/>
      <c r="O9" s="221"/>
      <c r="P9" s="280"/>
      <c r="Q9" s="203"/>
      <c r="R9" s="286"/>
      <c r="S9" s="286"/>
      <c r="T9" s="286"/>
      <c r="U9" s="286"/>
      <c r="V9" s="286"/>
    </row>
    <row r="10" spans="1:25" ht="20.100000000000001" customHeight="1" thickBot="1" x14ac:dyDescent="0.25">
      <c r="A10" s="281">
        <v>3</v>
      </c>
      <c r="B10" s="202" t="s">
        <v>16</v>
      </c>
      <c r="C10" s="261">
        <v>30</v>
      </c>
      <c r="D10" s="261">
        <f t="shared" ref="D10:D22" si="0">C10-E10</f>
        <v>10</v>
      </c>
      <c r="E10" s="261">
        <f>'خطة الإمداد'!E35</f>
        <v>20</v>
      </c>
      <c r="F10" s="261">
        <v>4</v>
      </c>
      <c r="G10" s="204">
        <f>D10/F10</f>
        <v>2.5</v>
      </c>
      <c r="H10" s="262">
        <v>60</v>
      </c>
      <c r="I10" s="261">
        <f t="shared" ref="I10:I27" si="1">H10-J10</f>
        <v>10</v>
      </c>
      <c r="J10" s="221">
        <f>'خطة الإمداد'!F35</f>
        <v>50</v>
      </c>
      <c r="K10" s="261">
        <v>21</v>
      </c>
      <c r="L10" s="203">
        <f t="shared" ref="L10:L21" si="2">I10/K10</f>
        <v>0.47619047619047616</v>
      </c>
      <c r="M10" s="262">
        <v>30</v>
      </c>
      <c r="N10" s="261">
        <f t="shared" ref="N10:N27" si="3">M10-O10</f>
        <v>10</v>
      </c>
      <c r="O10" s="221">
        <f>'خطة الإمداد'!G35</f>
        <v>20</v>
      </c>
      <c r="P10" s="261">
        <v>5</v>
      </c>
      <c r="Q10" s="203">
        <f>N10/P10</f>
        <v>2</v>
      </c>
      <c r="R10" s="262">
        <v>180</v>
      </c>
      <c r="S10" s="221">
        <f t="shared" ref="S10:S27" si="4">R10-T10</f>
        <v>156</v>
      </c>
      <c r="T10" s="261">
        <f>'خطة الإمداد'!H35</f>
        <v>24</v>
      </c>
      <c r="U10" s="261">
        <v>3</v>
      </c>
      <c r="V10" s="203">
        <f>S10/U10</f>
        <v>52</v>
      </c>
    </row>
    <row r="11" spans="1:25" ht="20.100000000000001" customHeight="1" thickBot="1" x14ac:dyDescent="0.25">
      <c r="A11" s="281">
        <v>4</v>
      </c>
      <c r="B11" s="202" t="s">
        <v>17</v>
      </c>
      <c r="C11" s="261">
        <v>30</v>
      </c>
      <c r="D11" s="261">
        <f t="shared" si="0"/>
        <v>30</v>
      </c>
      <c r="E11" s="261">
        <f>'خطة الإمداد'!E36</f>
        <v>0</v>
      </c>
      <c r="F11" s="261">
        <v>9</v>
      </c>
      <c r="G11" s="204">
        <f>D11/F11</f>
        <v>3.3333333333333335</v>
      </c>
      <c r="H11" s="262">
        <v>60</v>
      </c>
      <c r="I11" s="261">
        <f t="shared" si="1"/>
        <v>-11</v>
      </c>
      <c r="J11" s="221">
        <f>'خطة الإمداد'!F36</f>
        <v>71</v>
      </c>
      <c r="K11" s="261">
        <v>34</v>
      </c>
      <c r="L11" s="203">
        <f t="shared" si="2"/>
        <v>-0.3235294117647059</v>
      </c>
      <c r="M11" s="262">
        <v>30</v>
      </c>
      <c r="N11" s="261">
        <f t="shared" si="3"/>
        <v>13</v>
      </c>
      <c r="O11" s="221">
        <f>'خطة الإمداد'!G36</f>
        <v>17</v>
      </c>
      <c r="P11" s="261">
        <v>8</v>
      </c>
      <c r="Q11" s="203">
        <f>N11/P11</f>
        <v>1.625</v>
      </c>
      <c r="R11" s="263"/>
      <c r="S11" s="263"/>
      <c r="T11" s="263"/>
      <c r="U11" s="263"/>
      <c r="V11" s="263"/>
    </row>
    <row r="12" spans="1:25" ht="20.100000000000001" customHeight="1" thickBot="1" x14ac:dyDescent="0.25">
      <c r="A12" s="281">
        <v>5</v>
      </c>
      <c r="B12" s="202" t="s">
        <v>18</v>
      </c>
      <c r="C12" s="261">
        <v>30</v>
      </c>
      <c r="D12" s="261">
        <f t="shared" si="0"/>
        <v>8</v>
      </c>
      <c r="E12" s="261">
        <f>'خطة الإمداد'!E37</f>
        <v>22</v>
      </c>
      <c r="F12" s="261">
        <v>4</v>
      </c>
      <c r="G12" s="204">
        <f>D12/F12</f>
        <v>2</v>
      </c>
      <c r="H12" s="262">
        <v>90</v>
      </c>
      <c r="I12" s="261">
        <f t="shared" si="1"/>
        <v>31</v>
      </c>
      <c r="J12" s="221">
        <f>'خطة الإمداد'!F37</f>
        <v>59</v>
      </c>
      <c r="K12" s="261">
        <v>19</v>
      </c>
      <c r="L12" s="203">
        <f t="shared" si="2"/>
        <v>1.631578947368421</v>
      </c>
      <c r="M12" s="263"/>
      <c r="N12" s="263"/>
      <c r="O12" s="263"/>
      <c r="P12" s="263"/>
      <c r="Q12" s="205"/>
      <c r="R12" s="262">
        <v>180</v>
      </c>
      <c r="S12" s="221">
        <f t="shared" si="4"/>
        <v>153</v>
      </c>
      <c r="T12" s="261">
        <f>'خطة الإمداد'!H37</f>
        <v>27</v>
      </c>
      <c r="U12" s="261">
        <v>8</v>
      </c>
      <c r="V12" s="203">
        <f>S12/U12</f>
        <v>19.125</v>
      </c>
    </row>
    <row r="13" spans="1:25" ht="20.100000000000001" customHeight="1" thickBot="1" x14ac:dyDescent="0.25">
      <c r="A13" s="281">
        <v>6</v>
      </c>
      <c r="B13" s="202" t="s">
        <v>19</v>
      </c>
      <c r="C13" s="261">
        <v>30</v>
      </c>
      <c r="D13" s="261">
        <f t="shared" si="0"/>
        <v>13</v>
      </c>
      <c r="E13" s="261">
        <f>'خطة الإمداد'!E38</f>
        <v>17</v>
      </c>
      <c r="F13" s="261">
        <v>4</v>
      </c>
      <c r="G13" s="204">
        <f>D13/F13</f>
        <v>3.25</v>
      </c>
      <c r="H13" s="262">
        <v>90</v>
      </c>
      <c r="I13" s="261">
        <f t="shared" si="1"/>
        <v>53</v>
      </c>
      <c r="J13" s="221">
        <f>'خطة الإمداد'!F38</f>
        <v>37</v>
      </c>
      <c r="K13" s="261">
        <v>16</v>
      </c>
      <c r="L13" s="203">
        <f t="shared" si="2"/>
        <v>3.3125</v>
      </c>
      <c r="M13" s="263"/>
      <c r="N13" s="263"/>
      <c r="O13" s="263"/>
      <c r="P13" s="263"/>
      <c r="Q13" s="205"/>
      <c r="R13" s="262">
        <v>180</v>
      </c>
      <c r="S13" s="221">
        <f t="shared" si="4"/>
        <v>136</v>
      </c>
      <c r="T13" s="261">
        <f>'خطة الإمداد'!H38</f>
        <v>44</v>
      </c>
      <c r="U13" s="261">
        <v>19</v>
      </c>
      <c r="V13" s="203">
        <f>S13/U13</f>
        <v>7.1578947368421053</v>
      </c>
    </row>
    <row r="14" spans="1:25" ht="20.100000000000001" customHeight="1" thickBot="1" x14ac:dyDescent="0.25">
      <c r="A14" s="281">
        <v>7</v>
      </c>
      <c r="B14" s="202" t="s">
        <v>20</v>
      </c>
      <c r="C14" s="263"/>
      <c r="D14" s="263"/>
      <c r="E14" s="263"/>
      <c r="F14" s="263"/>
      <c r="G14" s="263"/>
      <c r="H14" s="262">
        <v>180</v>
      </c>
      <c r="I14" s="261">
        <f t="shared" si="1"/>
        <v>83</v>
      </c>
      <c r="J14" s="221">
        <f>'خطة الإمداد'!F39</f>
        <v>97</v>
      </c>
      <c r="K14" s="261">
        <v>39</v>
      </c>
      <c r="L14" s="203">
        <f t="shared" si="2"/>
        <v>2.1282051282051282</v>
      </c>
      <c r="M14" s="262">
        <v>60</v>
      </c>
      <c r="N14" s="261">
        <f t="shared" si="3"/>
        <v>32</v>
      </c>
      <c r="O14" s="221">
        <f>'خطة الإمداد'!G39</f>
        <v>28</v>
      </c>
      <c r="P14" s="261">
        <v>7</v>
      </c>
      <c r="Q14" s="203">
        <f t="shared" ref="Q14:Q21" si="5">N14/P14</f>
        <v>4.5714285714285712</v>
      </c>
      <c r="R14" s="263"/>
      <c r="S14" s="263"/>
      <c r="T14" s="263"/>
      <c r="U14" s="263"/>
      <c r="V14" s="263"/>
    </row>
    <row r="15" spans="1:25" ht="20.100000000000001" customHeight="1" thickBot="1" x14ac:dyDescent="0.25">
      <c r="A15" s="281">
        <v>8</v>
      </c>
      <c r="B15" s="202" t="s">
        <v>21</v>
      </c>
      <c r="C15" s="263"/>
      <c r="D15" s="263"/>
      <c r="E15" s="263"/>
      <c r="F15" s="263"/>
      <c r="G15" s="263"/>
      <c r="H15" s="262">
        <v>180</v>
      </c>
      <c r="I15" s="261">
        <f t="shared" si="1"/>
        <v>131</v>
      </c>
      <c r="J15" s="221">
        <f>'خطة الإمداد'!F40</f>
        <v>49</v>
      </c>
      <c r="K15" s="261">
        <v>36</v>
      </c>
      <c r="L15" s="203">
        <f t="shared" si="2"/>
        <v>3.6388888888888888</v>
      </c>
      <c r="M15" s="262">
        <v>45</v>
      </c>
      <c r="N15" s="261">
        <f t="shared" si="3"/>
        <v>27</v>
      </c>
      <c r="O15" s="221">
        <f>'خطة الإمداد'!G40</f>
        <v>18</v>
      </c>
      <c r="P15" s="261">
        <v>8</v>
      </c>
      <c r="Q15" s="203">
        <f t="shared" si="5"/>
        <v>3.375</v>
      </c>
      <c r="R15" s="262">
        <v>120</v>
      </c>
      <c r="S15" s="221">
        <f t="shared" si="4"/>
        <v>65</v>
      </c>
      <c r="T15" s="261">
        <f>'خطة الإمداد'!H40</f>
        <v>55</v>
      </c>
      <c r="U15" s="261">
        <v>26</v>
      </c>
      <c r="V15" s="203">
        <f>S15/U15</f>
        <v>2.5</v>
      </c>
    </row>
    <row r="16" spans="1:25" ht="20.100000000000001" customHeight="1" thickBot="1" x14ac:dyDescent="0.25">
      <c r="A16" s="281">
        <v>9</v>
      </c>
      <c r="B16" s="202" t="s">
        <v>22</v>
      </c>
      <c r="C16" s="263"/>
      <c r="D16" s="263"/>
      <c r="E16" s="263"/>
      <c r="F16" s="263"/>
      <c r="G16" s="263"/>
      <c r="H16" s="262">
        <v>90</v>
      </c>
      <c r="I16" s="261">
        <f t="shared" si="1"/>
        <v>55</v>
      </c>
      <c r="J16" s="221">
        <f>'خطة الإمداد'!F41</f>
        <v>35</v>
      </c>
      <c r="K16" s="261">
        <v>6</v>
      </c>
      <c r="L16" s="203">
        <f t="shared" si="2"/>
        <v>9.1666666666666661</v>
      </c>
      <c r="M16" s="262">
        <v>30</v>
      </c>
      <c r="N16" s="261">
        <f t="shared" si="3"/>
        <v>7</v>
      </c>
      <c r="O16" s="221">
        <f>'خطة الإمداد'!G41</f>
        <v>23</v>
      </c>
      <c r="P16" s="261">
        <v>2</v>
      </c>
      <c r="Q16" s="203">
        <f t="shared" si="5"/>
        <v>3.5</v>
      </c>
      <c r="R16" s="262">
        <v>180</v>
      </c>
      <c r="S16" s="221">
        <f t="shared" si="4"/>
        <v>96</v>
      </c>
      <c r="T16" s="261">
        <f>'خطة الإمداد'!H41</f>
        <v>84</v>
      </c>
      <c r="U16" s="261">
        <v>56</v>
      </c>
      <c r="V16" s="203">
        <f>S16/U16</f>
        <v>1.7142857142857142</v>
      </c>
    </row>
    <row r="17" spans="1:23" ht="20.100000000000001" customHeight="1" thickBot="1" x14ac:dyDescent="0.25">
      <c r="A17" s="281">
        <v>10</v>
      </c>
      <c r="B17" s="202" t="s">
        <v>23</v>
      </c>
      <c r="C17" s="263"/>
      <c r="D17" s="263"/>
      <c r="E17" s="263"/>
      <c r="F17" s="263"/>
      <c r="G17" s="263"/>
      <c r="H17" s="262">
        <v>90</v>
      </c>
      <c r="I17" s="261">
        <f t="shared" si="1"/>
        <v>64</v>
      </c>
      <c r="J17" s="221">
        <f>'خطة الإمداد'!F42</f>
        <v>26</v>
      </c>
      <c r="K17" s="261">
        <v>5</v>
      </c>
      <c r="L17" s="203">
        <f t="shared" si="2"/>
        <v>12.8</v>
      </c>
      <c r="M17" s="262">
        <v>30</v>
      </c>
      <c r="N17" s="261">
        <f t="shared" si="3"/>
        <v>8</v>
      </c>
      <c r="O17" s="221">
        <f>'خطة الإمداد'!G42</f>
        <v>22</v>
      </c>
      <c r="P17" s="261">
        <v>1</v>
      </c>
      <c r="Q17" s="203">
        <f t="shared" si="5"/>
        <v>8</v>
      </c>
      <c r="R17" s="262">
        <v>60</v>
      </c>
      <c r="S17" s="194">
        <f t="shared" si="4"/>
        <v>45</v>
      </c>
      <c r="T17" s="261">
        <f>'خطة الإمداد'!H42</f>
        <v>15</v>
      </c>
      <c r="U17" s="261">
        <v>2</v>
      </c>
      <c r="V17" s="261">
        <f>S17/U17</f>
        <v>22.5</v>
      </c>
    </row>
    <row r="18" spans="1:23" ht="20.100000000000001" customHeight="1" thickBot="1" x14ac:dyDescent="0.25">
      <c r="A18" s="281">
        <v>11</v>
      </c>
      <c r="B18" s="202" t="s">
        <v>24</v>
      </c>
      <c r="C18" s="263"/>
      <c r="D18" s="263"/>
      <c r="E18" s="263"/>
      <c r="F18" s="263"/>
      <c r="G18" s="263"/>
      <c r="H18" s="262">
        <v>60</v>
      </c>
      <c r="I18" s="261">
        <f t="shared" si="1"/>
        <v>28</v>
      </c>
      <c r="J18" s="221">
        <f>'خطة الإمداد'!F43</f>
        <v>32</v>
      </c>
      <c r="K18" s="261">
        <v>2</v>
      </c>
      <c r="L18" s="203">
        <f t="shared" si="2"/>
        <v>14</v>
      </c>
      <c r="M18" s="262">
        <v>30</v>
      </c>
      <c r="N18" s="261">
        <f t="shared" si="3"/>
        <v>15</v>
      </c>
      <c r="O18" s="221">
        <f>'خطة الإمداد'!G43</f>
        <v>15</v>
      </c>
      <c r="P18" s="261">
        <v>5</v>
      </c>
      <c r="Q18" s="203">
        <f t="shared" si="5"/>
        <v>3</v>
      </c>
      <c r="R18" s="263"/>
      <c r="S18" s="263"/>
      <c r="T18" s="263"/>
      <c r="U18" s="263"/>
      <c r="V18" s="263"/>
    </row>
    <row r="19" spans="1:23" ht="20.100000000000001" customHeight="1" thickBot="1" x14ac:dyDescent="0.25">
      <c r="A19" s="281">
        <v>12</v>
      </c>
      <c r="B19" s="202" t="s">
        <v>26</v>
      </c>
      <c r="C19" s="263"/>
      <c r="D19" s="263"/>
      <c r="E19" s="263"/>
      <c r="F19" s="263"/>
      <c r="G19" s="263"/>
      <c r="H19" s="262">
        <v>90</v>
      </c>
      <c r="I19" s="261">
        <f t="shared" si="1"/>
        <v>60</v>
      </c>
      <c r="J19" s="221">
        <f>'خطة الإمداد'!F44</f>
        <v>30</v>
      </c>
      <c r="K19" s="261">
        <v>6</v>
      </c>
      <c r="L19" s="203">
        <f t="shared" si="2"/>
        <v>10</v>
      </c>
      <c r="M19" s="262">
        <v>30</v>
      </c>
      <c r="N19" s="261">
        <f t="shared" si="3"/>
        <v>13</v>
      </c>
      <c r="O19" s="221">
        <f>'خطة الإمداد'!G44</f>
        <v>17</v>
      </c>
      <c r="P19" s="261">
        <v>2</v>
      </c>
      <c r="Q19" s="203">
        <f t="shared" si="5"/>
        <v>6.5</v>
      </c>
      <c r="R19" s="262">
        <v>180</v>
      </c>
      <c r="S19" s="221">
        <f t="shared" si="4"/>
        <v>141</v>
      </c>
      <c r="T19" s="261">
        <f>'خطة الإمداد'!H44</f>
        <v>39</v>
      </c>
      <c r="U19" s="261">
        <v>16</v>
      </c>
      <c r="V19" s="203">
        <f>S19/U19</f>
        <v>8.8125</v>
      </c>
    </row>
    <row r="20" spans="1:23" ht="20.100000000000001" customHeight="1" thickBot="1" x14ac:dyDescent="0.25">
      <c r="A20" s="281">
        <v>13</v>
      </c>
      <c r="B20" s="202" t="s">
        <v>25</v>
      </c>
      <c r="C20" s="263"/>
      <c r="D20" s="263"/>
      <c r="E20" s="263"/>
      <c r="F20" s="263"/>
      <c r="G20" s="263"/>
      <c r="H20" s="262">
        <v>90</v>
      </c>
      <c r="I20" s="261">
        <f t="shared" si="1"/>
        <v>42</v>
      </c>
      <c r="J20" s="221">
        <f>'خطة الإمداد'!F45</f>
        <v>48</v>
      </c>
      <c r="K20" s="261">
        <v>7</v>
      </c>
      <c r="L20" s="203">
        <f t="shared" si="2"/>
        <v>6</v>
      </c>
      <c r="M20" s="262">
        <v>30</v>
      </c>
      <c r="N20" s="261">
        <f t="shared" si="3"/>
        <v>8</v>
      </c>
      <c r="O20" s="221">
        <f>'خطة الإمداد'!G45</f>
        <v>22</v>
      </c>
      <c r="P20" s="261">
        <v>1</v>
      </c>
      <c r="Q20" s="203">
        <f t="shared" si="5"/>
        <v>8</v>
      </c>
      <c r="R20" s="262">
        <v>180</v>
      </c>
      <c r="S20" s="221">
        <f t="shared" si="4"/>
        <v>140</v>
      </c>
      <c r="T20" s="261">
        <f>'خطة الإمداد'!H45</f>
        <v>40</v>
      </c>
      <c r="U20" s="261">
        <v>18</v>
      </c>
      <c r="V20" s="203">
        <f>S20/U20</f>
        <v>7.7777777777777777</v>
      </c>
    </row>
    <row r="21" spans="1:23" ht="20.100000000000001" customHeight="1" thickBot="1" x14ac:dyDescent="0.25">
      <c r="A21" s="281">
        <v>14</v>
      </c>
      <c r="B21" s="202" t="s">
        <v>27</v>
      </c>
      <c r="C21" s="263"/>
      <c r="D21" s="263"/>
      <c r="E21" s="263"/>
      <c r="F21" s="263"/>
      <c r="G21" s="263"/>
      <c r="H21" s="262">
        <v>90</v>
      </c>
      <c r="I21" s="261">
        <f t="shared" si="1"/>
        <v>40</v>
      </c>
      <c r="J21" s="221">
        <f>'خطة الإمداد'!F46</f>
        <v>50</v>
      </c>
      <c r="K21" s="261">
        <v>5</v>
      </c>
      <c r="L21" s="203">
        <f t="shared" si="2"/>
        <v>8</v>
      </c>
      <c r="M21" s="262">
        <v>30</v>
      </c>
      <c r="N21" s="261">
        <f t="shared" si="3"/>
        <v>13.600000000000001</v>
      </c>
      <c r="O21" s="221">
        <f>'خطة الإمداد'!G46</f>
        <v>16.399999999999999</v>
      </c>
      <c r="P21" s="261">
        <v>1</v>
      </c>
      <c r="Q21" s="203">
        <f t="shared" si="5"/>
        <v>13.600000000000001</v>
      </c>
      <c r="R21" s="263"/>
      <c r="S21" s="263"/>
      <c r="T21" s="263"/>
      <c r="U21" s="263"/>
      <c r="V21" s="263"/>
    </row>
    <row r="22" spans="1:23" ht="20.100000000000001" customHeight="1" thickBot="1" x14ac:dyDescent="0.25">
      <c r="A22" s="281">
        <v>15</v>
      </c>
      <c r="B22" s="202" t="s">
        <v>28</v>
      </c>
      <c r="C22" s="261">
        <v>30</v>
      </c>
      <c r="D22" s="194">
        <f t="shared" si="0"/>
        <v>18.399999999999999</v>
      </c>
      <c r="E22" s="194">
        <f>'خطة الإمداد'!E47</f>
        <v>11.6</v>
      </c>
      <c r="F22" s="194">
        <v>0.2</v>
      </c>
      <c r="G22" s="194">
        <f>D22/F22</f>
        <v>91.999999999999986</v>
      </c>
      <c r="H22" s="262">
        <v>60</v>
      </c>
      <c r="I22" s="261">
        <f t="shared" si="1"/>
        <v>40</v>
      </c>
      <c r="J22" s="221">
        <f>'خطة الإمداد'!F47</f>
        <v>20</v>
      </c>
      <c r="K22" s="261">
        <v>1</v>
      </c>
      <c r="L22" s="203">
        <f t="shared" ref="L22:L27" si="6">I22/K22</f>
        <v>40</v>
      </c>
      <c r="M22" s="263"/>
      <c r="N22" s="263"/>
      <c r="O22" s="263"/>
      <c r="P22" s="263"/>
      <c r="Q22" s="205"/>
      <c r="R22" s="262">
        <v>120</v>
      </c>
      <c r="S22" s="221">
        <f t="shared" si="4"/>
        <v>75</v>
      </c>
      <c r="T22" s="261">
        <f>'خطة الإمداد'!H47</f>
        <v>45</v>
      </c>
      <c r="U22" s="261">
        <v>14</v>
      </c>
      <c r="V22" s="203">
        <f t="shared" ref="V22:V27" si="7">S22/U22</f>
        <v>5.3571428571428568</v>
      </c>
    </row>
    <row r="23" spans="1:23" ht="20.100000000000001" customHeight="1" thickBot="1" x14ac:dyDescent="0.25">
      <c r="A23" s="281">
        <v>16</v>
      </c>
      <c r="B23" s="202" t="s">
        <v>29</v>
      </c>
      <c r="C23" s="263"/>
      <c r="D23" s="263"/>
      <c r="E23" s="263"/>
      <c r="F23" s="263"/>
      <c r="G23" s="263"/>
      <c r="H23" s="262">
        <v>60</v>
      </c>
      <c r="I23" s="261">
        <f t="shared" si="1"/>
        <v>26</v>
      </c>
      <c r="J23" s="221">
        <f>'خطة الإمداد'!F48</f>
        <v>34</v>
      </c>
      <c r="K23" s="261">
        <v>1</v>
      </c>
      <c r="L23" s="203">
        <f t="shared" si="6"/>
        <v>26</v>
      </c>
      <c r="M23" s="263"/>
      <c r="N23" s="263"/>
      <c r="O23" s="263"/>
      <c r="P23" s="263"/>
      <c r="Q23" s="205"/>
      <c r="R23" s="262">
        <v>120</v>
      </c>
      <c r="S23" s="221">
        <f t="shared" si="4"/>
        <v>93</v>
      </c>
      <c r="T23" s="261">
        <f>'خطة الإمداد'!H48</f>
        <v>27</v>
      </c>
      <c r="U23" s="261">
        <v>7</v>
      </c>
      <c r="V23" s="203">
        <f t="shared" si="7"/>
        <v>13.285714285714286</v>
      </c>
    </row>
    <row r="24" spans="1:23" ht="20.100000000000001" customHeight="1" thickBot="1" x14ac:dyDescent="0.25">
      <c r="A24" s="281">
        <v>17</v>
      </c>
      <c r="B24" s="202" t="s">
        <v>30</v>
      </c>
      <c r="C24" s="263"/>
      <c r="D24" s="263"/>
      <c r="E24" s="263"/>
      <c r="F24" s="263"/>
      <c r="G24" s="263"/>
      <c r="H24" s="262">
        <v>90</v>
      </c>
      <c r="I24" s="261">
        <f t="shared" si="1"/>
        <v>67</v>
      </c>
      <c r="J24" s="221">
        <f>'خطة الإمداد'!F49</f>
        <v>23</v>
      </c>
      <c r="K24" s="261">
        <v>11</v>
      </c>
      <c r="L24" s="203">
        <f t="shared" si="6"/>
        <v>6.0909090909090908</v>
      </c>
      <c r="M24" s="262">
        <v>30</v>
      </c>
      <c r="N24" s="261">
        <f t="shared" si="3"/>
        <v>18</v>
      </c>
      <c r="O24" s="221">
        <f>'خطة الإمداد'!G49</f>
        <v>12</v>
      </c>
      <c r="P24" s="261">
        <v>1</v>
      </c>
      <c r="Q24" s="203">
        <f>N24/P24</f>
        <v>18</v>
      </c>
      <c r="R24" s="262">
        <v>180</v>
      </c>
      <c r="S24" s="221">
        <f t="shared" si="4"/>
        <v>71</v>
      </c>
      <c r="T24" s="261">
        <f>'خطة الإمداد'!H49</f>
        <v>109</v>
      </c>
      <c r="U24" s="261">
        <v>42</v>
      </c>
      <c r="V24" s="203">
        <f t="shared" si="7"/>
        <v>1.6904761904761905</v>
      </c>
    </row>
    <row r="25" spans="1:23" ht="20.100000000000001" customHeight="1" thickBot="1" x14ac:dyDescent="0.25">
      <c r="A25" s="281">
        <v>18</v>
      </c>
      <c r="B25" s="202" t="s">
        <v>31</v>
      </c>
      <c r="C25" s="263"/>
      <c r="D25" s="263"/>
      <c r="E25" s="263"/>
      <c r="F25" s="263"/>
      <c r="G25" s="263"/>
      <c r="H25" s="262">
        <v>90</v>
      </c>
      <c r="I25" s="261">
        <f t="shared" si="1"/>
        <v>51</v>
      </c>
      <c r="J25" s="221">
        <f>'خطة الإمداد'!F50</f>
        <v>39</v>
      </c>
      <c r="K25" s="261">
        <v>14</v>
      </c>
      <c r="L25" s="203">
        <f t="shared" si="6"/>
        <v>3.6428571428571428</v>
      </c>
      <c r="M25" s="262">
        <v>30</v>
      </c>
      <c r="N25" s="261">
        <f t="shared" si="3"/>
        <v>12</v>
      </c>
      <c r="O25" s="221">
        <f>'خطة الإمداد'!G50</f>
        <v>18</v>
      </c>
      <c r="P25" s="261">
        <v>2</v>
      </c>
      <c r="Q25" s="203">
        <f>N25/P25</f>
        <v>6</v>
      </c>
      <c r="R25" s="262">
        <v>180</v>
      </c>
      <c r="S25" s="221">
        <f t="shared" si="4"/>
        <v>85</v>
      </c>
      <c r="T25" s="261">
        <f>'خطة الإمداد'!H50</f>
        <v>95</v>
      </c>
      <c r="U25" s="261">
        <v>35</v>
      </c>
      <c r="V25" s="203">
        <f t="shared" si="7"/>
        <v>2.4285714285714284</v>
      </c>
    </row>
    <row r="26" spans="1:23" ht="20.100000000000001" customHeight="1" thickBot="1" x14ac:dyDescent="0.25">
      <c r="A26" s="281">
        <v>19</v>
      </c>
      <c r="B26" s="202" t="s">
        <v>32</v>
      </c>
      <c r="C26" s="263"/>
      <c r="D26" s="263"/>
      <c r="E26" s="263"/>
      <c r="F26" s="263"/>
      <c r="G26" s="263"/>
      <c r="H26" s="262">
        <v>90</v>
      </c>
      <c r="I26" s="261">
        <f t="shared" si="1"/>
        <v>62</v>
      </c>
      <c r="J26" s="221">
        <f>'خطة الإمداد'!F51</f>
        <v>28</v>
      </c>
      <c r="K26" s="261">
        <v>6</v>
      </c>
      <c r="L26" s="203">
        <f t="shared" si="6"/>
        <v>10.333333333333334</v>
      </c>
      <c r="M26" s="262">
        <v>30</v>
      </c>
      <c r="N26" s="261">
        <f t="shared" si="3"/>
        <v>20</v>
      </c>
      <c r="O26" s="221">
        <f>'خطة الإمداد'!G51</f>
        <v>10</v>
      </c>
      <c r="P26" s="261">
        <v>1</v>
      </c>
      <c r="Q26" s="203">
        <f>N26/P26</f>
        <v>20</v>
      </c>
      <c r="R26" s="262">
        <v>180</v>
      </c>
      <c r="S26" s="221">
        <f t="shared" si="4"/>
        <v>124</v>
      </c>
      <c r="T26" s="261">
        <f>'خطة الإمداد'!H51</f>
        <v>56</v>
      </c>
      <c r="U26" s="261">
        <v>21</v>
      </c>
      <c r="V26" s="203">
        <f t="shared" si="7"/>
        <v>5.9047619047619051</v>
      </c>
      <c r="W26" s="225"/>
    </row>
    <row r="27" spans="1:23" ht="20.100000000000001" customHeight="1" thickBot="1" x14ac:dyDescent="0.25">
      <c r="A27" s="281">
        <v>20</v>
      </c>
      <c r="B27" s="202" t="s">
        <v>33</v>
      </c>
      <c r="C27" s="263"/>
      <c r="D27" s="263"/>
      <c r="E27" s="263"/>
      <c r="F27" s="263"/>
      <c r="G27" s="263"/>
      <c r="H27" s="262">
        <v>90</v>
      </c>
      <c r="I27" s="261">
        <f t="shared" si="1"/>
        <v>74</v>
      </c>
      <c r="J27" s="221">
        <f>'خطة الإمداد'!F52</f>
        <v>16</v>
      </c>
      <c r="K27" s="261">
        <v>7</v>
      </c>
      <c r="L27" s="203">
        <f t="shared" si="6"/>
        <v>10.571428571428571</v>
      </c>
      <c r="M27" s="262">
        <v>30</v>
      </c>
      <c r="N27" s="261">
        <f t="shared" si="3"/>
        <v>21</v>
      </c>
      <c r="O27" s="221">
        <f>'خطة الإمداد'!G52</f>
        <v>9</v>
      </c>
      <c r="P27" s="261">
        <v>1</v>
      </c>
      <c r="Q27" s="203">
        <f>N27/P27</f>
        <v>21</v>
      </c>
      <c r="R27" s="262">
        <v>180</v>
      </c>
      <c r="S27" s="221">
        <f t="shared" si="4"/>
        <v>130</v>
      </c>
      <c r="T27" s="261">
        <f>'خطة الإمداد'!H52</f>
        <v>50</v>
      </c>
      <c r="U27" s="261">
        <v>22</v>
      </c>
      <c r="V27" s="203">
        <f t="shared" si="7"/>
        <v>5.9090909090909092</v>
      </c>
    </row>
    <row r="28" spans="1:23" ht="24.75" customHeight="1" thickBot="1" x14ac:dyDescent="0.25">
      <c r="A28" s="398" t="s">
        <v>34</v>
      </c>
      <c r="B28" s="398"/>
      <c r="C28" s="206">
        <f>SUM(C8:C27)</f>
        <v>150</v>
      </c>
      <c r="D28" s="206">
        <f>SUM(D8:D27)</f>
        <v>79.400000000000006</v>
      </c>
      <c r="E28" s="206">
        <f t="shared" ref="E28:V28" si="8">SUM(E8:E27)</f>
        <v>70.599999999999994</v>
      </c>
      <c r="F28" s="206">
        <f t="shared" si="8"/>
        <v>21.2</v>
      </c>
      <c r="G28" s="206">
        <f t="shared" si="8"/>
        <v>103.08333333333331</v>
      </c>
      <c r="H28" s="262">
        <f t="shared" si="8"/>
        <v>1740</v>
      </c>
      <c r="I28" s="206">
        <f t="shared" si="8"/>
        <v>966</v>
      </c>
      <c r="J28" s="206">
        <f t="shared" si="8"/>
        <v>774</v>
      </c>
      <c r="K28" s="206">
        <f t="shared" si="8"/>
        <v>255</v>
      </c>
      <c r="L28" s="207">
        <f t="shared" si="8"/>
        <v>170.62692357092516</v>
      </c>
      <c r="M28" s="262">
        <f t="shared" si="8"/>
        <v>495</v>
      </c>
      <c r="N28" s="206">
        <f t="shared" si="8"/>
        <v>233.6</v>
      </c>
      <c r="O28" s="206">
        <f t="shared" si="8"/>
        <v>261.39999999999998</v>
      </c>
      <c r="P28" s="206">
        <f t="shared" si="8"/>
        <v>50</v>
      </c>
      <c r="Q28" s="207">
        <f t="shared" si="8"/>
        <v>122.37142857142857</v>
      </c>
      <c r="R28" s="262">
        <f t="shared" si="8"/>
        <v>2220</v>
      </c>
      <c r="S28" s="206">
        <f t="shared" si="8"/>
        <v>1510</v>
      </c>
      <c r="T28" s="206">
        <f t="shared" si="8"/>
        <v>710</v>
      </c>
      <c r="U28" s="206">
        <f t="shared" si="8"/>
        <v>289</v>
      </c>
      <c r="V28" s="207">
        <f t="shared" si="8"/>
        <v>156.16321580466317</v>
      </c>
    </row>
    <row r="29" spans="1:23" ht="20.100000000000001" customHeight="1" thickBot="1" x14ac:dyDescent="0.25">
      <c r="A29" s="385" t="s">
        <v>35</v>
      </c>
      <c r="B29" s="385"/>
      <c r="C29" s="389">
        <f>C28+H28+M28+R28</f>
        <v>4605</v>
      </c>
      <c r="D29" s="390"/>
      <c r="E29" s="390"/>
      <c r="F29" s="390"/>
      <c r="G29" s="390"/>
      <c r="H29" s="390"/>
      <c r="I29" s="390"/>
      <c r="J29" s="390"/>
      <c r="K29" s="390"/>
      <c r="L29" s="390"/>
      <c r="M29" s="390"/>
      <c r="N29" s="390"/>
      <c r="O29" s="390"/>
      <c r="P29" s="390"/>
      <c r="Q29" s="390"/>
      <c r="R29" s="390"/>
      <c r="S29" s="390"/>
      <c r="T29" s="390"/>
      <c r="U29" s="390"/>
      <c r="V29" s="391"/>
    </row>
    <row r="30" spans="1:23" ht="20.100000000000001" customHeight="1" thickBot="1" x14ac:dyDescent="0.25">
      <c r="A30" s="385" t="s">
        <v>36</v>
      </c>
      <c r="B30" s="385"/>
      <c r="C30" s="389">
        <f>D28+I28+N28+S28</f>
        <v>2789</v>
      </c>
      <c r="D30" s="390"/>
      <c r="E30" s="390"/>
      <c r="F30" s="390"/>
      <c r="G30" s="390"/>
      <c r="H30" s="390"/>
      <c r="I30" s="390"/>
      <c r="J30" s="390"/>
      <c r="K30" s="390"/>
      <c r="L30" s="390"/>
      <c r="M30" s="390"/>
      <c r="N30" s="390"/>
      <c r="O30" s="390"/>
      <c r="P30" s="390"/>
      <c r="Q30" s="390"/>
      <c r="R30" s="390"/>
      <c r="S30" s="390"/>
      <c r="T30" s="390"/>
      <c r="U30" s="390"/>
      <c r="V30" s="391"/>
    </row>
    <row r="31" spans="1:23" ht="20.100000000000001" customHeight="1" thickBot="1" x14ac:dyDescent="0.25">
      <c r="A31" s="385" t="s">
        <v>37</v>
      </c>
      <c r="B31" s="385"/>
      <c r="C31" s="389">
        <f>E28+J28+O28+T28</f>
        <v>1816</v>
      </c>
      <c r="D31" s="390"/>
      <c r="E31" s="390"/>
      <c r="F31" s="390"/>
      <c r="G31" s="390"/>
      <c r="H31" s="390"/>
      <c r="I31" s="390"/>
      <c r="J31" s="390"/>
      <c r="K31" s="390"/>
      <c r="L31" s="390"/>
      <c r="M31" s="390"/>
      <c r="N31" s="390"/>
      <c r="O31" s="390"/>
      <c r="P31" s="390"/>
      <c r="Q31" s="390"/>
      <c r="R31" s="390"/>
      <c r="S31" s="390"/>
      <c r="T31" s="390"/>
      <c r="U31" s="390"/>
      <c r="V31" s="391"/>
    </row>
    <row r="32" spans="1:23" ht="20.100000000000001" customHeight="1" thickBot="1" x14ac:dyDescent="0.25">
      <c r="A32" s="385" t="s">
        <v>38</v>
      </c>
      <c r="B32" s="385"/>
      <c r="C32" s="392">
        <f>C30/C29</f>
        <v>0.60564603691639518</v>
      </c>
      <c r="D32" s="393"/>
      <c r="E32" s="393"/>
      <c r="F32" s="393"/>
      <c r="G32" s="393"/>
      <c r="H32" s="393"/>
      <c r="I32" s="393"/>
      <c r="J32" s="393"/>
      <c r="K32" s="393"/>
      <c r="L32" s="393"/>
      <c r="M32" s="393"/>
      <c r="N32" s="393"/>
      <c r="O32" s="393"/>
      <c r="P32" s="393"/>
      <c r="Q32" s="393"/>
      <c r="R32" s="393"/>
      <c r="S32" s="393"/>
      <c r="T32" s="393"/>
      <c r="U32" s="393"/>
      <c r="V32" s="394"/>
    </row>
    <row r="33" spans="1:26" x14ac:dyDescent="0.2">
      <c r="A33" s="208"/>
      <c r="B33" s="208"/>
      <c r="C33" s="222"/>
      <c r="D33" s="208"/>
      <c r="E33" s="208"/>
      <c r="F33" s="208"/>
      <c r="G33" s="208"/>
      <c r="H33" s="208"/>
      <c r="I33" s="208"/>
      <c r="J33" s="208"/>
      <c r="K33" s="208"/>
      <c r="L33" s="208"/>
      <c r="M33" s="208"/>
      <c r="N33" s="208"/>
      <c r="O33" s="208"/>
      <c r="P33" s="208"/>
      <c r="Q33" s="208"/>
      <c r="R33" s="208"/>
      <c r="S33" s="208"/>
      <c r="T33" s="208"/>
      <c r="U33" s="208"/>
      <c r="V33" s="208"/>
      <c r="W33" s="208"/>
      <c r="X33" s="208"/>
      <c r="Y33" s="208"/>
      <c r="Z33" s="208"/>
    </row>
  </sheetData>
  <sheetProtection selectLockedCells="1"/>
  <customSheetViews>
    <customSheetView guid="{18C0F7AC-4BB1-46DE-8A01-8E31FE0585FC}" scale="90" fitToPage="1" state="hidden">
      <pane xSplit="2" ySplit="7" topLeftCell="C8" activePane="bottomRight" state="frozen"/>
      <selection pane="bottomRight" activeCell="P26" sqref="P26"/>
      <pageMargins left="0.11811023622047245" right="0.59055118110236227" top="0.74803149606299213" bottom="0.74803149606299213" header="0.31496062992125984" footer="0.31496062992125984"/>
      <pageSetup paperSize="9" scale="79" orientation="landscape" r:id="rId1"/>
    </customSheetView>
    <customSheetView guid="{8317B6D8-8A99-4EB0-9DBC-8E9AE0170A4B}" scale="90" showPageBreaks="1" fitToPage="1" printArea="1">
      <pane xSplit="2" ySplit="7" topLeftCell="C8" activePane="bottomRight" state="frozen"/>
      <selection pane="bottomRight" activeCell="P26" sqref="P26"/>
      <pageMargins left="0.11811023622047245" right="0.59055118110236227" top="0.74803149606299213" bottom="0.74803149606299213" header="0.31496062992125984" footer="0.31496062992125984"/>
      <pageSetup paperSize="9" scale="78" orientation="landscape" r:id="rId2"/>
    </customSheetView>
  </customSheetViews>
  <mergeCells count="24">
    <mergeCell ref="A1:E1"/>
    <mergeCell ref="X1:Y1"/>
    <mergeCell ref="A2:E2"/>
    <mergeCell ref="A3:E3"/>
    <mergeCell ref="A6:A7"/>
    <mergeCell ref="B6:B7"/>
    <mergeCell ref="C6:C7"/>
    <mergeCell ref="H6:H7"/>
    <mergeCell ref="H5:O5"/>
    <mergeCell ref="M6:M7"/>
    <mergeCell ref="R6:R7"/>
    <mergeCell ref="D6:G6"/>
    <mergeCell ref="A28:B28"/>
    <mergeCell ref="A32:B32"/>
    <mergeCell ref="A29:B29"/>
    <mergeCell ref="A30:B30"/>
    <mergeCell ref="A31:B31"/>
    <mergeCell ref="C31:V31"/>
    <mergeCell ref="C32:V32"/>
    <mergeCell ref="I6:L6"/>
    <mergeCell ref="N6:Q6"/>
    <mergeCell ref="S6:V6"/>
    <mergeCell ref="C29:V29"/>
    <mergeCell ref="C30:V30"/>
  </mergeCells>
  <pageMargins left="0.11811023622047245" right="0.59055118110236227" top="0.74803149606299213" bottom="0.74803149606299213" header="0.31496062992125984" footer="0.31496062992125984"/>
  <pageSetup paperSize="9" scale="79" orientation="landscape" r:id="rId3"/>
  <drawing r:id="rId4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U33"/>
  <sheetViews>
    <sheetView rightToLeft="1" zoomScaleNormal="100" workbookViewId="0">
      <selection activeCell="O15" sqref="O15"/>
    </sheetView>
  </sheetViews>
  <sheetFormatPr defaultRowHeight="14.25" x14ac:dyDescent="0.2"/>
  <cols>
    <col min="1" max="1" width="8.625" customWidth="1"/>
    <col min="2" max="2" width="6.25" customWidth="1"/>
    <col min="3" max="3" width="7" customWidth="1"/>
    <col min="4" max="4" width="5.375" customWidth="1"/>
    <col min="5" max="5" width="6.75" customWidth="1"/>
    <col min="6" max="6" width="5.375" customWidth="1"/>
    <col min="7" max="7" width="7.625" customWidth="1"/>
    <col min="8" max="8" width="5.375" customWidth="1"/>
    <col min="9" max="9" width="7.375" customWidth="1"/>
    <col min="10" max="10" width="3.125" customWidth="1"/>
    <col min="16" max="16" width="2.375" customWidth="1"/>
    <col min="17" max="17" width="8.25" customWidth="1"/>
  </cols>
  <sheetData>
    <row r="1" spans="1:21" ht="15.75" x14ac:dyDescent="0.25">
      <c r="A1" s="78"/>
      <c r="B1" s="78"/>
    </row>
    <row r="2" spans="1:21" ht="15.75" x14ac:dyDescent="0.25">
      <c r="A2" s="78"/>
      <c r="B2" s="78"/>
    </row>
    <row r="3" spans="1:21" ht="15.75" x14ac:dyDescent="0.25">
      <c r="A3" s="78"/>
      <c r="B3" s="78"/>
    </row>
    <row r="5" spans="1:21" ht="16.5" thickBot="1" x14ac:dyDescent="0.3">
      <c r="D5" s="8"/>
      <c r="E5" s="8"/>
      <c r="Q5" s="408" t="s">
        <v>94</v>
      </c>
      <c r="R5" s="408"/>
      <c r="S5" s="408"/>
      <c r="T5" s="408"/>
      <c r="U5" s="408"/>
    </row>
    <row r="6" spans="1:21" ht="15.75" customHeight="1" thickBot="1" x14ac:dyDescent="0.25">
      <c r="A6" s="501" t="s">
        <v>3</v>
      </c>
      <c r="B6" s="540">
        <v>80</v>
      </c>
      <c r="C6" s="541"/>
      <c r="D6" s="540">
        <v>92</v>
      </c>
      <c r="E6" s="541"/>
      <c r="F6" s="540">
        <v>95</v>
      </c>
      <c r="G6" s="541"/>
      <c r="H6" s="540" t="s">
        <v>50</v>
      </c>
      <c r="I6" s="541"/>
      <c r="K6" s="501" t="s">
        <v>3</v>
      </c>
      <c r="L6" s="73">
        <v>80</v>
      </c>
      <c r="M6" s="73">
        <v>92</v>
      </c>
      <c r="N6" s="73">
        <v>95</v>
      </c>
      <c r="O6" s="73" t="s">
        <v>50</v>
      </c>
      <c r="Q6" s="542" t="s">
        <v>3</v>
      </c>
      <c r="R6" s="543" t="s">
        <v>95</v>
      </c>
      <c r="S6" s="543" t="s">
        <v>96</v>
      </c>
      <c r="T6" s="543" t="s">
        <v>97</v>
      </c>
      <c r="U6" s="545" t="s">
        <v>98</v>
      </c>
    </row>
    <row r="7" spans="1:21" ht="15.75" thickBot="1" x14ac:dyDescent="0.25">
      <c r="A7" s="503"/>
      <c r="B7" s="74" t="s">
        <v>7</v>
      </c>
      <c r="C7" s="74" t="s">
        <v>10</v>
      </c>
      <c r="D7" s="74" t="s">
        <v>7</v>
      </c>
      <c r="E7" s="74" t="s">
        <v>10</v>
      </c>
      <c r="F7" s="74" t="s">
        <v>7</v>
      </c>
      <c r="G7" s="74" t="s">
        <v>10</v>
      </c>
      <c r="H7" s="74" t="s">
        <v>7</v>
      </c>
      <c r="I7" s="74" t="s">
        <v>10</v>
      </c>
      <c r="K7" s="503"/>
      <c r="L7" s="74" t="s">
        <v>7</v>
      </c>
      <c r="M7" s="74" t="s">
        <v>7</v>
      </c>
      <c r="N7" s="74" t="s">
        <v>7</v>
      </c>
      <c r="O7" s="74" t="s">
        <v>7</v>
      </c>
      <c r="Q7" s="542"/>
      <c r="R7" s="544"/>
      <c r="S7" s="544"/>
      <c r="T7" s="544"/>
      <c r="U7" s="545"/>
    </row>
    <row r="8" spans="1:21" ht="16.5" thickBot="1" x14ac:dyDescent="0.3">
      <c r="A8" s="77" t="s">
        <v>15</v>
      </c>
      <c r="B8" s="4">
        <f>'التمام الصباحي'!E8</f>
        <v>0</v>
      </c>
      <c r="C8" s="45">
        <f>'التمام الصباحي'!H8</f>
        <v>0</v>
      </c>
      <c r="D8" s="72">
        <f>'التمام الصباحي'!K8</f>
        <v>5</v>
      </c>
      <c r="E8" s="10">
        <f>'التمام الصباحي'!N8</f>
        <v>3.4</v>
      </c>
      <c r="F8" s="72">
        <f>'التمام الصباحي'!Q8</f>
        <v>6</v>
      </c>
      <c r="G8" s="10">
        <f>'التمام الصباحي'!T8</f>
        <v>3</v>
      </c>
      <c r="H8" s="4">
        <f>'التمام الصباحي'!W8</f>
        <v>0</v>
      </c>
      <c r="I8" s="45">
        <f>'التمام الصباحي'!Z8</f>
        <v>0</v>
      </c>
      <c r="K8" s="79" t="s">
        <v>15</v>
      </c>
      <c r="L8" s="80"/>
      <c r="M8" s="41">
        <f>IF(D8&gt;101,102,IF(D8&gt;84,85,IF(D8&gt;67,68,IF(D8&gt;50,51,IF(D8&gt;33,34,IF(D8&gt;16,17,0))))))</f>
        <v>0</v>
      </c>
      <c r="N8" s="41">
        <f>IF(F8&gt;101,102,IF(F8&gt;84,85,IF(F8&gt;67,68,IF(F8&gt;50,51,IF(F8&gt;33,34,IF(F8&gt;16,17,0))))))</f>
        <v>0</v>
      </c>
      <c r="O8" s="80"/>
      <c r="P8" s="81"/>
      <c r="Q8" s="82" t="s">
        <v>15</v>
      </c>
      <c r="R8" s="83">
        <f t="shared" ref="R8:R26" si="0">ROUNDDOWN((SUM(L8:O8)/51),0.9)</f>
        <v>0</v>
      </c>
      <c r="S8" s="75"/>
      <c r="T8" s="76"/>
      <c r="U8" s="84"/>
    </row>
    <row r="9" spans="1:21" ht="17.25" thickTop="1" thickBot="1" x14ac:dyDescent="0.3">
      <c r="A9" s="77" t="s">
        <v>16</v>
      </c>
      <c r="B9" s="5">
        <f>'التمام الصباحي'!E11</f>
        <v>15</v>
      </c>
      <c r="C9" s="9">
        <f>'التمام الصباحي'!H11</f>
        <v>3</v>
      </c>
      <c r="D9" s="72">
        <f>'التمام الصباحي'!K11</f>
        <v>25</v>
      </c>
      <c r="E9" s="10">
        <f>'التمام الصباحي'!N11</f>
        <v>1.4</v>
      </c>
      <c r="F9" s="72">
        <f>'التمام الصباحي'!Q11</f>
        <v>12</v>
      </c>
      <c r="G9" s="10">
        <f>'التمام الصباحي'!T11</f>
        <v>2.25</v>
      </c>
      <c r="H9" s="5">
        <f>'التمام الصباحي'!W11</f>
        <v>18</v>
      </c>
      <c r="I9" s="10">
        <f>'التمام الصباحي'!Z11</f>
        <v>27</v>
      </c>
      <c r="K9" s="85" t="s">
        <v>16</v>
      </c>
      <c r="L9" s="41">
        <f>IF(B9&gt;101,102,IF(B9&gt;84,85,IF(B9&gt;67,68,IF(B9&gt;50,51,IF(B9&gt;33,34,IF(B9&gt;16,17,0))))))</f>
        <v>0</v>
      </c>
      <c r="M9" s="41">
        <f t="shared" ref="M9:M26" si="1">IF(D9&gt;101,102,IF(D9&gt;84,85,IF(D9&gt;67,68,IF(D9&gt;50,51,IF(D9&gt;33,34,IF(D9&gt;16,17,0))))))</f>
        <v>17</v>
      </c>
      <c r="N9" s="41">
        <f t="shared" ref="N9:N26" si="2">IF(F9&gt;101,102,IF(F9&gt;84,85,IF(F9&gt;67,68,IF(F9&gt;50,51,IF(F9&gt;33,34,IF(F9&gt;16,17,0))))))</f>
        <v>0</v>
      </c>
      <c r="O9" s="41">
        <f>IF(H9&gt;101,102,IF(H9&gt;84,85,IF(H9&gt;67,68,IF(H9&gt;50,51,IF(H9&gt;33,34,IF(H9&gt;16,17,0))))))</f>
        <v>17</v>
      </c>
      <c r="P9" s="81"/>
      <c r="Q9" s="86" t="s">
        <v>16</v>
      </c>
      <c r="R9" s="87">
        <f t="shared" si="0"/>
        <v>0</v>
      </c>
      <c r="S9" s="538">
        <f>IF((ROUNDDOWN((SUM(M9:M10)/51)-(R9+R10),0.9))&lt;0,0,(ROUNDDOWN((SUM(M9:M10)/51)-(R9+R10),0.9)))</f>
        <v>0</v>
      </c>
      <c r="T9" s="538">
        <f>IF((ROUNDDOWN((SUM(O9:O10)/51)-(R9+R10),0.9))&lt;0,0,(ROUNDDOWN((SUM(O9:O10)/51)-(R9+R10),0.9)))</f>
        <v>0</v>
      </c>
      <c r="U9" s="538">
        <f>IF((ROUNDDOWN((SUM(L9:O10)/51)-(R9+R10+S9+T9),0.9))&lt;0,0,ROUNDDOWN((SUM(L9:O10)/51)-(R9+R10+S9+T9),0.9))</f>
        <v>1</v>
      </c>
    </row>
    <row r="10" spans="1:21" ht="16.5" thickBot="1" x14ac:dyDescent="0.3">
      <c r="A10" s="77" t="s">
        <v>17</v>
      </c>
      <c r="B10" s="5">
        <f>'التمام الصباحي'!E12</f>
        <v>0</v>
      </c>
      <c r="C10" s="9">
        <f>'التمام الصباحي'!H12</f>
        <v>0</v>
      </c>
      <c r="D10" s="72">
        <f>'التمام الصباحي'!K12</f>
        <v>29</v>
      </c>
      <c r="E10" s="10">
        <f>'التمام الصباحي'!N12</f>
        <v>1.4523809523809523</v>
      </c>
      <c r="F10" s="72">
        <f>'التمام الصباحي'!Q12</f>
        <v>5</v>
      </c>
      <c r="G10" s="10">
        <f>'التمام الصباحي'!T12</f>
        <v>2.0833333333333335</v>
      </c>
      <c r="H10" s="4">
        <f>'التمام الصباحي'!W12</f>
        <v>0</v>
      </c>
      <c r="I10" s="45">
        <f>'التمام الصباحي'!Z12</f>
        <v>0</v>
      </c>
      <c r="K10" s="88" t="s">
        <v>17</v>
      </c>
      <c r="L10" s="41">
        <f t="shared" ref="L10:L21" si="3">IF(B10&gt;101,102,IF(B10&gt;84,85,IF(B10&gt;67,68,IF(B10&gt;50,51,IF(B10&gt;33,34,IF(B10&gt;16,17,0))))))</f>
        <v>0</v>
      </c>
      <c r="M10" s="41">
        <f t="shared" si="1"/>
        <v>17</v>
      </c>
      <c r="N10" s="41">
        <f t="shared" si="2"/>
        <v>0</v>
      </c>
      <c r="O10" s="80"/>
      <c r="P10" s="81"/>
      <c r="Q10" s="89" t="s">
        <v>17</v>
      </c>
      <c r="R10" s="90">
        <f t="shared" si="0"/>
        <v>0</v>
      </c>
      <c r="S10" s="539"/>
      <c r="T10" s="539"/>
      <c r="U10" s="539"/>
    </row>
    <row r="11" spans="1:21" ht="17.25" thickTop="1" thickBot="1" x14ac:dyDescent="0.3">
      <c r="A11" s="77" t="s">
        <v>18</v>
      </c>
      <c r="B11" s="5">
        <f>'التمام الصباحي'!E13</f>
        <v>18</v>
      </c>
      <c r="C11" s="9">
        <f>'التمام الصباحي'!H13</f>
        <v>3</v>
      </c>
      <c r="D11" s="72">
        <f>'التمام الصباحي'!K13</f>
        <v>32</v>
      </c>
      <c r="E11" s="10">
        <f>'التمام الصباحي'!N13</f>
        <v>2.1481481481481484</v>
      </c>
      <c r="F11" s="4">
        <f>'التمام الصباحي'!Q13</f>
        <v>0</v>
      </c>
      <c r="G11" s="45">
        <f>'التمام الصباحي'!T13</f>
        <v>0</v>
      </c>
      <c r="H11" s="5">
        <f>'التمام الصباحي'!W13</f>
        <v>19</v>
      </c>
      <c r="I11" s="10">
        <f>'التمام الصباحي'!Z13</f>
        <v>20.125</v>
      </c>
      <c r="K11" s="91" t="s">
        <v>18</v>
      </c>
      <c r="L11" s="41">
        <f t="shared" si="3"/>
        <v>17</v>
      </c>
      <c r="M11" s="41">
        <f t="shared" si="1"/>
        <v>17</v>
      </c>
      <c r="N11" s="80"/>
      <c r="O11" s="41">
        <f t="shared" ref="O11:O26" si="4">IF(H11&gt;101,102,IF(H11&gt;84,85,IF(H11&gt;67,68,IF(H11&gt;50,51,IF(H11&gt;33,34,IF(H11&gt;16,17,0))))))</f>
        <v>17</v>
      </c>
      <c r="P11" s="81"/>
      <c r="Q11" s="92" t="s">
        <v>18</v>
      </c>
      <c r="R11" s="93">
        <f t="shared" si="0"/>
        <v>1</v>
      </c>
      <c r="S11" s="534">
        <f>IF((ROUNDDOWN((SUM(M11:M12)/51)-(R11+R12),0.9))&lt;0,0,(ROUNDDOWN((SUM(M11:M12)/51)-(R11+R12),0.9)))</f>
        <v>0</v>
      </c>
      <c r="T11" s="534">
        <f t="shared" ref="T11" si="5">IF((ROUNDDOWN((SUM(O11:O12)/51)-(R11+R12),0.9))&lt;0,0,(ROUNDDOWN((SUM(O11:O12)/51)-(R11+R12),0.9)))</f>
        <v>0</v>
      </c>
      <c r="U11" s="534">
        <f t="shared" ref="U11" si="6">IF((ROUNDDOWN((SUM(L11:O12)/51)-(R11+R12+S11+T11),0.9))&lt;0,0,ROUNDDOWN((SUM(L11:O12)/51)-(R11+R12+S11+T11),0.9))</f>
        <v>0</v>
      </c>
    </row>
    <row r="12" spans="1:21" ht="16.5" thickBot="1" x14ac:dyDescent="0.3">
      <c r="A12" s="77" t="s">
        <v>19</v>
      </c>
      <c r="B12" s="5">
        <f>'التمام الصباحي'!E14</f>
        <v>10</v>
      </c>
      <c r="C12" s="9">
        <f>'التمام الصباحي'!H14</f>
        <v>2.8571428571428572</v>
      </c>
      <c r="D12" s="72">
        <f>'التمام الصباحي'!K14</f>
        <v>15</v>
      </c>
      <c r="E12" s="10">
        <f>'التمام الصباحي'!N14</f>
        <v>3.4090909090909092</v>
      </c>
      <c r="F12" s="4">
        <f>'التمام الصباحي'!Q14</f>
        <v>0</v>
      </c>
      <c r="G12" s="45">
        <f>'التمام الصباحي'!T14</f>
        <v>0</v>
      </c>
      <c r="H12" s="5">
        <f>'التمام الصباحي'!W14</f>
        <v>24</v>
      </c>
      <c r="I12" s="10">
        <f>'التمام الصباحي'!Z14</f>
        <v>7.8</v>
      </c>
      <c r="K12" s="79" t="s">
        <v>19</v>
      </c>
      <c r="L12" s="41">
        <f t="shared" si="3"/>
        <v>0</v>
      </c>
      <c r="M12" s="41">
        <f t="shared" si="1"/>
        <v>0</v>
      </c>
      <c r="N12" s="80"/>
      <c r="O12" s="41">
        <f t="shared" si="4"/>
        <v>17</v>
      </c>
      <c r="P12" s="81"/>
      <c r="Q12" s="94" t="s">
        <v>19</v>
      </c>
      <c r="R12" s="95">
        <f t="shared" si="0"/>
        <v>0</v>
      </c>
      <c r="S12" s="534"/>
      <c r="T12" s="534"/>
      <c r="U12" s="534"/>
    </row>
    <row r="13" spans="1:21" ht="17.25" thickTop="1" thickBot="1" x14ac:dyDescent="0.3">
      <c r="A13" s="77" t="s">
        <v>20</v>
      </c>
      <c r="B13" s="4">
        <f>'التمام الصباحي'!E15</f>
        <v>0</v>
      </c>
      <c r="C13" s="45">
        <f>'التمام الصباحي'!H15</f>
        <v>0</v>
      </c>
      <c r="D13" s="72">
        <f>'التمام الصباحي'!K15</f>
        <v>45</v>
      </c>
      <c r="E13" s="10">
        <f>'التمام الصباحي'!N15</f>
        <v>2.5961538461538463</v>
      </c>
      <c r="F13" s="72">
        <f>'التمام الصباحي'!Q15</f>
        <v>13</v>
      </c>
      <c r="G13" s="10">
        <f>'التمام الصباحي'!T15</f>
        <v>3.1333333333333333</v>
      </c>
      <c r="H13" s="4">
        <f>'التمام الصباحي'!W15</f>
        <v>0</v>
      </c>
      <c r="I13" s="45">
        <f>'التمام الصباحي'!Z15</f>
        <v>0</v>
      </c>
      <c r="K13" s="85" t="s">
        <v>20</v>
      </c>
      <c r="L13" s="80"/>
      <c r="M13" s="41">
        <f t="shared" si="1"/>
        <v>34</v>
      </c>
      <c r="N13" s="41">
        <f t="shared" si="2"/>
        <v>0</v>
      </c>
      <c r="O13" s="80"/>
      <c r="P13" s="81"/>
      <c r="Q13" s="86" t="s">
        <v>20</v>
      </c>
      <c r="R13" s="87">
        <f t="shared" si="0"/>
        <v>0</v>
      </c>
      <c r="S13" s="538">
        <f>IF((ROUNDDOWN((SUM(M13:M14)/51)-(R13+R14),0.9))&lt;0,0,(ROUNDDOWN((SUM(M13:M14)/51)-(R13+R14),0.9)))</f>
        <v>0</v>
      </c>
      <c r="T13" s="538">
        <f t="shared" ref="T13" si="7">IF((ROUNDDOWN((SUM(O13:O14)/51)-(R13+R14),0.9))&lt;0,0,(ROUNDDOWN((SUM(O13:O14)/51)-(R13+R14),0.9)))</f>
        <v>0</v>
      </c>
      <c r="U13" s="538">
        <f t="shared" ref="U13" si="8">IF((ROUNDDOWN((SUM(L13:O14)/51)-(R13+R14+S13+T13),0.9))&lt;0,0,ROUNDDOWN((SUM(L13:O14)/51)-(R13+R14+S13+T13),0.9))</f>
        <v>1</v>
      </c>
    </row>
    <row r="14" spans="1:21" ht="16.5" thickBot="1" x14ac:dyDescent="0.3">
      <c r="A14" s="77" t="s">
        <v>21</v>
      </c>
      <c r="B14" s="4">
        <f>'التمام الصباحي'!E16</f>
        <v>0</v>
      </c>
      <c r="C14" s="45">
        <f>'التمام الصباحي'!H16</f>
        <v>0</v>
      </c>
      <c r="D14" s="72">
        <f>'التمام الصباحي'!K16</f>
        <v>14</v>
      </c>
      <c r="E14" s="10">
        <f>'التمام الصباحي'!N16</f>
        <v>4.7428571428571429</v>
      </c>
      <c r="F14" s="72">
        <f>'التمام الصباحي'!Q16</f>
        <v>7</v>
      </c>
      <c r="G14" s="10">
        <f>'التمام الصباحي'!T16</f>
        <v>3.4545454545454546</v>
      </c>
      <c r="H14" s="5">
        <f>'التمام الصباحي'!W16</f>
        <v>30</v>
      </c>
      <c r="I14" s="10">
        <f>'التمام الصباحي'!Z16</f>
        <v>3.6</v>
      </c>
      <c r="K14" s="88" t="s">
        <v>21</v>
      </c>
      <c r="L14" s="80"/>
      <c r="M14" s="41">
        <f t="shared" si="1"/>
        <v>0</v>
      </c>
      <c r="N14" s="41">
        <f t="shared" si="2"/>
        <v>0</v>
      </c>
      <c r="O14" s="41">
        <f t="shared" si="4"/>
        <v>17</v>
      </c>
      <c r="P14" s="81"/>
      <c r="Q14" s="89" t="s">
        <v>21</v>
      </c>
      <c r="R14" s="90">
        <f t="shared" si="0"/>
        <v>0</v>
      </c>
      <c r="S14" s="539"/>
      <c r="T14" s="539"/>
      <c r="U14" s="539"/>
    </row>
    <row r="15" spans="1:21" ht="16.5" thickBot="1" x14ac:dyDescent="0.3">
      <c r="A15" s="77" t="s">
        <v>22</v>
      </c>
      <c r="B15" s="4">
        <f>'التمام الصباحي'!E17</f>
        <v>0</v>
      </c>
      <c r="C15" s="45">
        <f>'التمام الصباحي'!H17</f>
        <v>0</v>
      </c>
      <c r="D15" s="72">
        <f>'التمام الصباحي'!K17</f>
        <v>23</v>
      </c>
      <c r="E15" s="10">
        <f>'التمام الصباحي'!N17</f>
        <v>5.583333333333333</v>
      </c>
      <c r="F15" s="72">
        <f>'التمام الصباحي'!Q17</f>
        <v>17</v>
      </c>
      <c r="G15" s="10">
        <f>'التمام الصباحي'!T17</f>
        <v>2.1666666666666665</v>
      </c>
      <c r="H15" s="5">
        <f>'التمام الصباحي'!W17</f>
        <v>53</v>
      </c>
      <c r="I15" s="10">
        <f>'التمام الصباحي'!Z17</f>
        <v>4.096774193548387</v>
      </c>
      <c r="K15" s="96" t="s">
        <v>22</v>
      </c>
      <c r="L15" s="80"/>
      <c r="M15" s="41">
        <f t="shared" si="1"/>
        <v>17</v>
      </c>
      <c r="N15" s="41">
        <f t="shared" si="2"/>
        <v>17</v>
      </c>
      <c r="O15" s="41">
        <f t="shared" si="4"/>
        <v>51</v>
      </c>
      <c r="P15" s="81"/>
      <c r="Q15" s="97" t="s">
        <v>22</v>
      </c>
      <c r="R15" s="98">
        <f t="shared" si="0"/>
        <v>1</v>
      </c>
      <c r="S15" s="99"/>
      <c r="T15" s="100"/>
      <c r="U15" s="101"/>
    </row>
    <row r="16" spans="1:21" ht="17.25" thickTop="1" thickBot="1" x14ac:dyDescent="0.3">
      <c r="A16" s="77" t="s">
        <v>23</v>
      </c>
      <c r="B16" s="4">
        <f>'التمام الصباحي'!E18</f>
        <v>0</v>
      </c>
      <c r="C16" s="45">
        <f>'التمام الصباحي'!H18</f>
        <v>0</v>
      </c>
      <c r="D16" s="72">
        <f>'التمام الصباحي'!K18</f>
        <v>14</v>
      </c>
      <c r="E16" s="10">
        <f>'التمام الصباحي'!N18</f>
        <v>6.333333333333333</v>
      </c>
      <c r="F16" s="72">
        <f>'التمام الصباحي'!Q18</f>
        <v>18</v>
      </c>
      <c r="G16" s="10">
        <f>'التمام الصباحي'!T18</f>
        <v>3</v>
      </c>
      <c r="H16" s="5">
        <f>'التمام الصباحي'!W18</f>
        <v>10</v>
      </c>
      <c r="I16" s="10">
        <f>'التمام الصباحي'!Z18</f>
        <v>10</v>
      </c>
      <c r="K16" s="85" t="s">
        <v>23</v>
      </c>
      <c r="L16" s="80"/>
      <c r="M16" s="41">
        <f t="shared" si="1"/>
        <v>0</v>
      </c>
      <c r="N16" s="41">
        <f t="shared" si="2"/>
        <v>17</v>
      </c>
      <c r="O16" s="41">
        <f t="shared" si="4"/>
        <v>0</v>
      </c>
      <c r="P16" s="81"/>
      <c r="Q16" s="92" t="s">
        <v>23</v>
      </c>
      <c r="R16" s="93">
        <f t="shared" si="0"/>
        <v>0</v>
      </c>
      <c r="S16" s="536">
        <f>IF((ROUNDDOWN((SUM(M16:M17)/51)-(R16+R17),0.9))&lt;0,0,(ROUNDDOWN((SUM(M16:M17)/51)-(R16+R17),0.9)))</f>
        <v>0</v>
      </c>
      <c r="T16" s="536">
        <f>IF((ROUNDDOWN((SUM(O16:O17)/51)-(R16+R17),0.9))&lt;0,0,(ROUNDDOWN((SUM(O16:O17)/51)-(R16+R17),0.9)))</f>
        <v>0</v>
      </c>
      <c r="U16" s="536">
        <f>IF((ROUNDDOWN((SUM(L16:O17)/51)-(R16+R17+S16+T16),0.9))&lt;0,0,ROUNDDOWN((SUM(L16:O17)/51)-(R16+R17+S16+T16),0.9))</f>
        <v>0</v>
      </c>
    </row>
    <row r="17" spans="1:21" ht="16.5" thickBot="1" x14ac:dyDescent="0.3">
      <c r="A17" s="77" t="s">
        <v>24</v>
      </c>
      <c r="B17" s="4">
        <f>'التمام الصباحي'!E19</f>
        <v>0</v>
      </c>
      <c r="C17" s="45">
        <f>'التمام الصباحي'!H19</f>
        <v>0</v>
      </c>
      <c r="D17" s="72">
        <f>'التمام الصباحي'!K19</f>
        <v>27</v>
      </c>
      <c r="E17" s="10">
        <f>'التمام الصباحي'!N19</f>
        <v>6.6</v>
      </c>
      <c r="F17" s="72">
        <f>'التمام الصباحي'!Q19</f>
        <v>13</v>
      </c>
      <c r="G17" s="10">
        <f>'التمام الصباحي'!T19</f>
        <v>8.5</v>
      </c>
      <c r="H17" s="4">
        <f>'التمام الصباحي'!W19</f>
        <v>0</v>
      </c>
      <c r="I17" s="45">
        <f>'التمام الصباحي'!Z19</f>
        <v>0</v>
      </c>
      <c r="K17" s="88" t="s">
        <v>24</v>
      </c>
      <c r="L17" s="80"/>
      <c r="M17" s="41">
        <f t="shared" si="1"/>
        <v>17</v>
      </c>
      <c r="N17" s="41">
        <f t="shared" si="2"/>
        <v>0</v>
      </c>
      <c r="O17" s="80"/>
      <c r="P17" s="81"/>
      <c r="Q17" s="94" t="s">
        <v>24</v>
      </c>
      <c r="R17" s="95">
        <f t="shared" si="0"/>
        <v>0</v>
      </c>
      <c r="S17" s="537"/>
      <c r="T17" s="537"/>
      <c r="U17" s="537"/>
    </row>
    <row r="18" spans="1:21" ht="16.5" thickBot="1" x14ac:dyDescent="0.3">
      <c r="A18" s="77" t="s">
        <v>26</v>
      </c>
      <c r="B18" s="4">
        <f>'التمام الصباحي'!E20</f>
        <v>0</v>
      </c>
      <c r="C18" s="45">
        <f>'التمام الصباحي'!H20</f>
        <v>0</v>
      </c>
      <c r="D18" s="72">
        <f>'التمام الصباحي'!K20</f>
        <v>26</v>
      </c>
      <c r="E18" s="10">
        <f>'التمام الصباحي'!N20</f>
        <v>16</v>
      </c>
      <c r="F18" s="72">
        <f>'التمام الصباحي'!Q20</f>
        <v>15</v>
      </c>
      <c r="G18" s="10">
        <f>'التمام الصباحي'!T20</f>
        <v>7.5</v>
      </c>
      <c r="H18" s="5">
        <f>'التمام الصباحي'!W20</f>
        <v>32</v>
      </c>
      <c r="I18" s="10">
        <f>'التمام الصباحي'!Z20</f>
        <v>21.142857142857142</v>
      </c>
      <c r="K18" s="96" t="s">
        <v>26</v>
      </c>
      <c r="L18" s="80"/>
      <c r="M18" s="41">
        <f t="shared" si="1"/>
        <v>17</v>
      </c>
      <c r="N18" s="41">
        <f t="shared" si="2"/>
        <v>0</v>
      </c>
      <c r="O18" s="41">
        <f t="shared" si="4"/>
        <v>17</v>
      </c>
      <c r="P18" s="81"/>
      <c r="Q18" s="97" t="s">
        <v>26</v>
      </c>
      <c r="R18" s="98">
        <f t="shared" si="0"/>
        <v>0</v>
      </c>
      <c r="S18" s="99"/>
      <c r="T18" s="100"/>
      <c r="U18" s="102"/>
    </row>
    <row r="19" spans="1:21" ht="17.25" thickTop="1" thickBot="1" x14ac:dyDescent="0.3">
      <c r="A19" s="77" t="s">
        <v>25</v>
      </c>
      <c r="B19" s="4">
        <f>'التمام الصباحي'!E21</f>
        <v>0</v>
      </c>
      <c r="C19" s="45">
        <f>'التمام الصباحي'!H21</f>
        <v>0</v>
      </c>
      <c r="D19" s="72">
        <f>'التمام الصباحي'!K21</f>
        <v>14</v>
      </c>
      <c r="E19" s="10">
        <f>'التمام الصباحي'!N21</f>
        <v>2.2352941176470589</v>
      </c>
      <c r="F19" s="72">
        <f>'التمام الصباحي'!Q21</f>
        <v>9</v>
      </c>
      <c r="G19" s="10">
        <f>'التمام الصباحي'!T21</f>
        <v>1.6153846153846154</v>
      </c>
      <c r="H19" s="5">
        <f>'التمام الصباحي'!W21</f>
        <v>18</v>
      </c>
      <c r="I19" s="10">
        <f>'التمام الصباحي'!Z21</f>
        <v>7.3636363636363633</v>
      </c>
      <c r="K19" s="85" t="s">
        <v>25</v>
      </c>
      <c r="L19" s="80"/>
      <c r="M19" s="41">
        <f t="shared" si="1"/>
        <v>0</v>
      </c>
      <c r="N19" s="41">
        <f t="shared" si="2"/>
        <v>0</v>
      </c>
      <c r="O19" s="41">
        <f t="shared" si="4"/>
        <v>17</v>
      </c>
      <c r="P19" s="81"/>
      <c r="Q19" s="86" t="s">
        <v>25</v>
      </c>
      <c r="R19" s="87">
        <f t="shared" si="0"/>
        <v>0</v>
      </c>
      <c r="S19" s="538">
        <f>IF((ROUNDDOWN((SUM(M19:M20)/51)-(R19+R20),0.9))&lt;0,0,(ROUNDDOWN((SUM(M19:M20)/51)-(R19+R20),0.9)))</f>
        <v>0</v>
      </c>
      <c r="T19" s="538">
        <f>IF((ROUNDDOWN((SUM(O19:O20)/51)-(R19+R20),0.9))&lt;0,0,(ROUNDDOWN((SUM(O19:O20)/51)-(R19+R20),0.9)))</f>
        <v>0</v>
      </c>
      <c r="U19" s="538">
        <f>IF((ROUNDDOWN((SUM(L19:O20)/51)-(R19+R20+S19+T19),0.9))&lt;0,0,ROUNDDOWN((SUM(L19:O20)/51)-(R19+R20+S19+T19),0.9))</f>
        <v>1</v>
      </c>
    </row>
    <row r="20" spans="1:21" ht="16.5" thickBot="1" x14ac:dyDescent="0.3">
      <c r="A20" s="77" t="s">
        <v>27</v>
      </c>
      <c r="B20" s="4">
        <f>'التمام الصباحي'!E22</f>
        <v>0</v>
      </c>
      <c r="C20" s="45">
        <f>'التمام الصباحي'!H22</f>
        <v>0</v>
      </c>
      <c r="D20" s="72">
        <f>'التمام الصباحي'!K22</f>
        <v>42</v>
      </c>
      <c r="E20" s="10">
        <f>'التمام الصباحي'!N22</f>
        <v>6</v>
      </c>
      <c r="F20" s="72">
        <f>'التمام الصباحي'!Q22</f>
        <v>14.4</v>
      </c>
      <c r="G20" s="10">
        <f>'التمام الصباحي'!T22</f>
        <v>7.8</v>
      </c>
      <c r="H20" s="4">
        <f>'التمام الصباحي'!W22</f>
        <v>0</v>
      </c>
      <c r="I20" s="45">
        <f>'التمام الصباحي'!Z22</f>
        <v>0</v>
      </c>
      <c r="K20" s="88" t="s">
        <v>27</v>
      </c>
      <c r="L20" s="80"/>
      <c r="M20" s="41">
        <f t="shared" si="1"/>
        <v>34</v>
      </c>
      <c r="N20" s="41">
        <f t="shared" si="2"/>
        <v>0</v>
      </c>
      <c r="O20" s="80"/>
      <c r="P20" s="81"/>
      <c r="Q20" s="89" t="s">
        <v>27</v>
      </c>
      <c r="R20" s="90">
        <f t="shared" si="0"/>
        <v>0</v>
      </c>
      <c r="S20" s="539"/>
      <c r="T20" s="539"/>
      <c r="U20" s="539"/>
    </row>
    <row r="21" spans="1:21" ht="17.25" thickTop="1" thickBot="1" x14ac:dyDescent="0.3">
      <c r="A21" s="77" t="s">
        <v>28</v>
      </c>
      <c r="B21" s="5">
        <f>'التمام الصباحي'!E23</f>
        <v>11</v>
      </c>
      <c r="C21" s="9">
        <f>'التمام الصباحي'!H23</f>
        <v>31.666666666666668</v>
      </c>
      <c r="D21" s="72">
        <f>'التمام الصباحي'!K23</f>
        <v>17</v>
      </c>
      <c r="E21" s="10">
        <f>'التمام الصباحي'!N23</f>
        <v>14.333333333333334</v>
      </c>
      <c r="F21" s="4">
        <f>'التمام الصباحي'!Q23</f>
        <v>0</v>
      </c>
      <c r="G21" s="45">
        <f>'التمام الصباحي'!T23</f>
        <v>0</v>
      </c>
      <c r="H21" s="5">
        <f>'التمام الصباحي'!W23</f>
        <v>38</v>
      </c>
      <c r="I21" s="10">
        <f>'التمام الصباحي'!Z23</f>
        <v>11.714285714285714</v>
      </c>
      <c r="K21" s="91" t="s">
        <v>28</v>
      </c>
      <c r="L21" s="41">
        <f t="shared" si="3"/>
        <v>0</v>
      </c>
      <c r="M21" s="41">
        <f t="shared" si="1"/>
        <v>17</v>
      </c>
      <c r="N21" s="80"/>
      <c r="O21" s="41">
        <f t="shared" si="4"/>
        <v>34</v>
      </c>
      <c r="P21" s="81"/>
      <c r="Q21" s="92" t="s">
        <v>28</v>
      </c>
      <c r="R21" s="93">
        <f t="shared" si="0"/>
        <v>1</v>
      </c>
      <c r="S21" s="534">
        <f>IF((ROUNDDOWN((SUM(M21:M22)/51)-(R21+R22),0.9))&lt;0,0,(ROUNDDOWN((SUM(M21:M22)/51)-(R21+R22),0.9)))</f>
        <v>0</v>
      </c>
      <c r="T21" s="536">
        <f>IF((ROUNDDOWN((SUM(O21:O22)/51)-(R21+R22),0.9))&lt;0,0,(ROUNDDOWN((SUM(O21:O22)/51)-(R21+R22),0.9)))</f>
        <v>0</v>
      </c>
      <c r="U21" s="536">
        <f t="shared" ref="U21" si="9">IF((ROUNDDOWN((SUM(L21:O22)/51)-(R21+R22+S21+T21),0.9))&lt;0,0,ROUNDDOWN((SUM(L21:O22)/51)-(R21+R22+S21+T21),0.9))</f>
        <v>0</v>
      </c>
    </row>
    <row r="22" spans="1:21" ht="16.5" thickBot="1" x14ac:dyDescent="0.3">
      <c r="A22" s="77" t="s">
        <v>29</v>
      </c>
      <c r="B22" s="4">
        <f>'التمام الصباحي'!E24</f>
        <v>0</v>
      </c>
      <c r="C22" s="45">
        <f>'التمام الصباحي'!H24</f>
        <v>0</v>
      </c>
      <c r="D22" s="72">
        <f>'التمام الصباحي'!K24</f>
        <v>28</v>
      </c>
      <c r="E22" s="10">
        <f>'التمام الصباحي'!N24</f>
        <v>5.333333333333333</v>
      </c>
      <c r="F22" s="4">
        <f>'التمام الصباحي'!Q24</f>
        <v>0</v>
      </c>
      <c r="G22" s="45">
        <f>'التمام الصباحي'!T24</f>
        <v>0</v>
      </c>
      <c r="H22" s="5">
        <f>'التمام الصباحي'!W24</f>
        <v>22</v>
      </c>
      <c r="I22" s="10">
        <f>'التمام الصباحي'!Z24</f>
        <v>19.600000000000001</v>
      </c>
      <c r="K22" s="79" t="s">
        <v>29</v>
      </c>
      <c r="L22" s="80"/>
      <c r="M22" s="41">
        <f t="shared" si="1"/>
        <v>17</v>
      </c>
      <c r="N22" s="80"/>
      <c r="O22" s="41">
        <f t="shared" si="4"/>
        <v>17</v>
      </c>
      <c r="P22" s="81"/>
      <c r="Q22" s="94" t="s">
        <v>29</v>
      </c>
      <c r="R22" s="95">
        <f t="shared" si="0"/>
        <v>0</v>
      </c>
      <c r="S22" s="534"/>
      <c r="T22" s="537"/>
      <c r="U22" s="537"/>
    </row>
    <row r="23" spans="1:21" ht="17.25" thickTop="1" thickBot="1" x14ac:dyDescent="0.3">
      <c r="A23" s="77" t="s">
        <v>30</v>
      </c>
      <c r="B23" s="4">
        <f>'التمام الصباحي'!E25</f>
        <v>0</v>
      </c>
      <c r="C23" s="45">
        <f>'التمام الصباحي'!H25</f>
        <v>0</v>
      </c>
      <c r="D23" s="72">
        <f>'التمام الصباحي'!K25</f>
        <v>8</v>
      </c>
      <c r="E23" s="10">
        <f>'التمام الصباحي'!N25</f>
        <v>5.4666666666666668</v>
      </c>
      <c r="F23" s="72">
        <f>'التمام الصباحي'!Q25</f>
        <v>9</v>
      </c>
      <c r="G23" s="10">
        <f>'التمام الصباحي'!T25</f>
        <v>7</v>
      </c>
      <c r="H23" s="5">
        <f>'التمام الصباحي'!W25</f>
        <v>66</v>
      </c>
      <c r="I23" s="10">
        <f>'التمام الصباحي'!Z25</f>
        <v>2.6511627906976742</v>
      </c>
      <c r="K23" s="85" t="s">
        <v>30</v>
      </c>
      <c r="L23" s="80"/>
      <c r="M23" s="41">
        <f t="shared" si="1"/>
        <v>0</v>
      </c>
      <c r="N23" s="41">
        <f t="shared" si="2"/>
        <v>0</v>
      </c>
      <c r="O23" s="41">
        <f t="shared" si="4"/>
        <v>51</v>
      </c>
      <c r="P23" s="81"/>
      <c r="Q23" s="86" t="s">
        <v>30</v>
      </c>
      <c r="R23" s="87">
        <f t="shared" si="0"/>
        <v>1</v>
      </c>
      <c r="S23" s="538">
        <f>IF((ROUNDDOWN((SUM(M23:M24)/51)-(R23+R24),0.9))&lt;0,0,(ROUNDDOWN((SUM(M23:M24)/51)-(R23+R24),0.9)))</f>
        <v>0</v>
      </c>
      <c r="T23" s="538">
        <f>IF((ROUNDDOWN((SUM(O23:O24)/51)-(R23+R24),0.9))&lt;0,0,(ROUNDDOWN((SUM(O23:O24)/51)-(R23+R24),0.9)))</f>
        <v>0</v>
      </c>
      <c r="U23" s="538">
        <f t="shared" ref="U23" si="10">IF((ROUNDDOWN((SUM(L23:O24)/51)-(R23+R24+S23+T23),0.9))&lt;0,0,ROUNDDOWN((SUM(L23:O24)/51)-(R23+R24+S23+T23),0.9))</f>
        <v>0</v>
      </c>
    </row>
    <row r="24" spans="1:21" ht="16.5" thickBot="1" x14ac:dyDescent="0.3">
      <c r="A24" s="77" t="s">
        <v>31</v>
      </c>
      <c r="B24" s="4">
        <f>'التمام الصباحي'!E26</f>
        <v>0</v>
      </c>
      <c r="C24" s="4">
        <f>'التمام الصباحي'!H26</f>
        <v>0</v>
      </c>
      <c r="D24" s="72">
        <f>'التمام الصباحي'!K26</f>
        <v>22</v>
      </c>
      <c r="E24" s="10">
        <f>'التمام الصباحي'!N26</f>
        <v>4</v>
      </c>
      <c r="F24" s="72">
        <f>'التمام الصباحي'!Q26</f>
        <v>14</v>
      </c>
      <c r="G24" s="10">
        <f>'التمام الصباحي'!T26</f>
        <v>4</v>
      </c>
      <c r="H24" s="5">
        <f>'التمام الصباحي'!W26</f>
        <v>55</v>
      </c>
      <c r="I24" s="10">
        <f>'التمام الصباحي'!Z26</f>
        <v>3.125</v>
      </c>
      <c r="K24" s="88" t="s">
        <v>31</v>
      </c>
      <c r="L24" s="80"/>
      <c r="M24" s="41">
        <f t="shared" si="1"/>
        <v>17</v>
      </c>
      <c r="N24" s="41">
        <f t="shared" si="2"/>
        <v>0</v>
      </c>
      <c r="O24" s="41">
        <f t="shared" si="4"/>
        <v>51</v>
      </c>
      <c r="P24" s="81"/>
      <c r="Q24" s="89" t="s">
        <v>31</v>
      </c>
      <c r="R24" s="90">
        <f t="shared" si="0"/>
        <v>1</v>
      </c>
      <c r="S24" s="539"/>
      <c r="T24" s="539"/>
      <c r="U24" s="539"/>
    </row>
    <row r="25" spans="1:21" ht="17.25" thickTop="1" thickBot="1" x14ac:dyDescent="0.3">
      <c r="A25" s="77" t="s">
        <v>32</v>
      </c>
      <c r="B25" s="4">
        <f>'التمام الصباحي'!E27</f>
        <v>0</v>
      </c>
      <c r="C25" s="4">
        <f>'التمام الصباحي'!H27</f>
        <v>0</v>
      </c>
      <c r="D25" s="72">
        <f>'التمام الصباحي'!K27</f>
        <v>16</v>
      </c>
      <c r="E25" s="10">
        <f>'التمام الصباحي'!N27</f>
        <v>6.166666666666667</v>
      </c>
      <c r="F25" s="72">
        <f>'التمام الصباحي'!Q27</f>
        <v>8</v>
      </c>
      <c r="G25" s="10">
        <f>'التمام الصباحي'!T27</f>
        <v>11</v>
      </c>
      <c r="H25" s="5">
        <f>'التمام الصباحي'!W27</f>
        <v>34</v>
      </c>
      <c r="I25" s="10">
        <f>'التمام الصباحي'!Z27</f>
        <v>6.6363636363636367</v>
      </c>
      <c r="K25" s="91" t="s">
        <v>32</v>
      </c>
      <c r="L25" s="80"/>
      <c r="M25" s="41">
        <f t="shared" si="1"/>
        <v>0</v>
      </c>
      <c r="N25" s="41">
        <f t="shared" si="2"/>
        <v>0</v>
      </c>
      <c r="O25" s="41">
        <f t="shared" si="4"/>
        <v>34</v>
      </c>
      <c r="P25" s="81"/>
      <c r="Q25" s="92" t="s">
        <v>32</v>
      </c>
      <c r="R25" s="93">
        <f t="shared" si="0"/>
        <v>0</v>
      </c>
      <c r="S25" s="534">
        <f>IF((ROUNDDOWN((SUM(M25:M26)/51)-(R25+R26),0.9))&lt;0,0,(ROUNDDOWN((SUM(M25:M26)/51)-(R25+R26),0.9)))</f>
        <v>0</v>
      </c>
      <c r="T25" s="534">
        <f>IF((ROUNDDOWN((SUM(O25:O26)/51)-(R25+R26),0.9))&lt;0,0,(ROUNDDOWN((SUM(O25:O26)/51)-(R25+R26),0.9)))</f>
        <v>1</v>
      </c>
      <c r="U25" s="534">
        <f t="shared" ref="U25" si="11">IF((ROUNDDOWN((SUM(L25:O26)/51)-(R25+R26+S25+T25),0.9))&lt;0,0,ROUNDDOWN((SUM(L25:O26)/51)-(R25+R26+S25+T25),0.9))</f>
        <v>0</v>
      </c>
    </row>
    <row r="26" spans="1:21" ht="16.5" thickBot="1" x14ac:dyDescent="0.3">
      <c r="A26" s="77" t="s">
        <v>33</v>
      </c>
      <c r="B26" s="4">
        <f>'التمام الصباحي'!E28</f>
        <v>0</v>
      </c>
      <c r="C26" s="4">
        <f>'التمام الصباحي'!H28</f>
        <v>0</v>
      </c>
      <c r="D26" s="72">
        <f>'التمام الصباحي'!K28</f>
        <v>7</v>
      </c>
      <c r="E26" s="10">
        <f>'التمام الصباحي'!N28</f>
        <v>9.2222222222222214</v>
      </c>
      <c r="F26" s="72">
        <f>'التمام الصباحي'!Q28</f>
        <v>7</v>
      </c>
      <c r="G26" s="10">
        <f>'التمام الصباحي'!T28</f>
        <v>11.5</v>
      </c>
      <c r="H26" s="5">
        <f>'التمام الصباحي'!W28</f>
        <v>31</v>
      </c>
      <c r="I26" s="10">
        <f>'التمام الصباحي'!Z28</f>
        <v>7.8421052631578947</v>
      </c>
      <c r="K26" s="77" t="s">
        <v>33</v>
      </c>
      <c r="L26" s="80"/>
      <c r="M26" s="41">
        <f t="shared" si="1"/>
        <v>0</v>
      </c>
      <c r="N26" s="41">
        <f t="shared" si="2"/>
        <v>0</v>
      </c>
      <c r="O26" s="41">
        <f t="shared" si="4"/>
        <v>17</v>
      </c>
      <c r="P26" s="81"/>
      <c r="Q26" s="51" t="s">
        <v>33</v>
      </c>
      <c r="R26" s="103">
        <f t="shared" si="0"/>
        <v>0</v>
      </c>
      <c r="S26" s="535"/>
      <c r="T26" s="535"/>
      <c r="U26" s="535"/>
    </row>
    <row r="29" spans="1:21" ht="15.75" x14ac:dyDescent="0.2">
      <c r="K29" s="159" t="s">
        <v>117</v>
      </c>
      <c r="M29">
        <f>SUM(L8:O26)</f>
        <v>629</v>
      </c>
      <c r="U29" s="138">
        <f>SUM(R8:U26)</f>
        <v>9</v>
      </c>
    </row>
    <row r="31" spans="1:21" ht="15" x14ac:dyDescent="0.25">
      <c r="M31" s="18"/>
      <c r="N31" s="18"/>
      <c r="O31" s="18"/>
      <c r="P31" s="18"/>
      <c r="Q31" s="18"/>
      <c r="R31" s="18"/>
      <c r="S31" s="18"/>
      <c r="T31" s="18"/>
    </row>
    <row r="33" spans="1:8" x14ac:dyDescent="0.2">
      <c r="A33" s="1"/>
      <c r="B33" s="1"/>
      <c r="C33" s="1"/>
      <c r="D33" s="1"/>
      <c r="E33" s="1"/>
      <c r="F33" s="1"/>
      <c r="G33" s="1"/>
      <c r="H33" s="1"/>
    </row>
  </sheetData>
  <sheetProtection algorithmName="SHA-512" hashValue="Rj0CZaoJzfAQdTWgndmiKzxc4Xob5KTFkmWwiw3cKQevZKrf8FtmDWNzIUndg0rj4F2o7ojPtkssTrJ9hj+QYg==" saltValue="RraYn6oH7KzKIzLLJn5WcA==" spinCount="100000" sheet="1" objects="1" scenarios="1"/>
  <customSheetViews>
    <customSheetView guid="{18C0F7AC-4BB1-46DE-8A01-8E31FE0585FC}" state="hidden">
      <selection activeCell="O15" sqref="O15"/>
      <pageMargins left="0.7" right="0.7" top="0.75" bottom="0.75" header="0.3" footer="0.3"/>
      <pageSetup paperSize="9" orientation="portrait" r:id="rId1"/>
    </customSheetView>
    <customSheetView guid="{8317B6D8-8A99-4EB0-9DBC-8E9AE0170A4B}" state="hidden">
      <selection activeCell="O15" sqref="O15"/>
      <pageMargins left="0.7" right="0.7" top="0.75" bottom="0.75" header="0.3" footer="0.3"/>
      <pageSetup paperSize="9" orientation="portrait" r:id="rId2"/>
    </customSheetView>
  </customSheetViews>
  <mergeCells count="36">
    <mergeCell ref="Q5:U5"/>
    <mergeCell ref="A6:A7"/>
    <mergeCell ref="B6:C6"/>
    <mergeCell ref="D6:E6"/>
    <mergeCell ref="F6:G6"/>
    <mergeCell ref="H6:I6"/>
    <mergeCell ref="K6:K7"/>
    <mergeCell ref="Q6:Q7"/>
    <mergeCell ref="R6:R7"/>
    <mergeCell ref="S6:S7"/>
    <mergeCell ref="T6:T7"/>
    <mergeCell ref="U6:U7"/>
    <mergeCell ref="T9:T10"/>
    <mergeCell ref="U9:U10"/>
    <mergeCell ref="S13:S14"/>
    <mergeCell ref="T13:T14"/>
    <mergeCell ref="U13:U14"/>
    <mergeCell ref="S11:S12"/>
    <mergeCell ref="T11:T12"/>
    <mergeCell ref="U11:U12"/>
    <mergeCell ref="S9:S10"/>
    <mergeCell ref="S16:S17"/>
    <mergeCell ref="T16:T17"/>
    <mergeCell ref="U16:U17"/>
    <mergeCell ref="S19:S20"/>
    <mergeCell ref="T19:T20"/>
    <mergeCell ref="U19:U20"/>
    <mergeCell ref="S25:S26"/>
    <mergeCell ref="T25:T26"/>
    <mergeCell ref="U25:U26"/>
    <mergeCell ref="S21:S22"/>
    <mergeCell ref="T21:T22"/>
    <mergeCell ref="U21:U22"/>
    <mergeCell ref="S23:S24"/>
    <mergeCell ref="T23:T24"/>
    <mergeCell ref="U23:U24"/>
  </mergeCells>
  <conditionalFormatting sqref="O11:O12 O14:O16 O18:O19 O21:O26 O9 M8:N10 L9:L12 M13:N20 M11:M12 M23:N26 M22 L21:M21">
    <cfRule type="cellIs" dxfId="13" priority="1" operator="lessThan">
      <formula>1</formula>
    </cfRule>
    <cfRule type="cellIs" dxfId="12" priority="2" operator="greaterThan">
      <formula>1</formula>
    </cfRule>
  </conditionalFormatting>
  <pageMargins left="0.7" right="0.7" top="0.75" bottom="0.75" header="0.3" footer="0.3"/>
  <pageSetup paperSize="9" orientation="portrait"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B3:T45"/>
  <sheetViews>
    <sheetView rightToLeft="1" topLeftCell="C1" workbookViewId="0">
      <selection activeCell="L13" sqref="L13"/>
    </sheetView>
  </sheetViews>
  <sheetFormatPr defaultColWidth="9" defaultRowHeight="15" x14ac:dyDescent="0.2"/>
  <cols>
    <col min="1" max="1" width="3.75" style="166" customWidth="1"/>
    <col min="2" max="2" width="10.625" style="166" customWidth="1"/>
    <col min="3" max="4" width="9" style="166"/>
    <col min="5" max="5" width="3.375" style="166" customWidth="1"/>
    <col min="6" max="6" width="12.25" style="166" customWidth="1"/>
    <col min="7" max="9" width="9" style="166"/>
    <col min="10" max="10" width="11.375" style="166" customWidth="1"/>
    <col min="11" max="11" width="10" style="166" customWidth="1"/>
    <col min="12" max="12" width="8.75" style="166" customWidth="1"/>
    <col min="13" max="13" width="10.125" style="166" customWidth="1"/>
    <col min="14" max="14" width="10" style="166" customWidth="1"/>
    <col min="15" max="15" width="9" style="166"/>
    <col min="16" max="16" width="10.625" style="166" customWidth="1"/>
    <col min="17" max="16384" width="9" style="166"/>
  </cols>
  <sheetData>
    <row r="3" spans="2:20" ht="15.75" thickBot="1" x14ac:dyDescent="0.25">
      <c r="B3" s="548" t="s">
        <v>123</v>
      </c>
      <c r="C3" s="548"/>
      <c r="D3" s="548"/>
      <c r="F3" s="548" t="s">
        <v>124</v>
      </c>
      <c r="G3" s="548"/>
      <c r="H3" s="548"/>
      <c r="J3" s="426" t="s">
        <v>125</v>
      </c>
      <c r="K3" s="426"/>
      <c r="M3" s="426" t="s">
        <v>127</v>
      </c>
      <c r="N3" s="426"/>
      <c r="P3" s="426" t="s">
        <v>126</v>
      </c>
      <c r="Q3" s="426"/>
    </row>
    <row r="4" spans="2:20" ht="15.75" thickBot="1" x14ac:dyDescent="0.25">
      <c r="B4" s="501" t="s">
        <v>3</v>
      </c>
      <c r="C4" s="418" t="s">
        <v>84</v>
      </c>
      <c r="D4" s="418" t="s">
        <v>88</v>
      </c>
      <c r="F4" s="501" t="s">
        <v>3</v>
      </c>
      <c r="G4" s="418" t="s">
        <v>84</v>
      </c>
      <c r="H4" s="418" t="s">
        <v>88</v>
      </c>
      <c r="J4" s="501" t="s">
        <v>3</v>
      </c>
      <c r="K4" s="418" t="s">
        <v>85</v>
      </c>
      <c r="L4" s="560"/>
      <c r="M4" s="501" t="s">
        <v>3</v>
      </c>
      <c r="N4" s="418" t="s">
        <v>109</v>
      </c>
      <c r="P4" s="501" t="s">
        <v>3</v>
      </c>
      <c r="Q4" s="418" t="s">
        <v>90</v>
      </c>
    </row>
    <row r="5" spans="2:20" ht="15.75" thickBot="1" x14ac:dyDescent="0.25">
      <c r="B5" s="503"/>
      <c r="C5" s="418"/>
      <c r="D5" s="418"/>
      <c r="F5" s="503"/>
      <c r="G5" s="418"/>
      <c r="H5" s="418"/>
      <c r="J5" s="503"/>
      <c r="K5" s="418"/>
      <c r="L5" s="560"/>
      <c r="M5" s="503"/>
      <c r="N5" s="418"/>
      <c r="P5" s="503"/>
      <c r="Q5" s="418"/>
    </row>
    <row r="6" spans="2:20" ht="16.5" thickBot="1" x14ac:dyDescent="0.25">
      <c r="B6" s="165" t="s">
        <v>120</v>
      </c>
      <c r="C6" s="543">
        <f>IF(G20&gt;H20,$C$21*2*$K$21,IF(G20=H20,$C$21*2*$K$21,0))</f>
        <v>0</v>
      </c>
      <c r="D6" s="543">
        <f>IF(G20&gt;H20,$D$21*2*$L$21,IF(G20=H20,$D$21*2*$L$21,0))</f>
        <v>0</v>
      </c>
      <c r="F6" s="165" t="s">
        <v>120</v>
      </c>
      <c r="G6" s="543">
        <f>IF(H20&gt;G20,$C$21*2*$K$21,0)</f>
        <v>0</v>
      </c>
      <c r="H6" s="543">
        <f>IF(H20&gt;G20,$D$21*2*$L$21,0)</f>
        <v>0</v>
      </c>
      <c r="J6" s="165" t="s">
        <v>22</v>
      </c>
      <c r="K6" s="164">
        <f>C31*2*N22</f>
        <v>0</v>
      </c>
      <c r="M6" s="165" t="s">
        <v>25</v>
      </c>
      <c r="N6" s="543">
        <f>C36*2*P25</f>
        <v>0</v>
      </c>
      <c r="P6" s="165" t="s">
        <v>30</v>
      </c>
      <c r="Q6" s="543">
        <f>C42*2*O28</f>
        <v>216</v>
      </c>
    </row>
    <row r="7" spans="2:20" ht="16.5" thickBot="1" x14ac:dyDescent="0.25">
      <c r="B7" s="165" t="s">
        <v>121</v>
      </c>
      <c r="C7" s="544"/>
      <c r="D7" s="544"/>
      <c r="F7" s="165" t="s">
        <v>121</v>
      </c>
      <c r="G7" s="544"/>
      <c r="H7" s="544"/>
      <c r="J7" s="165" t="s">
        <v>23</v>
      </c>
      <c r="K7" s="543">
        <f>C32*2*N23</f>
        <v>0</v>
      </c>
      <c r="M7" s="165" t="s">
        <v>27</v>
      </c>
      <c r="N7" s="544"/>
      <c r="P7" s="165" t="s">
        <v>31</v>
      </c>
      <c r="Q7" s="544"/>
    </row>
    <row r="8" spans="2:20" ht="16.5" thickBot="1" x14ac:dyDescent="0.25">
      <c r="B8" s="165" t="s">
        <v>122</v>
      </c>
      <c r="C8" s="164">
        <f>IF(G20&gt;H20,$C$23*2*$K$30,IF(G20=F20,$C$23*2*$K$30,0))</f>
        <v>0</v>
      </c>
      <c r="D8" s="164">
        <f>IF(G20&gt;H20,$D$23*2*$L$30,IF(G20=H20,$D$23*2*$L$30,0))</f>
        <v>0</v>
      </c>
      <c r="F8" s="165" t="s">
        <v>122</v>
      </c>
      <c r="G8" s="164">
        <f>IF(H20&gt;G20,$C$23*2*$K$30,0)</f>
        <v>0</v>
      </c>
      <c r="H8" s="164">
        <f>IF(H20&gt;G20,$D$23*2*$L$30,0)</f>
        <v>0</v>
      </c>
      <c r="J8" s="165" t="s">
        <v>24</v>
      </c>
      <c r="K8" s="544"/>
      <c r="M8" s="165" t="s">
        <v>112</v>
      </c>
      <c r="N8" s="164"/>
      <c r="P8" s="165" t="s">
        <v>32</v>
      </c>
      <c r="Q8" s="543">
        <f>C44*2*O29</f>
        <v>0</v>
      </c>
    </row>
    <row r="9" spans="2:20" ht="16.5" thickBot="1" x14ac:dyDescent="0.25">
      <c r="B9" s="165" t="s">
        <v>16</v>
      </c>
      <c r="C9" s="543">
        <f>IF(G20&gt;H20,$C$24*2*$K$18,IF(G20=H20,$C$24*2*$K$18,0))</f>
        <v>32</v>
      </c>
      <c r="D9" s="543">
        <f>IF(G20&gt;H20,$D$24*2*$L$18,IF(G20=H20,$D$24*2*$L$18,0))</f>
        <v>0</v>
      </c>
      <c r="F9" s="165" t="s">
        <v>16</v>
      </c>
      <c r="G9" s="543">
        <f>IF(H20&gt;G20,$C$24*2*$K$18,0)</f>
        <v>0</v>
      </c>
      <c r="H9" s="543">
        <f>IF(H20&gt;G20,$D$24*2*$L$18,0)</f>
        <v>0</v>
      </c>
      <c r="J9" s="165" t="s">
        <v>26</v>
      </c>
      <c r="K9" s="164">
        <f>C34*2*N24</f>
        <v>0</v>
      </c>
      <c r="M9" s="165" t="s">
        <v>28</v>
      </c>
      <c r="N9" s="543">
        <f>C39*2*P27</f>
        <v>0</v>
      </c>
      <c r="P9" s="165" t="s">
        <v>33</v>
      </c>
      <c r="Q9" s="544"/>
    </row>
    <row r="10" spans="2:20" ht="16.5" thickBot="1" x14ac:dyDescent="0.25">
      <c r="B10" s="165" t="s">
        <v>17</v>
      </c>
      <c r="C10" s="544"/>
      <c r="D10" s="544"/>
      <c r="F10" s="165" t="s">
        <v>17</v>
      </c>
      <c r="G10" s="544"/>
      <c r="H10" s="544"/>
      <c r="M10" s="165" t="s">
        <v>29</v>
      </c>
      <c r="N10" s="544"/>
    </row>
    <row r="11" spans="2:20" ht="16.5" thickBot="1" x14ac:dyDescent="0.25">
      <c r="B11" s="165" t="s">
        <v>18</v>
      </c>
      <c r="C11" s="543">
        <f>IF(G20&gt;H20,$C$26*2*$K$19,IF(G20=H20,$C$26*2*$K$19,0))</f>
        <v>0</v>
      </c>
      <c r="D11" s="543">
        <f>IF(G20&gt;H20,$D$26*2*$L$19,IF(G20=H20,$D$26*2*$L$19,0))</f>
        <v>96</v>
      </c>
      <c r="F11" s="165" t="s">
        <v>18</v>
      </c>
      <c r="G11" s="543">
        <f>IF(H20&gt;G20,$C$26*2*$K$19,0)</f>
        <v>0</v>
      </c>
      <c r="H11" s="543">
        <f>IF(H20&gt;G20,$D$26*2*$L$19,0)</f>
        <v>0</v>
      </c>
    </row>
    <row r="12" spans="2:20" ht="16.5" thickBot="1" x14ac:dyDescent="0.25">
      <c r="B12" s="165" t="s">
        <v>19</v>
      </c>
      <c r="C12" s="544"/>
      <c r="D12" s="544"/>
      <c r="F12" s="165" t="s">
        <v>19</v>
      </c>
      <c r="G12" s="544"/>
      <c r="H12" s="544"/>
      <c r="J12" s="549" t="s">
        <v>154</v>
      </c>
      <c r="K12" s="182">
        <f>K6+K7+K9</f>
        <v>0</v>
      </c>
      <c r="M12" s="549" t="s">
        <v>154</v>
      </c>
      <c r="N12" s="182">
        <f>SUM(N6:N10)</f>
        <v>0</v>
      </c>
      <c r="P12" s="549" t="s">
        <v>154</v>
      </c>
      <c r="Q12" s="182">
        <f>SUM(Q6:Q9)</f>
        <v>216</v>
      </c>
    </row>
    <row r="13" spans="2:20" ht="18" customHeight="1" thickBot="1" x14ac:dyDescent="0.25">
      <c r="B13" s="165" t="s">
        <v>20</v>
      </c>
      <c r="C13" s="543">
        <f>IF(G20&gt;H20,$C$28*2*$K$20,IF(G20=H20,$C$28*2*$K$20,0))</f>
        <v>156</v>
      </c>
      <c r="D13" s="543">
        <f>IF(G20&gt;H20,$D$28*2*$L$20,IF(G20=H20,$D$28*2*$L$20,0))</f>
        <v>0</v>
      </c>
      <c r="F13" s="165" t="s">
        <v>20</v>
      </c>
      <c r="G13" s="543">
        <f>IF(H20&gt;G20,$C$28*2*$K$20,0)</f>
        <v>0</v>
      </c>
      <c r="H13" s="543">
        <f>IF(H20&gt;G20,$D$28*2*$L$20,0)</f>
        <v>0</v>
      </c>
      <c r="J13" s="549"/>
      <c r="K13" s="182"/>
      <c r="M13" s="549"/>
      <c r="N13" s="182"/>
      <c r="P13" s="549"/>
      <c r="Q13" s="182"/>
    </row>
    <row r="14" spans="2:20" ht="16.5" thickBot="1" x14ac:dyDescent="0.25">
      <c r="B14" s="165" t="s">
        <v>21</v>
      </c>
      <c r="C14" s="544"/>
      <c r="D14" s="544"/>
      <c r="F14" s="165" t="s">
        <v>21</v>
      </c>
      <c r="G14" s="544"/>
      <c r="H14" s="544"/>
    </row>
    <row r="15" spans="2:20" ht="15.75" thickBot="1" x14ac:dyDescent="0.25"/>
    <row r="16" spans="2:20" ht="18" customHeight="1" x14ac:dyDescent="0.2">
      <c r="B16" s="182" t="s">
        <v>154</v>
      </c>
      <c r="D16" s="166">
        <f>SUM(C6:D14)</f>
        <v>284</v>
      </c>
      <c r="H16" s="166">
        <f>SUM(G6:H14)</f>
        <v>0</v>
      </c>
      <c r="J16" s="556" t="s">
        <v>130</v>
      </c>
      <c r="K16" s="550" t="s">
        <v>131</v>
      </c>
      <c r="L16" s="550"/>
      <c r="M16" s="550"/>
      <c r="N16" s="550" t="s">
        <v>85</v>
      </c>
      <c r="O16" s="550" t="s">
        <v>132</v>
      </c>
      <c r="P16" s="550" t="s">
        <v>86</v>
      </c>
      <c r="Q16" s="550" t="s">
        <v>119</v>
      </c>
      <c r="R16" s="546" t="s">
        <v>133</v>
      </c>
      <c r="S16" s="546" t="s">
        <v>134</v>
      </c>
      <c r="T16" s="546" t="s">
        <v>135</v>
      </c>
    </row>
    <row r="17" spans="2:20" ht="18" x14ac:dyDescent="0.2">
      <c r="B17" s="181"/>
      <c r="J17" s="557"/>
      <c r="K17" s="169" t="s">
        <v>136</v>
      </c>
      <c r="L17" s="169" t="s">
        <v>137</v>
      </c>
      <c r="M17" s="169" t="s">
        <v>138</v>
      </c>
      <c r="N17" s="551"/>
      <c r="O17" s="551"/>
      <c r="P17" s="551"/>
      <c r="Q17" s="551"/>
      <c r="R17" s="547"/>
      <c r="S17" s="547"/>
      <c r="T17" s="547"/>
    </row>
    <row r="18" spans="2:20" ht="16.5" thickBot="1" x14ac:dyDescent="0.25">
      <c r="B18" s="548" t="s">
        <v>129</v>
      </c>
      <c r="C18" s="548"/>
      <c r="D18" s="548"/>
      <c r="F18" s="548"/>
      <c r="G18" s="548"/>
      <c r="H18" s="548"/>
      <c r="J18" s="170" t="s">
        <v>139</v>
      </c>
      <c r="K18" s="172">
        <v>16</v>
      </c>
      <c r="L18" s="172">
        <v>35</v>
      </c>
      <c r="M18" s="172">
        <v>76</v>
      </c>
      <c r="N18" s="173"/>
      <c r="O18" s="173"/>
      <c r="P18" s="173"/>
      <c r="Q18" s="173"/>
      <c r="R18" s="174"/>
      <c r="S18" s="174"/>
      <c r="T18" s="174"/>
    </row>
    <row r="19" spans="2:20" ht="16.5" thickBot="1" x14ac:dyDescent="0.25">
      <c r="B19" s="501" t="s">
        <v>3</v>
      </c>
      <c r="C19" s="507" t="s">
        <v>84</v>
      </c>
      <c r="D19" s="507" t="s">
        <v>88</v>
      </c>
      <c r="F19" s="168" t="s">
        <v>147</v>
      </c>
      <c r="G19" s="168">
        <v>1</v>
      </c>
      <c r="H19" s="168">
        <v>2</v>
      </c>
      <c r="J19" s="170" t="s">
        <v>140</v>
      </c>
      <c r="K19" s="172">
        <v>32</v>
      </c>
      <c r="L19" s="172">
        <v>48</v>
      </c>
      <c r="M19" s="172">
        <v>83</v>
      </c>
      <c r="N19" s="173"/>
      <c r="O19" s="173"/>
      <c r="P19" s="173"/>
      <c r="Q19" s="173"/>
      <c r="R19" s="174"/>
      <c r="S19" s="174"/>
      <c r="T19" s="174"/>
    </row>
    <row r="20" spans="2:20" ht="16.5" thickBot="1" x14ac:dyDescent="0.25">
      <c r="B20" s="503"/>
      <c r="C20" s="507"/>
      <c r="D20" s="507"/>
      <c r="F20" s="163" t="s">
        <v>101</v>
      </c>
      <c r="G20" s="164">
        <v>6000</v>
      </c>
      <c r="H20" s="164">
        <v>6000</v>
      </c>
      <c r="J20" s="170" t="s">
        <v>141</v>
      </c>
      <c r="K20" s="172">
        <v>39</v>
      </c>
      <c r="L20" s="172">
        <v>55</v>
      </c>
      <c r="M20" s="172">
        <v>96</v>
      </c>
      <c r="N20" s="173"/>
      <c r="O20" s="173"/>
      <c r="P20" s="173"/>
      <c r="Q20" s="173"/>
      <c r="R20" s="174"/>
      <c r="S20" s="174"/>
      <c r="T20" s="174"/>
    </row>
    <row r="21" spans="2:20" ht="16.5" thickBot="1" x14ac:dyDescent="0.25">
      <c r="B21" s="165" t="s">
        <v>120</v>
      </c>
      <c r="C21" s="543">
        <f>ROUNDDOWN(SUM(المستودعات!C5:F5)/51,0.9)</f>
        <v>0</v>
      </c>
      <c r="D21" s="543">
        <f>ROUNDDOWN(SUM(المستودعات!G5:I5)/51,0.9)</f>
        <v>0</v>
      </c>
      <c r="F21" s="163" t="s">
        <v>85</v>
      </c>
      <c r="G21" s="167">
        <v>8000</v>
      </c>
      <c r="J21" s="170" t="s">
        <v>148</v>
      </c>
      <c r="K21" s="175">
        <v>36</v>
      </c>
      <c r="L21" s="175">
        <v>40</v>
      </c>
      <c r="M21" s="175">
        <v>68</v>
      </c>
      <c r="N21" s="172">
        <v>143</v>
      </c>
      <c r="O21" s="173"/>
      <c r="P21" s="173"/>
      <c r="Q21" s="173"/>
      <c r="R21" s="174"/>
      <c r="S21" s="174"/>
      <c r="T21" s="174"/>
    </row>
    <row r="22" spans="2:20" ht="16.5" thickBot="1" x14ac:dyDescent="0.25">
      <c r="B22" s="165" t="s">
        <v>121</v>
      </c>
      <c r="C22" s="544"/>
      <c r="D22" s="544"/>
      <c r="F22" s="163" t="s">
        <v>109</v>
      </c>
      <c r="G22" s="167">
        <v>8000</v>
      </c>
      <c r="J22" s="170" t="s">
        <v>149</v>
      </c>
      <c r="K22" s="173"/>
      <c r="L22" s="173"/>
      <c r="M22" s="173"/>
      <c r="N22" s="172">
        <v>81</v>
      </c>
      <c r="O22" s="173"/>
      <c r="P22" s="173"/>
      <c r="Q22" s="173"/>
      <c r="R22" s="174"/>
      <c r="S22" s="174"/>
      <c r="T22" s="174"/>
    </row>
    <row r="23" spans="2:20" ht="16.5" thickBot="1" x14ac:dyDescent="0.25">
      <c r="B23" s="165" t="s">
        <v>122</v>
      </c>
      <c r="C23" s="164"/>
      <c r="D23" s="164"/>
      <c r="F23" s="163" t="s">
        <v>90</v>
      </c>
      <c r="G23" s="167">
        <v>8000</v>
      </c>
      <c r="J23" s="170" t="s">
        <v>150</v>
      </c>
      <c r="K23" s="173"/>
      <c r="L23" s="172">
        <v>86</v>
      </c>
      <c r="M23" s="172">
        <v>61</v>
      </c>
      <c r="N23" s="172">
        <v>120</v>
      </c>
      <c r="O23" s="173"/>
      <c r="P23" s="173"/>
      <c r="Q23" s="173"/>
      <c r="R23" s="174"/>
      <c r="S23" s="174"/>
      <c r="T23" s="174"/>
    </row>
    <row r="24" spans="2:20" ht="16.5" thickBot="1" x14ac:dyDescent="0.25">
      <c r="B24" s="165" t="s">
        <v>16</v>
      </c>
      <c r="C24" s="543">
        <f>ROUNDDOWN(SUM(المستودعات!C9:F10)/51,0.9)</f>
        <v>1</v>
      </c>
      <c r="D24" s="543">
        <f>ROUNDDOWN(SUM(المستودعات!G9:I10)/51,0.9)</f>
        <v>0</v>
      </c>
      <c r="J24" s="170" t="s">
        <v>151</v>
      </c>
      <c r="K24" s="173"/>
      <c r="L24" s="173"/>
      <c r="M24" s="173"/>
      <c r="N24" s="175">
        <v>149</v>
      </c>
      <c r="O24" s="173"/>
      <c r="P24" s="173"/>
      <c r="Q24" s="172">
        <v>34</v>
      </c>
      <c r="R24" s="173"/>
      <c r="S24" s="174"/>
      <c r="T24" s="174"/>
    </row>
    <row r="25" spans="2:20" ht="16.5" thickBot="1" x14ac:dyDescent="0.25">
      <c r="B25" s="165" t="s">
        <v>17</v>
      </c>
      <c r="C25" s="544"/>
      <c r="D25" s="544"/>
      <c r="J25" s="170" t="s">
        <v>152</v>
      </c>
      <c r="K25" s="173"/>
      <c r="L25" s="173"/>
      <c r="M25" s="173"/>
      <c r="N25" s="173"/>
      <c r="O25" s="173"/>
      <c r="P25" s="172">
        <v>53</v>
      </c>
      <c r="Q25" s="173"/>
      <c r="R25" s="173"/>
      <c r="S25" s="174"/>
      <c r="T25" s="174"/>
    </row>
    <row r="26" spans="2:20" ht="16.5" thickBot="1" x14ac:dyDescent="0.25">
      <c r="B26" s="165" t="s">
        <v>18</v>
      </c>
      <c r="C26" s="543">
        <f>ROUNDDOWN(SUM(المستودعات!C11:F12)/51,0.9)</f>
        <v>0</v>
      </c>
      <c r="D26" s="543">
        <f>ROUNDDOWN(SUM(المستودعات!G11:I12)/51,0.9)</f>
        <v>1</v>
      </c>
      <c r="J26" s="170" t="s">
        <v>153</v>
      </c>
      <c r="K26" s="173"/>
      <c r="L26" s="173"/>
      <c r="M26" s="173"/>
      <c r="N26" s="173"/>
      <c r="O26" s="173"/>
      <c r="P26" s="172">
        <v>13</v>
      </c>
      <c r="Q26" s="173"/>
      <c r="R26" s="173"/>
      <c r="S26" s="174"/>
      <c r="T26" s="174"/>
    </row>
    <row r="27" spans="2:20" ht="16.5" thickBot="1" x14ac:dyDescent="0.25">
      <c r="B27" s="165" t="s">
        <v>19</v>
      </c>
      <c r="C27" s="544"/>
      <c r="D27" s="544"/>
      <c r="J27" s="170" t="s">
        <v>142</v>
      </c>
      <c r="K27" s="173"/>
      <c r="L27" s="173"/>
      <c r="M27" s="173"/>
      <c r="N27" s="173"/>
      <c r="O27" s="173"/>
      <c r="P27" s="172">
        <v>152</v>
      </c>
      <c r="Q27" s="173"/>
      <c r="R27" s="173"/>
      <c r="S27" s="174"/>
      <c r="T27" s="176">
        <v>205</v>
      </c>
    </row>
    <row r="28" spans="2:20" ht="16.5" thickBot="1" x14ac:dyDescent="0.25">
      <c r="B28" s="165" t="s">
        <v>20</v>
      </c>
      <c r="C28" s="543">
        <f>ROUNDDOWN(SUM(المستودعات!C13:F14)/51,0.9)</f>
        <v>2</v>
      </c>
      <c r="D28" s="543">
        <f>ROUNDDOWN(SUM(المستودعات!G13:I14)/51,0.9)</f>
        <v>0</v>
      </c>
      <c r="J28" s="170" t="s">
        <v>143</v>
      </c>
      <c r="K28" s="173"/>
      <c r="L28" s="173"/>
      <c r="M28" s="173"/>
      <c r="N28" s="173"/>
      <c r="O28" s="172">
        <v>54</v>
      </c>
      <c r="P28" s="173"/>
      <c r="Q28" s="173"/>
      <c r="R28" s="177">
        <v>27</v>
      </c>
      <c r="S28" s="176">
        <v>82</v>
      </c>
      <c r="T28" s="174"/>
    </row>
    <row r="29" spans="2:20" ht="16.5" thickBot="1" x14ac:dyDescent="0.25">
      <c r="B29" s="165" t="s">
        <v>21</v>
      </c>
      <c r="C29" s="544"/>
      <c r="D29" s="544"/>
      <c r="J29" s="170" t="s">
        <v>144</v>
      </c>
      <c r="K29" s="173"/>
      <c r="L29" s="173"/>
      <c r="M29" s="173"/>
      <c r="N29" s="173"/>
      <c r="O29" s="172">
        <v>85</v>
      </c>
      <c r="P29" s="173"/>
      <c r="Q29" s="173"/>
      <c r="R29" s="177">
        <v>105</v>
      </c>
      <c r="S29" s="176"/>
      <c r="T29" s="174"/>
    </row>
    <row r="30" spans="2:20" ht="24" customHeight="1" thickBot="1" x14ac:dyDescent="0.25">
      <c r="B30" s="504" t="s">
        <v>85</v>
      </c>
      <c r="C30" s="505"/>
      <c r="D30" s="506"/>
      <c r="J30" s="171" t="s">
        <v>145</v>
      </c>
      <c r="K30" s="178">
        <v>27</v>
      </c>
      <c r="L30" s="178">
        <v>31</v>
      </c>
      <c r="M30" s="179"/>
      <c r="N30" s="179"/>
      <c r="O30" s="179"/>
      <c r="P30" s="179"/>
      <c r="Q30" s="179"/>
      <c r="R30" s="180"/>
      <c r="S30" s="174"/>
      <c r="T30" s="174"/>
    </row>
    <row r="31" spans="2:20" ht="16.5" thickBot="1" x14ac:dyDescent="0.25">
      <c r="B31" s="165" t="s">
        <v>22</v>
      </c>
      <c r="C31" s="558">
        <f>ROUNDDOWN(SUM(المستودعات!O5:Q5)/51,0.9)</f>
        <v>0</v>
      </c>
      <c r="D31" s="559"/>
      <c r="J31" s="171" t="s">
        <v>146</v>
      </c>
      <c r="K31" s="179"/>
      <c r="L31" s="179"/>
      <c r="M31" s="179"/>
      <c r="N31" s="179"/>
      <c r="O31" s="179"/>
      <c r="P31" s="178">
        <v>20</v>
      </c>
      <c r="Q31" s="179"/>
      <c r="R31" s="180"/>
      <c r="S31" s="174"/>
      <c r="T31" s="174"/>
    </row>
    <row r="32" spans="2:20" ht="16.5" thickBot="1" x14ac:dyDescent="0.25">
      <c r="B32" s="165" t="s">
        <v>23</v>
      </c>
      <c r="C32" s="552">
        <f>ROUNDDOWN(SUM(المستودعات!O6:Q7)/51,0.9)</f>
        <v>0</v>
      </c>
      <c r="D32" s="553"/>
    </row>
    <row r="33" spans="2:4" ht="16.5" thickBot="1" x14ac:dyDescent="0.25">
      <c r="B33" s="165" t="s">
        <v>24</v>
      </c>
      <c r="C33" s="554"/>
      <c r="D33" s="555"/>
    </row>
    <row r="34" spans="2:4" ht="16.5" thickBot="1" x14ac:dyDescent="0.25">
      <c r="B34" s="165" t="s">
        <v>26</v>
      </c>
      <c r="C34" s="558">
        <f>ROUNDDOWN(SUM(المستودعات!O8:Q8)/51,0.9)</f>
        <v>0</v>
      </c>
      <c r="D34" s="559"/>
    </row>
    <row r="35" spans="2:4" ht="22.5" customHeight="1" thickBot="1" x14ac:dyDescent="0.25">
      <c r="B35" s="504" t="s">
        <v>128</v>
      </c>
      <c r="C35" s="505"/>
      <c r="D35" s="506"/>
    </row>
    <row r="36" spans="2:4" ht="16.5" thickBot="1" x14ac:dyDescent="0.25">
      <c r="B36" s="165" t="s">
        <v>25</v>
      </c>
      <c r="C36" s="552">
        <f>ROUNDDOWN(SUM(المستودعات!J23:K24)/51,0.9)</f>
        <v>0</v>
      </c>
      <c r="D36" s="553"/>
    </row>
    <row r="37" spans="2:4" ht="16.5" thickBot="1" x14ac:dyDescent="0.25">
      <c r="B37" s="165" t="s">
        <v>27</v>
      </c>
      <c r="C37" s="554"/>
      <c r="D37" s="555"/>
    </row>
    <row r="38" spans="2:4" ht="16.5" thickBot="1" x14ac:dyDescent="0.25">
      <c r="B38" s="96" t="s">
        <v>112</v>
      </c>
      <c r="C38" s="558"/>
      <c r="D38" s="559"/>
    </row>
    <row r="39" spans="2:4" ht="16.5" thickBot="1" x14ac:dyDescent="0.25">
      <c r="B39" s="165" t="s">
        <v>28</v>
      </c>
      <c r="C39" s="552">
        <f>ROUNDDOWN(SUM(المستودعات!C28:I29)/51,0.9)</f>
        <v>0</v>
      </c>
      <c r="D39" s="553"/>
    </row>
    <row r="40" spans="2:4" ht="16.5" thickBot="1" x14ac:dyDescent="0.25">
      <c r="B40" s="165" t="s">
        <v>29</v>
      </c>
      <c r="C40" s="554"/>
      <c r="D40" s="555"/>
    </row>
    <row r="41" spans="2:4" ht="21.75" customHeight="1" thickBot="1" x14ac:dyDescent="0.25">
      <c r="B41" s="504" t="s">
        <v>90</v>
      </c>
      <c r="C41" s="505"/>
      <c r="D41" s="506"/>
    </row>
    <row r="42" spans="2:4" ht="16.5" thickBot="1" x14ac:dyDescent="0.25">
      <c r="B42" s="165" t="s">
        <v>30</v>
      </c>
      <c r="C42" s="552">
        <f>ROUNDDOWN(SUM(المستودعات!Q15:Q16)/51,0.9)</f>
        <v>2</v>
      </c>
      <c r="D42" s="553"/>
    </row>
    <row r="43" spans="2:4" ht="16.5" thickBot="1" x14ac:dyDescent="0.25">
      <c r="B43" s="165" t="s">
        <v>31</v>
      </c>
      <c r="C43" s="554"/>
      <c r="D43" s="555"/>
    </row>
    <row r="44" spans="2:4" ht="16.5" thickBot="1" x14ac:dyDescent="0.25">
      <c r="B44" s="165" t="s">
        <v>32</v>
      </c>
      <c r="C44" s="552">
        <f>ROUNDDOWN(SUM(المستودعات!Q17:Q18)/51,0.9)</f>
        <v>0</v>
      </c>
      <c r="D44" s="553"/>
    </row>
    <row r="45" spans="2:4" ht="16.5" thickBot="1" x14ac:dyDescent="0.25">
      <c r="B45" s="165" t="s">
        <v>33</v>
      </c>
      <c r="C45" s="554"/>
      <c r="D45" s="555"/>
    </row>
  </sheetData>
  <customSheetViews>
    <customSheetView guid="{18C0F7AC-4BB1-46DE-8A01-8E31FE0585FC}" state="hidden" topLeftCell="C1">
      <selection activeCell="L13" sqref="L13"/>
      <pageMargins left="0.7" right="0.7" top="0.75" bottom="0.75" header="0.3" footer="0.3"/>
    </customSheetView>
    <customSheetView guid="{8317B6D8-8A99-4EB0-9DBC-8E9AE0170A4B}" state="hidden" topLeftCell="C1">
      <selection activeCell="L13" sqref="L13"/>
      <pageMargins left="0.7" right="0.7" top="0.75" bottom="0.75" header="0.3" footer="0.3"/>
    </customSheetView>
  </customSheetViews>
  <mergeCells count="75">
    <mergeCell ref="L4:L5"/>
    <mergeCell ref="B4:B5"/>
    <mergeCell ref="C4:C5"/>
    <mergeCell ref="D4:D5"/>
    <mergeCell ref="B3:D3"/>
    <mergeCell ref="F4:F5"/>
    <mergeCell ref="G4:G5"/>
    <mergeCell ref="H4:H5"/>
    <mergeCell ref="F3:H3"/>
    <mergeCell ref="J3:K3"/>
    <mergeCell ref="J4:J5"/>
    <mergeCell ref="K4:K5"/>
    <mergeCell ref="M3:N3"/>
    <mergeCell ref="M4:M5"/>
    <mergeCell ref="N4:N5"/>
    <mergeCell ref="P3:Q3"/>
    <mergeCell ref="P4:P5"/>
    <mergeCell ref="Q4:Q5"/>
    <mergeCell ref="B35:D35"/>
    <mergeCell ref="B41:D41"/>
    <mergeCell ref="C26:C27"/>
    <mergeCell ref="D26:D27"/>
    <mergeCell ref="C28:C29"/>
    <mergeCell ref="D28:D29"/>
    <mergeCell ref="C39:D40"/>
    <mergeCell ref="G6:G7"/>
    <mergeCell ref="G9:G10"/>
    <mergeCell ref="G11:G12"/>
    <mergeCell ref="G13:G14"/>
    <mergeCell ref="C6:C7"/>
    <mergeCell ref="D6:D7"/>
    <mergeCell ref="C9:C10"/>
    <mergeCell ref="D9:D10"/>
    <mergeCell ref="C11:C12"/>
    <mergeCell ref="D11:D12"/>
    <mergeCell ref="Q8:Q9"/>
    <mergeCell ref="Q6:Q7"/>
    <mergeCell ref="N6:N7"/>
    <mergeCell ref="C24:C25"/>
    <mergeCell ref="D24:D25"/>
    <mergeCell ref="O16:O17"/>
    <mergeCell ref="P16:P17"/>
    <mergeCell ref="Q16:Q17"/>
    <mergeCell ref="H13:H14"/>
    <mergeCell ref="H11:H12"/>
    <mergeCell ref="H9:H10"/>
    <mergeCell ref="H6:H7"/>
    <mergeCell ref="K7:K8"/>
    <mergeCell ref="N9:N10"/>
    <mergeCell ref="C13:C14"/>
    <mergeCell ref="D13:D14"/>
    <mergeCell ref="C42:D43"/>
    <mergeCell ref="C44:D45"/>
    <mergeCell ref="J16:J17"/>
    <mergeCell ref="K16:M16"/>
    <mergeCell ref="B18:D18"/>
    <mergeCell ref="C21:C22"/>
    <mergeCell ref="D21:D22"/>
    <mergeCell ref="C31:D31"/>
    <mergeCell ref="C34:D34"/>
    <mergeCell ref="C38:D38"/>
    <mergeCell ref="C32:D33"/>
    <mergeCell ref="C36:D37"/>
    <mergeCell ref="B19:B20"/>
    <mergeCell ref="C19:C20"/>
    <mergeCell ref="D19:D20"/>
    <mergeCell ref="B30:D30"/>
    <mergeCell ref="R16:R17"/>
    <mergeCell ref="S16:S17"/>
    <mergeCell ref="T16:T17"/>
    <mergeCell ref="F18:H18"/>
    <mergeCell ref="J12:J13"/>
    <mergeCell ref="M12:M13"/>
    <mergeCell ref="P12:P13"/>
    <mergeCell ref="N16:N17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7"/>
  </sheetPr>
  <dimension ref="A2:O24"/>
  <sheetViews>
    <sheetView rightToLeft="1" zoomScaleNormal="100" workbookViewId="0">
      <selection activeCell="F17" sqref="F17:F24"/>
    </sheetView>
  </sheetViews>
  <sheetFormatPr defaultRowHeight="14.25" x14ac:dyDescent="0.2"/>
  <sheetData>
    <row r="2" spans="1:15" ht="15" x14ac:dyDescent="0.25">
      <c r="C2" s="561" t="s">
        <v>103</v>
      </c>
      <c r="D2" s="561"/>
      <c r="E2" s="561"/>
      <c r="F2" s="561"/>
    </row>
    <row r="3" spans="1:15" ht="15" thickBot="1" x14ac:dyDescent="0.25"/>
    <row r="4" spans="1:15" ht="15.75" thickBot="1" x14ac:dyDescent="0.25">
      <c r="A4" s="449" t="s">
        <v>3</v>
      </c>
      <c r="B4" s="399" t="s">
        <v>104</v>
      </c>
      <c r="C4" s="399"/>
      <c r="D4" s="450"/>
      <c r="E4" s="562" t="s">
        <v>84</v>
      </c>
      <c r="F4" s="563"/>
      <c r="G4" s="563"/>
      <c r="H4" s="407"/>
    </row>
    <row r="5" spans="1:15" ht="15.75" thickBot="1" x14ac:dyDescent="0.25">
      <c r="A5" s="449"/>
      <c r="B5" s="406" t="s">
        <v>81</v>
      </c>
      <c r="C5" s="563"/>
      <c r="D5" s="564"/>
      <c r="E5" s="112" t="s">
        <v>81</v>
      </c>
      <c r="F5" s="406" t="s">
        <v>87</v>
      </c>
      <c r="G5" s="563"/>
      <c r="H5" s="407"/>
      <c r="K5" s="501" t="str">
        <f>'خطة الإمداد'!K30</f>
        <v>المحطة</v>
      </c>
      <c r="L5" s="283">
        <f>'خطة الإمداد'!L30</f>
        <v>80</v>
      </c>
      <c r="M5" s="283">
        <f>'خطة الإمداد'!M30</f>
        <v>92</v>
      </c>
      <c r="N5" s="283">
        <f>'خطة الإمداد'!N30</f>
        <v>95</v>
      </c>
      <c r="O5" s="283" t="str">
        <f>'خطة الإمداد'!O30</f>
        <v>سولار</v>
      </c>
    </row>
    <row r="6" spans="1:15" ht="15.75" thickBot="1" x14ac:dyDescent="0.25">
      <c r="A6" s="449"/>
      <c r="B6" s="108">
        <v>80</v>
      </c>
      <c r="C6" s="108">
        <v>92</v>
      </c>
      <c r="D6" s="113">
        <v>95</v>
      </c>
      <c r="E6" s="112" t="s">
        <v>50</v>
      </c>
      <c r="F6" s="108">
        <v>92</v>
      </c>
      <c r="G6" s="113">
        <v>95</v>
      </c>
      <c r="H6" s="108" t="s">
        <v>50</v>
      </c>
      <c r="K6" s="503"/>
      <c r="L6" s="282" t="str">
        <f>'خطة الإمداد'!L31</f>
        <v>مطلوب</v>
      </c>
      <c r="M6" s="282" t="str">
        <f>'خطة الإمداد'!M31</f>
        <v>مطلوب</v>
      </c>
      <c r="N6" s="282" t="str">
        <f>'خطة الإمداد'!N31</f>
        <v>مطلوب</v>
      </c>
      <c r="O6" s="282" t="str">
        <f>'خطة الإمداد'!O31</f>
        <v>مطلوب</v>
      </c>
    </row>
    <row r="7" spans="1:15" ht="16.5" thickBot="1" x14ac:dyDescent="0.3">
      <c r="A7" s="110" t="s">
        <v>15</v>
      </c>
      <c r="B7" s="114"/>
      <c r="C7" s="5" t="e">
        <f>IF($F$19&gt;$F$24,M7,0)</f>
        <v>#REF!</v>
      </c>
      <c r="D7" s="23" t="e">
        <f>IF($F$18&gt;$F$23,N7,0)</f>
        <v>#REF!</v>
      </c>
      <c r="E7" s="26"/>
      <c r="F7" s="5" t="e">
        <f>IF($F$24&gt;$F$19,M7,0)</f>
        <v>#REF!</v>
      </c>
      <c r="G7" s="23" t="e">
        <f>IF($F$23&gt;$F$18,N7,0)</f>
        <v>#REF!</v>
      </c>
      <c r="H7" s="114"/>
      <c r="K7" s="284" t="str">
        <f>'خطة الإمداد'!K32</f>
        <v>ماستر</v>
      </c>
      <c r="L7" s="41">
        <f>'خطة الإمداد'!L32</f>
        <v>0</v>
      </c>
      <c r="M7" s="41">
        <f>'خطة الإمداد'!M32</f>
        <v>17</v>
      </c>
      <c r="N7" s="41">
        <f>'خطة الإمداد'!N32</f>
        <v>0</v>
      </c>
      <c r="O7" s="41">
        <f>'خطة الإمداد'!O32</f>
        <v>0</v>
      </c>
    </row>
    <row r="8" spans="1:15" ht="16.5" thickBot="1" x14ac:dyDescent="0.3">
      <c r="A8" s="284" t="s">
        <v>163</v>
      </c>
      <c r="B8" s="192"/>
      <c r="C8" s="5" t="e">
        <f t="shared" ref="C8:C14" si="0">IF($F$19&gt;$F$24,M8,0)</f>
        <v>#REF!</v>
      </c>
      <c r="D8" s="23" t="e">
        <f t="shared" ref="D8:D14" si="1">IF($F$18&gt;$F$23,N8,0)</f>
        <v>#REF!</v>
      </c>
      <c r="E8" s="26"/>
      <c r="F8" s="5" t="e">
        <f t="shared" ref="F8:F14" si="2">IF($F$24&gt;$F$19,M8,0)</f>
        <v>#REF!</v>
      </c>
      <c r="G8" s="23" t="e">
        <f t="shared" ref="G8:G14" si="3">IF($F$23&gt;$F$18,N8,0)</f>
        <v>#REF!</v>
      </c>
      <c r="H8" s="192"/>
      <c r="K8" s="284" t="str">
        <f>'خطة الإمداد'!K33</f>
        <v>النخيل</v>
      </c>
      <c r="L8" s="41">
        <f>'خطة الإمداد'!L33</f>
        <v>0</v>
      </c>
      <c r="M8" s="41">
        <f>'خطة الإمداد'!M33</f>
        <v>51</v>
      </c>
      <c r="N8" s="41">
        <f>'خطة الإمداد'!N33</f>
        <v>17</v>
      </c>
      <c r="O8" s="41">
        <f>'خطة الإمداد'!O33</f>
        <v>0</v>
      </c>
    </row>
    <row r="9" spans="1:15" ht="16.5" thickBot="1" x14ac:dyDescent="0.3">
      <c r="A9" s="110" t="s">
        <v>16</v>
      </c>
      <c r="B9" s="5">
        <f>L8</f>
        <v>0</v>
      </c>
      <c r="C9" s="5" t="e">
        <f t="shared" si="0"/>
        <v>#REF!</v>
      </c>
      <c r="D9" s="23" t="e">
        <f t="shared" si="1"/>
        <v>#REF!</v>
      </c>
      <c r="E9" s="24">
        <f>IF(O8&gt;50,O8,0)</f>
        <v>0</v>
      </c>
      <c r="F9" s="5" t="e">
        <f t="shared" si="2"/>
        <v>#REF!</v>
      </c>
      <c r="G9" s="23" t="e">
        <f t="shared" si="3"/>
        <v>#REF!</v>
      </c>
      <c r="H9" s="5" t="e">
        <f>IF(($F$22&gt;$F$21),IF(O9&lt;51,O9,0),0)</f>
        <v>#REF!</v>
      </c>
      <c r="K9" s="284" t="str">
        <f>'خطة الإمداد'!K34</f>
        <v>السلام</v>
      </c>
      <c r="L9" s="41">
        <f>'خطة الإمداد'!L34</f>
        <v>51</v>
      </c>
      <c r="M9" s="41">
        <f>'خطة الإمداد'!M34</f>
        <v>34</v>
      </c>
      <c r="N9" s="41">
        <f>'خطة الإمداد'!N34</f>
        <v>0</v>
      </c>
      <c r="O9" s="41">
        <f>'خطة الإمداد'!O34</f>
        <v>0</v>
      </c>
    </row>
    <row r="10" spans="1:15" ht="16.5" thickBot="1" x14ac:dyDescent="0.3">
      <c r="A10" s="110" t="s">
        <v>17</v>
      </c>
      <c r="B10" s="5">
        <f t="shared" ref="B10:B12" si="4">L9</f>
        <v>51</v>
      </c>
      <c r="C10" s="5" t="e">
        <f t="shared" si="0"/>
        <v>#REF!</v>
      </c>
      <c r="D10" s="23" t="e">
        <f t="shared" si="1"/>
        <v>#REF!</v>
      </c>
      <c r="E10" s="26"/>
      <c r="F10" s="5" t="e">
        <f t="shared" si="2"/>
        <v>#REF!</v>
      </c>
      <c r="G10" s="23" t="e">
        <f t="shared" si="3"/>
        <v>#REF!</v>
      </c>
      <c r="H10" s="114"/>
      <c r="K10" s="284" t="str">
        <f>'خطة الإمداد'!K35</f>
        <v>شبرا 1</v>
      </c>
      <c r="L10" s="41">
        <f>'خطة الإمداد'!L35</f>
        <v>17</v>
      </c>
      <c r="M10" s="41">
        <f>'خطة الإمداد'!M35</f>
        <v>34</v>
      </c>
      <c r="N10" s="41">
        <f>'خطة الإمداد'!N35</f>
        <v>17</v>
      </c>
      <c r="O10" s="41">
        <f>'خطة الإمداد'!O35</f>
        <v>17</v>
      </c>
    </row>
    <row r="11" spans="1:15" ht="16.5" thickBot="1" x14ac:dyDescent="0.3">
      <c r="A11" s="110" t="s">
        <v>18</v>
      </c>
      <c r="B11" s="5">
        <f t="shared" si="4"/>
        <v>17</v>
      </c>
      <c r="C11" s="5" t="e">
        <f t="shared" si="0"/>
        <v>#REF!</v>
      </c>
      <c r="D11" s="25"/>
      <c r="E11" s="24">
        <f t="shared" ref="E11:E14" si="5">IF(O10&gt;50,O10,0)</f>
        <v>0</v>
      </c>
      <c r="F11" s="5" t="e">
        <f t="shared" si="2"/>
        <v>#REF!</v>
      </c>
      <c r="G11" s="25"/>
      <c r="H11" s="5" t="e">
        <f>IF(($F$22&gt;$F$21),IF(O11&lt;51,O11,0),0)</f>
        <v>#REF!</v>
      </c>
      <c r="K11" s="284" t="str">
        <f>'خطة الإمداد'!K36</f>
        <v>شبرا 2</v>
      </c>
      <c r="L11" s="41">
        <f>'خطة الإمداد'!L36</f>
        <v>0</v>
      </c>
      <c r="M11" s="41">
        <f>'خطة الإمداد'!M36</f>
        <v>68</v>
      </c>
      <c r="N11" s="41">
        <f>'خطة الإمداد'!N36</f>
        <v>17</v>
      </c>
      <c r="O11" s="41">
        <f>'خطة الإمداد'!O36</f>
        <v>0</v>
      </c>
    </row>
    <row r="12" spans="1:15" ht="16.5" thickBot="1" x14ac:dyDescent="0.3">
      <c r="A12" s="110" t="s">
        <v>19</v>
      </c>
      <c r="B12" s="5">
        <f t="shared" si="4"/>
        <v>0</v>
      </c>
      <c r="C12" s="5" t="e">
        <f t="shared" si="0"/>
        <v>#REF!</v>
      </c>
      <c r="D12" s="25"/>
      <c r="E12" s="24">
        <f t="shared" si="5"/>
        <v>0</v>
      </c>
      <c r="F12" s="5" t="e">
        <f t="shared" si="2"/>
        <v>#REF!</v>
      </c>
      <c r="G12" s="25"/>
      <c r="H12" s="5" t="e">
        <f>IF(($F$22&gt;$F$21),IF(O12&lt;51,O12,0),0)</f>
        <v>#REF!</v>
      </c>
      <c r="K12" s="284" t="str">
        <f>'خطة الإمداد'!K37</f>
        <v>شبرا 3</v>
      </c>
      <c r="L12" s="41">
        <f>'خطة الإمداد'!L37</f>
        <v>17</v>
      </c>
      <c r="M12" s="41">
        <f>'خطة الإمداد'!M37</f>
        <v>51</v>
      </c>
      <c r="N12" s="41">
        <f>'خطة الإمداد'!N37</f>
        <v>0</v>
      </c>
      <c r="O12" s="41">
        <f>'خطة الإمداد'!O37</f>
        <v>17</v>
      </c>
    </row>
    <row r="13" spans="1:15" ht="16.5" thickBot="1" x14ac:dyDescent="0.3">
      <c r="A13" s="110" t="s">
        <v>20</v>
      </c>
      <c r="B13" s="114"/>
      <c r="C13" s="5" t="e">
        <f t="shared" si="0"/>
        <v>#REF!</v>
      </c>
      <c r="D13" s="23" t="e">
        <f t="shared" si="1"/>
        <v>#REF!</v>
      </c>
      <c r="E13" s="26"/>
      <c r="F13" s="5" t="e">
        <f t="shared" si="2"/>
        <v>#REF!</v>
      </c>
      <c r="G13" s="23" t="e">
        <f t="shared" si="3"/>
        <v>#REF!</v>
      </c>
      <c r="H13" s="114"/>
      <c r="K13" s="284" t="str">
        <f>'خطة الإمداد'!K38</f>
        <v>شبرا 4</v>
      </c>
      <c r="L13" s="41">
        <f>'خطة الإمداد'!L38</f>
        <v>17</v>
      </c>
      <c r="M13" s="41">
        <f>'خطة الإمداد'!M38</f>
        <v>34</v>
      </c>
      <c r="N13" s="41">
        <f>'خطة الإمداد'!N38</f>
        <v>0</v>
      </c>
      <c r="O13" s="41">
        <f>'خطة الإمداد'!O38</f>
        <v>34</v>
      </c>
    </row>
    <row r="14" spans="1:15" ht="16.5" thickBot="1" x14ac:dyDescent="0.3">
      <c r="A14" s="110" t="s">
        <v>21</v>
      </c>
      <c r="B14" s="114"/>
      <c r="C14" s="5" t="e">
        <f t="shared" si="0"/>
        <v>#REF!</v>
      </c>
      <c r="D14" s="23" t="e">
        <f t="shared" si="1"/>
        <v>#REF!</v>
      </c>
      <c r="E14" s="24">
        <f t="shared" si="5"/>
        <v>0</v>
      </c>
      <c r="F14" s="5" t="e">
        <f t="shared" si="2"/>
        <v>#REF!</v>
      </c>
      <c r="G14" s="23" t="e">
        <f t="shared" si="3"/>
        <v>#REF!</v>
      </c>
      <c r="H14" s="5" t="e">
        <f>IF(($F$22&gt;$F$21),IF(O14&lt;51,O14,0),0)</f>
        <v>#REF!</v>
      </c>
      <c r="K14" s="284" t="str">
        <f>'خطة الإمداد'!K39</f>
        <v>شل 1</v>
      </c>
      <c r="L14" s="41">
        <f>'خطة الإمداد'!L39</f>
        <v>0</v>
      </c>
      <c r="M14" s="41">
        <f>'خطة الإمداد'!M39</f>
        <v>85</v>
      </c>
      <c r="N14" s="41">
        <f>'خطة الإمداد'!N39</f>
        <v>17</v>
      </c>
      <c r="O14" s="41">
        <f>'خطة الإمداد'!O39</f>
        <v>0</v>
      </c>
    </row>
    <row r="15" spans="1:15" ht="15.75" x14ac:dyDescent="0.25">
      <c r="K15" s="116"/>
      <c r="L15" s="117"/>
      <c r="M15" s="117"/>
      <c r="N15" s="117"/>
      <c r="O15" s="117"/>
    </row>
    <row r="16" spans="1:15" ht="16.5" thickBot="1" x14ac:dyDescent="0.3">
      <c r="D16" s="78" t="s">
        <v>92</v>
      </c>
      <c r="E16" s="78"/>
      <c r="F16" s="78"/>
      <c r="K16" s="116"/>
      <c r="L16" s="117"/>
      <c r="M16" s="117"/>
      <c r="N16" s="117"/>
      <c r="O16" s="117"/>
    </row>
    <row r="17" spans="4:15" ht="16.5" thickBot="1" x14ac:dyDescent="0.3">
      <c r="D17" s="54">
        <v>80</v>
      </c>
      <c r="E17" s="55" t="s">
        <v>93</v>
      </c>
      <c r="F17" s="56">
        <f>[1]التعاون.ملخص!$D$2</f>
        <v>1256</v>
      </c>
      <c r="K17" s="116"/>
      <c r="L17" s="117"/>
      <c r="M17" s="117"/>
      <c r="N17" s="117"/>
      <c r="O17" s="117"/>
    </row>
    <row r="18" spans="4:15" ht="16.5" thickBot="1" x14ac:dyDescent="0.3">
      <c r="D18" s="54">
        <v>95</v>
      </c>
      <c r="E18" s="48" t="s">
        <v>93</v>
      </c>
      <c r="F18" s="58">
        <f>[1]التعاون.ملخص!$D$4</f>
        <v>843</v>
      </c>
      <c r="K18" s="116"/>
      <c r="L18" s="117"/>
      <c r="M18" s="117"/>
      <c r="N18" s="117"/>
      <c r="O18" s="117"/>
    </row>
    <row r="19" spans="4:15" ht="16.5" thickBot="1" x14ac:dyDescent="0.3">
      <c r="D19" s="54">
        <v>92</v>
      </c>
      <c r="E19" s="61" t="s">
        <v>93</v>
      </c>
      <c r="F19" s="62">
        <f>[1]التعاون.ملخص!$D$3</f>
        <v>2504</v>
      </c>
      <c r="K19" s="116"/>
      <c r="L19" s="117"/>
      <c r="M19" s="117"/>
      <c r="N19" s="117"/>
      <c r="O19" s="117"/>
    </row>
    <row r="20" spans="4:15" ht="16.5" thickBot="1" x14ac:dyDescent="0.3">
      <c r="D20" s="78" t="s">
        <v>84</v>
      </c>
      <c r="E20" s="78"/>
      <c r="F20" s="78"/>
      <c r="K20" s="116"/>
      <c r="L20" s="117"/>
      <c r="M20" s="117"/>
      <c r="N20" s="117"/>
      <c r="O20" s="117"/>
    </row>
    <row r="21" spans="4:15" ht="16.5" thickBot="1" x14ac:dyDescent="0.3">
      <c r="D21" s="118" t="s">
        <v>50</v>
      </c>
      <c r="E21" s="52" t="s">
        <v>93</v>
      </c>
      <c r="F21" s="53">
        <f>[1]التعاون.ملخص!$D$5</f>
        <v>1735</v>
      </c>
      <c r="K21" s="116"/>
      <c r="L21" s="117"/>
      <c r="M21" s="117"/>
      <c r="N21" s="117"/>
      <c r="O21" s="117"/>
    </row>
    <row r="22" spans="4:15" ht="16.5" thickBot="1" x14ac:dyDescent="0.3">
      <c r="D22" s="119"/>
      <c r="E22" s="52" t="s">
        <v>87</v>
      </c>
      <c r="F22" s="53" t="e">
        <f>[1]موبيل.ملخص!$D$2</f>
        <v>#REF!</v>
      </c>
      <c r="K22" s="116"/>
      <c r="L22" s="117"/>
      <c r="M22" s="117"/>
      <c r="N22" s="117"/>
      <c r="O22" s="117"/>
    </row>
    <row r="23" spans="4:15" ht="16.5" thickBot="1" x14ac:dyDescent="0.3">
      <c r="D23" s="115">
        <v>95</v>
      </c>
      <c r="E23" s="48" t="s">
        <v>87</v>
      </c>
      <c r="F23" s="58" t="e">
        <f>[1]موبيل.ملخص!$D$4</f>
        <v>#REF!</v>
      </c>
      <c r="K23" s="116"/>
      <c r="L23" s="117"/>
      <c r="M23" s="117"/>
      <c r="N23" s="117"/>
      <c r="O23" s="117"/>
    </row>
    <row r="24" spans="4:15" ht="16.5" thickBot="1" x14ac:dyDescent="0.3">
      <c r="D24" s="115">
        <v>92</v>
      </c>
      <c r="E24" s="61" t="s">
        <v>87</v>
      </c>
      <c r="F24" s="62" t="e">
        <f>[1]موبيل.ملخص!$D$3</f>
        <v>#REF!</v>
      </c>
      <c r="K24" s="116"/>
      <c r="L24" s="117"/>
      <c r="M24" s="117"/>
      <c r="N24" s="117"/>
      <c r="O24" s="117"/>
    </row>
  </sheetData>
  <customSheetViews>
    <customSheetView guid="{18C0F7AC-4BB1-46DE-8A01-8E31FE0585FC}">
      <selection activeCell="F17" sqref="F17:F24"/>
      <pageMargins left="0.7" right="0.7" top="0.75" bottom="0.75" header="0.3" footer="0.3"/>
      <pageSetup paperSize="9" orientation="portrait" r:id="rId1"/>
    </customSheetView>
    <customSheetView guid="{8317B6D8-8A99-4EB0-9DBC-8E9AE0170A4B}">
      <selection activeCell="A8" sqref="A8:H8"/>
      <pageMargins left="0.7" right="0.7" top="0.75" bottom="0.75" header="0.3" footer="0.3"/>
      <pageSetup paperSize="9" orientation="portrait" r:id="rId2"/>
    </customSheetView>
  </customSheetViews>
  <mergeCells count="7">
    <mergeCell ref="C2:F2"/>
    <mergeCell ref="K5:K6"/>
    <mergeCell ref="A4:A6"/>
    <mergeCell ref="B4:D4"/>
    <mergeCell ref="E4:H4"/>
    <mergeCell ref="B5:D5"/>
    <mergeCell ref="F5:H5"/>
  </mergeCells>
  <conditionalFormatting sqref="L7:O13">
    <cfRule type="cellIs" dxfId="11" priority="3" operator="lessThan">
      <formula>1</formula>
    </cfRule>
    <cfRule type="cellIs" dxfId="10" priority="4" operator="greaterThan">
      <formula>1</formula>
    </cfRule>
  </conditionalFormatting>
  <conditionalFormatting sqref="L14:O14">
    <cfRule type="cellIs" dxfId="9" priority="1" operator="lessThan">
      <formula>1</formula>
    </cfRule>
    <cfRule type="cellIs" dxfId="8" priority="2" operator="greaterThan">
      <formula>1</formula>
    </cfRule>
  </conditionalFormatting>
  <pageMargins left="0.7" right="0.7" top="0.75" bottom="0.75" header="0.3" footer="0.3"/>
  <pageSetup paperSize="9" orientation="portrait"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7"/>
  </sheetPr>
  <dimension ref="A1:H8"/>
  <sheetViews>
    <sheetView rightToLeft="1" workbookViewId="0">
      <selection activeCell="K4" sqref="K4"/>
    </sheetView>
  </sheetViews>
  <sheetFormatPr defaultRowHeight="14.25" x14ac:dyDescent="0.2"/>
  <sheetData>
    <row r="1" spans="1:8" ht="16.5" thickBot="1" x14ac:dyDescent="0.25">
      <c r="A1" s="130"/>
      <c r="B1" s="128">
        <v>80</v>
      </c>
      <c r="C1" s="128">
        <v>92</v>
      </c>
      <c r="D1" s="133">
        <v>95</v>
      </c>
      <c r="E1" s="132" t="s">
        <v>50</v>
      </c>
      <c r="F1" s="128">
        <v>92</v>
      </c>
      <c r="G1" s="133">
        <v>95</v>
      </c>
      <c r="H1" s="128" t="s">
        <v>50</v>
      </c>
    </row>
    <row r="2" spans="1:8" ht="15.75" customHeight="1" thickBot="1" x14ac:dyDescent="0.25">
      <c r="A2" s="130" t="s">
        <v>15</v>
      </c>
      <c r="B2" s="134">
        <f>'منطقة القاهرة'!B7</f>
        <v>0</v>
      </c>
      <c r="C2" s="5" t="e">
        <f>'منطقة القاهرة'!C7</f>
        <v>#REF!</v>
      </c>
      <c r="D2" s="23" t="e">
        <f>'منطقة القاهرة'!D7</f>
        <v>#REF!</v>
      </c>
      <c r="E2" s="26">
        <f>'منطقة القاهرة'!E7</f>
        <v>0</v>
      </c>
      <c r="F2" s="5" t="e">
        <f>'منطقة القاهرة'!F7</f>
        <v>#REF!</v>
      </c>
      <c r="G2" s="23" t="e">
        <f>'منطقة القاهرة'!G7</f>
        <v>#REF!</v>
      </c>
      <c r="H2" s="134">
        <f>'منطقة القاهرة'!H7</f>
        <v>0</v>
      </c>
    </row>
    <row r="3" spans="1:8" ht="15.75" customHeight="1" thickBot="1" x14ac:dyDescent="0.25">
      <c r="A3" s="130" t="s">
        <v>16</v>
      </c>
      <c r="B3" s="5">
        <f>'منطقة القاهرة'!B9</f>
        <v>0</v>
      </c>
      <c r="C3" s="5" t="e">
        <f>'منطقة القاهرة'!C9</f>
        <v>#REF!</v>
      </c>
      <c r="D3" s="23" t="e">
        <f>'منطقة القاهرة'!D9</f>
        <v>#REF!</v>
      </c>
      <c r="E3" s="24">
        <f>'منطقة القاهرة'!E9</f>
        <v>0</v>
      </c>
      <c r="F3" s="5" t="e">
        <f>'منطقة القاهرة'!F9</f>
        <v>#REF!</v>
      </c>
      <c r="G3" s="23" t="e">
        <f>'منطقة القاهرة'!G9</f>
        <v>#REF!</v>
      </c>
      <c r="H3" s="5" t="e">
        <f>'منطقة القاهرة'!H9</f>
        <v>#REF!</v>
      </c>
    </row>
    <row r="4" spans="1:8" ht="15.75" customHeight="1" thickBot="1" x14ac:dyDescent="0.25">
      <c r="A4" s="130" t="s">
        <v>17</v>
      </c>
      <c r="B4" s="5">
        <f>'منطقة القاهرة'!B10</f>
        <v>51</v>
      </c>
      <c r="C4" s="5" t="e">
        <f>'منطقة القاهرة'!C10</f>
        <v>#REF!</v>
      </c>
      <c r="D4" s="23" t="e">
        <f>'منطقة القاهرة'!D10</f>
        <v>#REF!</v>
      </c>
      <c r="E4" s="26">
        <f>'منطقة القاهرة'!E10</f>
        <v>0</v>
      </c>
      <c r="F4" s="5" t="e">
        <f>'منطقة القاهرة'!F10</f>
        <v>#REF!</v>
      </c>
      <c r="G4" s="23" t="e">
        <f>'منطقة القاهرة'!G10</f>
        <v>#REF!</v>
      </c>
      <c r="H4" s="134">
        <f>'منطقة القاهرة'!H10</f>
        <v>0</v>
      </c>
    </row>
    <row r="5" spans="1:8" ht="16.5" thickBot="1" x14ac:dyDescent="0.25">
      <c r="A5" s="130" t="s">
        <v>18</v>
      </c>
      <c r="B5" s="5">
        <f>'منطقة القاهرة'!B11</f>
        <v>17</v>
      </c>
      <c r="C5" s="5" t="e">
        <f>'منطقة القاهرة'!C11</f>
        <v>#REF!</v>
      </c>
      <c r="D5" s="25">
        <f>'منطقة القاهرة'!D11</f>
        <v>0</v>
      </c>
      <c r="E5" s="24">
        <f>'منطقة القاهرة'!E11</f>
        <v>0</v>
      </c>
      <c r="F5" s="5" t="e">
        <f>'منطقة القاهرة'!F11</f>
        <v>#REF!</v>
      </c>
      <c r="G5" s="25">
        <f>'منطقة القاهرة'!G11</f>
        <v>0</v>
      </c>
      <c r="H5" s="5" t="e">
        <f>'منطقة القاهرة'!H11</f>
        <v>#REF!</v>
      </c>
    </row>
    <row r="6" spans="1:8" ht="16.5" thickBot="1" x14ac:dyDescent="0.25">
      <c r="A6" s="130" t="s">
        <v>19</v>
      </c>
      <c r="B6" s="5">
        <f>'منطقة القاهرة'!B12</f>
        <v>0</v>
      </c>
      <c r="C6" s="5" t="e">
        <f>'منطقة القاهرة'!C12</f>
        <v>#REF!</v>
      </c>
      <c r="D6" s="25">
        <f>'منطقة القاهرة'!D12</f>
        <v>0</v>
      </c>
      <c r="E6" s="24">
        <f>'منطقة القاهرة'!E12</f>
        <v>0</v>
      </c>
      <c r="F6" s="5" t="e">
        <f>'منطقة القاهرة'!F12</f>
        <v>#REF!</v>
      </c>
      <c r="G6" s="25">
        <f>'منطقة القاهرة'!G12</f>
        <v>0</v>
      </c>
      <c r="H6" s="5" t="e">
        <f>'منطقة القاهرة'!H12</f>
        <v>#REF!</v>
      </c>
    </row>
    <row r="7" spans="1:8" ht="16.5" thickBot="1" x14ac:dyDescent="0.25">
      <c r="A7" s="130" t="s">
        <v>20</v>
      </c>
      <c r="B7" s="134">
        <f>'منطقة القاهرة'!B13</f>
        <v>0</v>
      </c>
      <c r="C7" s="5" t="e">
        <f>'منطقة القاهرة'!C13</f>
        <v>#REF!</v>
      </c>
      <c r="D7" s="23" t="e">
        <f>'منطقة القاهرة'!D13</f>
        <v>#REF!</v>
      </c>
      <c r="E7" s="26">
        <f>'منطقة القاهرة'!E13</f>
        <v>0</v>
      </c>
      <c r="F7" s="5" t="e">
        <f>'منطقة القاهرة'!F13</f>
        <v>#REF!</v>
      </c>
      <c r="G7" s="23" t="e">
        <f>'منطقة القاهرة'!G13</f>
        <v>#REF!</v>
      </c>
      <c r="H7" s="134">
        <f>'منطقة القاهرة'!H13</f>
        <v>0</v>
      </c>
    </row>
    <row r="8" spans="1:8" ht="16.5" thickBot="1" x14ac:dyDescent="0.25">
      <c r="A8" s="130" t="s">
        <v>21</v>
      </c>
      <c r="B8" s="134">
        <f>'منطقة القاهرة'!B14</f>
        <v>0</v>
      </c>
      <c r="C8" s="5" t="e">
        <f>'منطقة القاهرة'!C14</f>
        <v>#REF!</v>
      </c>
      <c r="D8" s="23" t="e">
        <f>'منطقة القاهرة'!D14</f>
        <v>#REF!</v>
      </c>
      <c r="E8" s="24">
        <f>'منطقة القاهرة'!E14</f>
        <v>0</v>
      </c>
      <c r="F8" s="5" t="e">
        <f>'منطقة القاهرة'!F14</f>
        <v>#REF!</v>
      </c>
      <c r="G8" s="23" t="e">
        <f>'منطقة القاهرة'!G14</f>
        <v>#REF!</v>
      </c>
      <c r="H8" s="5" t="e">
        <f>'منطقة القاهرة'!H14</f>
        <v>#REF!</v>
      </c>
    </row>
  </sheetData>
  <customSheetViews>
    <customSheetView guid="{18C0F7AC-4BB1-46DE-8A01-8E31FE0585FC}" state="hidden">
      <selection activeCell="K4" sqref="K4"/>
      <pageMargins left="0.7" right="0.7" top="0.75" bottom="0.75" header="0.3" footer="0.3"/>
      <pageSetup paperSize="9" orientation="portrait" r:id="rId1"/>
    </customSheetView>
    <customSheetView guid="{8317B6D8-8A99-4EB0-9DBC-8E9AE0170A4B}" state="hidden">
      <selection activeCell="K4" sqref="K4"/>
      <pageMargins left="0.7" right="0.7" top="0.75" bottom="0.75" header="0.3" footer="0.3"/>
      <pageSetup paperSize="9" orientation="portrait" r:id="rId2"/>
    </customSheetView>
  </customSheetViews>
  <pageMargins left="0.7" right="0.7" top="0.75" bottom="0.75" header="0.3" footer="0.3"/>
  <pageSetup paperSize="9" orientation="portrait" r:id="rId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theme="7"/>
  </sheetPr>
  <dimension ref="A2:O22"/>
  <sheetViews>
    <sheetView rightToLeft="1" workbookViewId="0">
      <selection activeCell="D15" sqref="D15:D22"/>
    </sheetView>
  </sheetViews>
  <sheetFormatPr defaultRowHeight="14.25" x14ac:dyDescent="0.2"/>
  <sheetData>
    <row r="2" spans="1:15" ht="15" x14ac:dyDescent="0.25">
      <c r="C2" s="561" t="s">
        <v>105</v>
      </c>
      <c r="D2" s="561"/>
      <c r="E2" s="561"/>
      <c r="F2" s="561"/>
    </row>
    <row r="3" spans="1:15" ht="15" thickBot="1" x14ac:dyDescent="0.25"/>
    <row r="4" spans="1:15" ht="15.75" thickBot="1" x14ac:dyDescent="0.25">
      <c r="A4" s="449" t="s">
        <v>3</v>
      </c>
      <c r="B4" s="406" t="s">
        <v>85</v>
      </c>
      <c r="C4" s="563"/>
      <c r="D4" s="563"/>
      <c r="E4" s="563"/>
      <c r="F4" s="563"/>
      <c r="G4" s="563"/>
      <c r="H4" s="407"/>
      <c r="I4" s="278" t="s">
        <v>119</v>
      </c>
    </row>
    <row r="5" spans="1:15" ht="15.75" thickBot="1" x14ac:dyDescent="0.25">
      <c r="A5" s="449"/>
      <c r="B5" s="120" t="s">
        <v>81</v>
      </c>
      <c r="C5" s="570" t="s">
        <v>87</v>
      </c>
      <c r="D5" s="540"/>
      <c r="E5" s="571"/>
      <c r="F5" s="540" t="s">
        <v>83</v>
      </c>
      <c r="G5" s="540"/>
      <c r="H5" s="541"/>
      <c r="I5" s="279" t="s">
        <v>83</v>
      </c>
      <c r="K5" s="501" t="s">
        <v>3</v>
      </c>
      <c r="L5" s="105">
        <v>80</v>
      </c>
      <c r="M5" s="105">
        <v>92</v>
      </c>
      <c r="N5" s="105">
        <v>95</v>
      </c>
      <c r="O5" s="105" t="s">
        <v>50</v>
      </c>
    </row>
    <row r="6" spans="1:15" ht="15.75" thickBot="1" x14ac:dyDescent="0.25">
      <c r="A6" s="449"/>
      <c r="B6" s="111" t="s">
        <v>50</v>
      </c>
      <c r="C6" s="112">
        <v>92</v>
      </c>
      <c r="D6" s="113">
        <v>95</v>
      </c>
      <c r="E6" s="111" t="s">
        <v>50</v>
      </c>
      <c r="F6" s="109">
        <v>92</v>
      </c>
      <c r="G6" s="113">
        <v>95</v>
      </c>
      <c r="H6" s="108" t="s">
        <v>50</v>
      </c>
      <c r="I6" s="278" t="s">
        <v>50</v>
      </c>
      <c r="K6" s="503"/>
      <c r="L6" s="108" t="s">
        <v>7</v>
      </c>
      <c r="M6" s="108" t="s">
        <v>7</v>
      </c>
      <c r="N6" s="108" t="s">
        <v>7</v>
      </c>
      <c r="O6" s="108" t="s">
        <v>7</v>
      </c>
    </row>
    <row r="7" spans="1:15" ht="16.5" thickBot="1" x14ac:dyDescent="0.3">
      <c r="A7" s="110" t="s">
        <v>22</v>
      </c>
      <c r="B7" s="37">
        <f>IF(O7&gt;50,O7,0)</f>
        <v>51</v>
      </c>
      <c r="C7" s="24" t="e">
        <f>IF($D$22&gt;$D$21,M7,0)</f>
        <v>#REF!</v>
      </c>
      <c r="D7" s="23" t="e">
        <f>IF($D$20&gt;D19,N7,0)</f>
        <v>#REF!</v>
      </c>
      <c r="E7" s="37" t="e">
        <f>IF(($D$17&gt;$D$15),IF(O7&lt;51,O7,0),0)</f>
        <v>#REF!</v>
      </c>
      <c r="F7" s="121" t="e">
        <f>IF($D$21&gt;$D$22,M7,0)</f>
        <v>#VALUE!</v>
      </c>
      <c r="G7" s="23" t="e">
        <f>IF($D$19&gt;$D$20,N7,0)</f>
        <v>#REF!</v>
      </c>
      <c r="H7" s="5" t="e">
        <f>IF(($D$17&lt;$D$15),IF(O7&lt;51,O7,0),0)</f>
        <v>#REF!</v>
      </c>
      <c r="I7" s="5">
        <v>0</v>
      </c>
      <c r="K7" s="110" t="s">
        <v>22</v>
      </c>
      <c r="L7" s="41">
        <f>'خطة الإمداد'!L40</f>
        <v>0</v>
      </c>
      <c r="M7" s="41">
        <f>'خطة الإمداد'!M40</f>
        <v>34</v>
      </c>
      <c r="N7" s="41">
        <f>'خطة الإمداد'!N40</f>
        <v>17</v>
      </c>
      <c r="O7" s="41">
        <f>'خطة الإمداد'!O40</f>
        <v>51</v>
      </c>
    </row>
    <row r="8" spans="1:15" ht="16.5" thickBot="1" x14ac:dyDescent="0.3">
      <c r="A8" s="110" t="s">
        <v>23</v>
      </c>
      <c r="B8" s="37">
        <f t="shared" ref="B8:B10" si="0">IF(O8&gt;50,O8,0)</f>
        <v>68</v>
      </c>
      <c r="C8" s="24" t="e">
        <f>IF($D$22&gt;$D$21,M8,0)</f>
        <v>#REF!</v>
      </c>
      <c r="D8" s="23" t="e">
        <f>IF($D$20&gt;D20,N8,0)</f>
        <v>#REF!</v>
      </c>
      <c r="E8" s="37" t="e">
        <f t="shared" ref="E8:E10" si="1">IF(($D$17&gt;$D$15),IF(O8&lt;51,O8,0),0)</f>
        <v>#REF!</v>
      </c>
      <c r="F8" s="121" t="e">
        <f t="shared" ref="F8:F10" si="2">IF($D$21&gt;$D$22,M8,0)</f>
        <v>#VALUE!</v>
      </c>
      <c r="G8" s="23" t="e">
        <f t="shared" ref="G8:G10" si="3">IF($D$19&gt;$D$20,N8,0)</f>
        <v>#REF!</v>
      </c>
      <c r="H8" s="5" t="e">
        <f t="shared" ref="H8:H10" si="4">IF(($D$17&lt;$D$15),IF(O8&lt;51,O8,0),0)</f>
        <v>#REF!</v>
      </c>
      <c r="I8" s="5">
        <v>0</v>
      </c>
      <c r="K8" s="110" t="s">
        <v>23</v>
      </c>
      <c r="L8" s="41">
        <f>'خطة الإمداد'!L41</f>
        <v>0</v>
      </c>
      <c r="M8" s="41">
        <f>'خطة الإمداد'!M41</f>
        <v>34</v>
      </c>
      <c r="N8" s="41">
        <f>'خطة الإمداد'!N41</f>
        <v>17</v>
      </c>
      <c r="O8" s="41">
        <f>'خطة الإمداد'!O41</f>
        <v>68</v>
      </c>
    </row>
    <row r="9" spans="1:15" ht="16.5" thickBot="1" x14ac:dyDescent="0.3">
      <c r="A9" s="110" t="s">
        <v>24</v>
      </c>
      <c r="B9" s="38"/>
      <c r="C9" s="24" t="e">
        <f>IF($D$22&gt;$D$21,M9,0)</f>
        <v>#REF!</v>
      </c>
      <c r="D9" s="23" t="e">
        <f>IF($D$20&gt;D21,N9,0)</f>
        <v>#REF!</v>
      </c>
      <c r="E9" s="38"/>
      <c r="F9" s="121" t="e">
        <f t="shared" si="2"/>
        <v>#VALUE!</v>
      </c>
      <c r="G9" s="23" t="e">
        <f t="shared" si="3"/>
        <v>#REF!</v>
      </c>
      <c r="H9" s="114"/>
      <c r="I9" s="5">
        <v>0</v>
      </c>
      <c r="K9" s="110" t="s">
        <v>24</v>
      </c>
      <c r="L9" s="41">
        <f>'خطة الإمداد'!L42</f>
        <v>0</v>
      </c>
      <c r="M9" s="41">
        <f>'خطة الإمداد'!M42</f>
        <v>17</v>
      </c>
      <c r="N9" s="41">
        <f>'خطة الإمداد'!N42</f>
        <v>17</v>
      </c>
      <c r="O9" s="41">
        <f>'خطة الإمداد'!O42</f>
        <v>0</v>
      </c>
    </row>
    <row r="10" spans="1:15" ht="16.5" thickBot="1" x14ac:dyDescent="0.3">
      <c r="A10" s="110" t="s">
        <v>26</v>
      </c>
      <c r="B10" s="37">
        <f t="shared" si="0"/>
        <v>0</v>
      </c>
      <c r="C10" s="24" t="e">
        <f>IF($D$22&gt;$D$21,M10,0)</f>
        <v>#REF!</v>
      </c>
      <c r="D10" s="23" t="e">
        <f>IF($D$20&gt;D22,N10,0)</f>
        <v>#REF!</v>
      </c>
      <c r="E10" s="37" t="e">
        <f t="shared" si="1"/>
        <v>#REF!</v>
      </c>
      <c r="F10" s="121" t="e">
        <f t="shared" si="2"/>
        <v>#VALUE!</v>
      </c>
      <c r="G10" s="23" t="e">
        <f t="shared" si="3"/>
        <v>#REF!</v>
      </c>
      <c r="H10" s="5" t="e">
        <f t="shared" si="4"/>
        <v>#REF!</v>
      </c>
      <c r="I10" s="5">
        <f>O10</f>
        <v>0</v>
      </c>
      <c r="K10" s="110" t="s">
        <v>26</v>
      </c>
      <c r="L10" s="41">
        <f>'خطة الإمداد'!L43</f>
        <v>0</v>
      </c>
      <c r="M10" s="41">
        <f>'خطة الإمداد'!M43</f>
        <v>17</v>
      </c>
      <c r="N10" s="41">
        <f>'خطة الإمداد'!N43</f>
        <v>0</v>
      </c>
      <c r="O10" s="41">
        <f>'خطة الإمداد'!O43</f>
        <v>0</v>
      </c>
    </row>
    <row r="14" spans="1:15" ht="16.5" thickBot="1" x14ac:dyDescent="0.3">
      <c r="B14" s="8" t="s">
        <v>85</v>
      </c>
      <c r="C14" s="8"/>
      <c r="D14" s="8"/>
    </row>
    <row r="15" spans="1:15" ht="16.5" thickBot="1" x14ac:dyDescent="0.25">
      <c r="B15" s="568" t="s">
        <v>50</v>
      </c>
      <c r="C15" s="52" t="s">
        <v>83</v>
      </c>
      <c r="D15" s="53">
        <f>[1]مصرملخص!$D$2</f>
        <v>0</v>
      </c>
    </row>
    <row r="16" spans="1:15" ht="16.5" thickBot="1" x14ac:dyDescent="0.25">
      <c r="B16" s="569"/>
      <c r="C16" s="52" t="s">
        <v>93</v>
      </c>
      <c r="D16" s="53">
        <f>[1]التعاون.ملخص!$D$6</f>
        <v>0</v>
      </c>
    </row>
    <row r="17" spans="2:4" ht="16.5" thickBot="1" x14ac:dyDescent="0.25">
      <c r="B17" s="569"/>
      <c r="C17" s="59" t="s">
        <v>87</v>
      </c>
      <c r="D17" s="60" t="e">
        <f>[1]موبيل.ملخص!$D$5</f>
        <v>#REF!</v>
      </c>
    </row>
    <row r="18" spans="2:4" ht="16.5" thickBot="1" x14ac:dyDescent="0.25">
      <c r="B18" s="566"/>
      <c r="C18" s="52" t="s">
        <v>119</v>
      </c>
      <c r="D18" s="53">
        <f>'[1]مصر للبترول'!$Y$36</f>
        <v>0</v>
      </c>
    </row>
    <row r="19" spans="2:4" ht="17.25" thickTop="1" thickBot="1" x14ac:dyDescent="0.25">
      <c r="B19" s="565">
        <v>95</v>
      </c>
      <c r="C19" s="49" t="s">
        <v>83</v>
      </c>
      <c r="D19" s="63">
        <f>[1]مصرملخص!$D$4</f>
        <v>0</v>
      </c>
    </row>
    <row r="20" spans="2:4" ht="16.5" thickBot="1" x14ac:dyDescent="0.25">
      <c r="B20" s="566"/>
      <c r="C20" s="50" t="s">
        <v>87</v>
      </c>
      <c r="D20" s="66" t="e">
        <f>[1]موبيل.ملخص!$D$7</f>
        <v>#REF!</v>
      </c>
    </row>
    <row r="21" spans="2:4" ht="17.25" thickTop="1" thickBot="1" x14ac:dyDescent="0.25">
      <c r="B21" s="565">
        <v>92</v>
      </c>
      <c r="C21" s="68" t="s">
        <v>83</v>
      </c>
      <c r="D21" s="69" t="e">
        <f>[1]مصرملخص!$D$3</f>
        <v>#VALUE!</v>
      </c>
    </row>
    <row r="22" spans="2:4" ht="16.5" thickBot="1" x14ac:dyDescent="0.25">
      <c r="B22" s="567"/>
      <c r="C22" s="61" t="s">
        <v>87</v>
      </c>
      <c r="D22" s="62" t="e">
        <f>[1]موبيل.ملخص!$D$6</f>
        <v>#REF!</v>
      </c>
    </row>
  </sheetData>
  <customSheetViews>
    <customSheetView guid="{18C0F7AC-4BB1-46DE-8A01-8E31FE0585FC}">
      <selection activeCell="D15" sqref="D15:D22"/>
      <pageMargins left="0.7" right="0.7" top="0.75" bottom="0.75" header="0.3" footer="0.3"/>
    </customSheetView>
    <customSheetView guid="{8317B6D8-8A99-4EB0-9DBC-8E9AE0170A4B}">
      <selection activeCell="H7" sqref="H7"/>
      <pageMargins left="0.7" right="0.7" top="0.75" bottom="0.75" header="0.3" footer="0.3"/>
    </customSheetView>
  </customSheetViews>
  <mergeCells count="9">
    <mergeCell ref="A4:A6"/>
    <mergeCell ref="B4:H4"/>
    <mergeCell ref="C5:E5"/>
    <mergeCell ref="F5:H5"/>
    <mergeCell ref="C2:F2"/>
    <mergeCell ref="K5:K6"/>
    <mergeCell ref="B19:B20"/>
    <mergeCell ref="B21:B22"/>
    <mergeCell ref="B15:B18"/>
  </mergeCells>
  <conditionalFormatting sqref="L7:O10">
    <cfRule type="cellIs" dxfId="7" priority="1" operator="lessThan">
      <formula>1</formula>
    </cfRule>
    <cfRule type="cellIs" dxfId="6" priority="2" operator="greaterThan">
      <formula>1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theme="7"/>
  </sheetPr>
  <dimension ref="A1:H5"/>
  <sheetViews>
    <sheetView rightToLeft="1" workbookViewId="0">
      <selection activeCell="B2" sqref="B2:H5"/>
    </sheetView>
  </sheetViews>
  <sheetFormatPr defaultRowHeight="14.25" x14ac:dyDescent="0.2"/>
  <sheetData>
    <row r="1" spans="1:8" ht="15.75" customHeight="1" thickBot="1" x14ac:dyDescent="0.25">
      <c r="A1" s="137"/>
      <c r="B1" s="131" t="s">
        <v>50</v>
      </c>
      <c r="C1" s="132">
        <v>92</v>
      </c>
      <c r="D1" s="133">
        <v>95</v>
      </c>
      <c r="E1" s="131" t="s">
        <v>50</v>
      </c>
      <c r="F1" s="129">
        <v>92</v>
      </c>
      <c r="G1" s="133">
        <v>95</v>
      </c>
      <c r="H1" s="128" t="s">
        <v>50</v>
      </c>
    </row>
    <row r="2" spans="1:8" ht="16.5" thickBot="1" x14ac:dyDescent="0.25">
      <c r="A2" s="130" t="s">
        <v>22</v>
      </c>
      <c r="B2" s="37">
        <f>'منطقة السويس'!B7</f>
        <v>51</v>
      </c>
      <c r="C2" s="24" t="e">
        <f>'منطقة السويس'!C7</f>
        <v>#REF!</v>
      </c>
      <c r="D2" s="23" t="e">
        <f>'منطقة السويس'!D7</f>
        <v>#REF!</v>
      </c>
      <c r="E2" s="37" t="e">
        <f>'منطقة السويس'!E7</f>
        <v>#REF!</v>
      </c>
      <c r="F2" s="121" t="e">
        <f>'منطقة السويس'!F7</f>
        <v>#VALUE!</v>
      </c>
      <c r="G2" s="23" t="e">
        <f>'منطقة السويس'!G7</f>
        <v>#REF!</v>
      </c>
      <c r="H2" s="5" t="e">
        <f>'منطقة السويس'!H7</f>
        <v>#REF!</v>
      </c>
    </row>
    <row r="3" spans="1:8" ht="16.5" thickBot="1" x14ac:dyDescent="0.25">
      <c r="A3" s="130" t="s">
        <v>23</v>
      </c>
      <c r="B3" s="37">
        <f>'منطقة السويس'!B8</f>
        <v>68</v>
      </c>
      <c r="C3" s="24" t="e">
        <f>'منطقة السويس'!C8</f>
        <v>#REF!</v>
      </c>
      <c r="D3" s="23" t="e">
        <f>'منطقة السويس'!D8</f>
        <v>#REF!</v>
      </c>
      <c r="E3" s="37" t="e">
        <f>'منطقة السويس'!E8</f>
        <v>#REF!</v>
      </c>
      <c r="F3" s="121" t="e">
        <f>'منطقة السويس'!F8</f>
        <v>#VALUE!</v>
      </c>
      <c r="G3" s="23" t="e">
        <f>'منطقة السويس'!G8</f>
        <v>#REF!</v>
      </c>
      <c r="H3" s="5" t="e">
        <f>'منطقة السويس'!H8</f>
        <v>#REF!</v>
      </c>
    </row>
    <row r="4" spans="1:8" ht="16.5" thickBot="1" x14ac:dyDescent="0.25">
      <c r="A4" s="130" t="s">
        <v>24</v>
      </c>
      <c r="B4" s="38">
        <f>'منطقة السويس'!B9</f>
        <v>0</v>
      </c>
      <c r="C4" s="24" t="e">
        <f>'منطقة السويس'!C9</f>
        <v>#REF!</v>
      </c>
      <c r="D4" s="23" t="e">
        <f>'منطقة السويس'!D9</f>
        <v>#REF!</v>
      </c>
      <c r="E4" s="38">
        <f>'منطقة السويس'!E9</f>
        <v>0</v>
      </c>
      <c r="F4" s="121" t="e">
        <f>'منطقة السويس'!F9</f>
        <v>#VALUE!</v>
      </c>
      <c r="G4" s="23" t="e">
        <f>'منطقة السويس'!G9</f>
        <v>#REF!</v>
      </c>
      <c r="H4" s="134">
        <f>'منطقة السويس'!H9</f>
        <v>0</v>
      </c>
    </row>
    <row r="5" spans="1:8" ht="16.5" thickBot="1" x14ac:dyDescent="0.25">
      <c r="A5" s="130" t="s">
        <v>26</v>
      </c>
      <c r="B5" s="37">
        <f>'منطقة السويس'!B10</f>
        <v>0</v>
      </c>
      <c r="C5" s="24" t="e">
        <f>'منطقة السويس'!C10</f>
        <v>#REF!</v>
      </c>
      <c r="D5" s="23" t="e">
        <f>'منطقة السويس'!D10</f>
        <v>#REF!</v>
      </c>
      <c r="E5" s="37" t="e">
        <f>'منطقة السويس'!E10</f>
        <v>#REF!</v>
      </c>
      <c r="F5" s="121" t="e">
        <f>'منطقة السويس'!F10</f>
        <v>#VALUE!</v>
      </c>
      <c r="G5" s="23" t="e">
        <f>'منطقة السويس'!G10</f>
        <v>#REF!</v>
      </c>
      <c r="H5" s="5" t="e">
        <f>'منطقة السويس'!H10</f>
        <v>#REF!</v>
      </c>
    </row>
  </sheetData>
  <customSheetViews>
    <customSheetView guid="{18C0F7AC-4BB1-46DE-8A01-8E31FE0585FC}" state="hidden">
      <selection activeCell="B2" sqref="B2:H5"/>
      <pageMargins left="0.7" right="0.7" top="0.75" bottom="0.75" header="0.3" footer="0.3"/>
    </customSheetView>
    <customSheetView guid="{8317B6D8-8A99-4EB0-9DBC-8E9AE0170A4B}" state="hidden">
      <selection activeCell="B2" sqref="B2:H5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theme="7"/>
  </sheetPr>
  <dimension ref="A2:O21"/>
  <sheetViews>
    <sheetView rightToLeft="1" workbookViewId="0">
      <selection activeCell="D14" sqref="D14:D21"/>
    </sheetView>
  </sheetViews>
  <sheetFormatPr defaultRowHeight="14.25" x14ac:dyDescent="0.2"/>
  <sheetData>
    <row r="2" spans="1:15" ht="15" x14ac:dyDescent="0.25">
      <c r="C2" s="561" t="s">
        <v>106</v>
      </c>
      <c r="D2" s="561"/>
      <c r="E2" s="561"/>
      <c r="F2" s="561"/>
    </row>
    <row r="3" spans="1:15" ht="15" thickBot="1" x14ac:dyDescent="0.25"/>
    <row r="4" spans="1:15" ht="15.75" thickBot="1" x14ac:dyDescent="0.25">
      <c r="A4" s="449" t="s">
        <v>3</v>
      </c>
      <c r="B4" s="406" t="s">
        <v>91</v>
      </c>
      <c r="C4" s="563"/>
      <c r="D4" s="563"/>
      <c r="E4" s="563"/>
      <c r="F4" s="563"/>
      <c r="G4" s="563"/>
      <c r="H4" s="563"/>
      <c r="I4" s="407"/>
    </row>
    <row r="5" spans="1:15" ht="15.75" thickBot="1" x14ac:dyDescent="0.25">
      <c r="A5" s="449"/>
      <c r="B5" s="542" t="s">
        <v>81</v>
      </c>
      <c r="C5" s="542"/>
      <c r="D5" s="558"/>
      <c r="E5" s="575" t="s">
        <v>83</v>
      </c>
      <c r="F5" s="576"/>
      <c r="G5" s="559" t="s">
        <v>87</v>
      </c>
      <c r="H5" s="542"/>
      <c r="I5" s="542"/>
      <c r="K5" s="501" t="s">
        <v>3</v>
      </c>
      <c r="L5" s="105">
        <v>80</v>
      </c>
      <c r="M5" s="105">
        <v>92</v>
      </c>
      <c r="N5" s="105">
        <v>95</v>
      </c>
      <c r="O5" s="105" t="s">
        <v>50</v>
      </c>
    </row>
    <row r="6" spans="1:15" ht="15.75" thickBot="1" x14ac:dyDescent="0.25">
      <c r="A6" s="449"/>
      <c r="B6" s="104" t="s">
        <v>5</v>
      </c>
      <c r="C6" s="104" t="s">
        <v>11</v>
      </c>
      <c r="D6" s="106" t="s">
        <v>50</v>
      </c>
      <c r="E6" s="122" t="s">
        <v>11</v>
      </c>
      <c r="F6" s="37" t="s">
        <v>50</v>
      </c>
      <c r="G6" s="121" t="s">
        <v>11</v>
      </c>
      <c r="H6" s="104" t="s">
        <v>12</v>
      </c>
      <c r="I6" s="104" t="s">
        <v>50</v>
      </c>
      <c r="K6" s="503"/>
      <c r="L6" s="108" t="s">
        <v>7</v>
      </c>
      <c r="M6" s="108" t="s">
        <v>7</v>
      </c>
      <c r="N6" s="108" t="s">
        <v>7</v>
      </c>
      <c r="O6" s="108" t="s">
        <v>7</v>
      </c>
    </row>
    <row r="7" spans="1:15" ht="16.5" thickBot="1" x14ac:dyDescent="0.3">
      <c r="A7" s="110" t="s">
        <v>25</v>
      </c>
      <c r="B7" s="114"/>
      <c r="C7" s="5" t="e">
        <f>IF($D$20&gt;$D$19,IF($D$20&gt;$D$21,M7,0),0)</f>
        <v>#REF!</v>
      </c>
      <c r="D7" s="23" t="e">
        <f>IF($D$15&gt;$D$14,IF($D$15&gt;$D$16,O7,0),0)</f>
        <v>#REF!</v>
      </c>
      <c r="E7" s="24">
        <f>IF($D$19&gt;$D$20,IF($D$19&gt;$D$21,M7,0),0)</f>
        <v>0</v>
      </c>
      <c r="F7" s="37">
        <f>IF($D$14&gt;$D$15,IF($D$14&gt;$D$16,O7,0),0)</f>
        <v>0</v>
      </c>
      <c r="G7" s="24" t="e">
        <f>IF($D$21&gt;$D$20,IF($D$21&gt;$D$19,M7,0),0)</f>
        <v>#REF!</v>
      </c>
      <c r="H7" s="5">
        <f>N7</f>
        <v>17</v>
      </c>
      <c r="I7" s="41" t="e">
        <f>IF($D$16&gt;$D$15,IF($D$16&gt;$D$14,O7,0),0)</f>
        <v>#REF!</v>
      </c>
      <c r="K7" s="110" t="s">
        <v>25</v>
      </c>
      <c r="L7" s="41">
        <f>'خطة الإمداد'!L44</f>
        <v>0</v>
      </c>
      <c r="M7" s="41">
        <f>'خطة الإمداد'!M44</f>
        <v>17</v>
      </c>
      <c r="N7" s="41">
        <f>'خطة الإمداد'!N44</f>
        <v>17</v>
      </c>
      <c r="O7" s="41">
        <f>'خطة الإمداد'!O44</f>
        <v>34</v>
      </c>
    </row>
    <row r="8" spans="1:15" ht="16.5" thickBot="1" x14ac:dyDescent="0.3">
      <c r="A8" s="110" t="s">
        <v>27</v>
      </c>
      <c r="B8" s="114"/>
      <c r="C8" s="5" t="e">
        <f t="shared" ref="C8:C9" si="0">IF($D$20&gt;$D$19,IF($D$20&gt;$D$21,M8,0),0)</f>
        <v>#REF!</v>
      </c>
      <c r="D8" s="25"/>
      <c r="E8" s="24">
        <f t="shared" ref="E8:E10" si="1">IF($D$19&gt;$D$20,IF($D$19&gt;$D$21,M8,0),0)</f>
        <v>0</v>
      </c>
      <c r="F8" s="38"/>
      <c r="G8" s="24" t="e">
        <f t="shared" ref="G8:G10" si="2">IF($D$21&gt;$D$20,IF($D$21&gt;$D$19,M8,0),0)</f>
        <v>#REF!</v>
      </c>
      <c r="H8" s="5">
        <f t="shared" ref="H8" si="3">N8</f>
        <v>17</v>
      </c>
      <c r="I8" s="80"/>
      <c r="K8" s="110" t="s">
        <v>27</v>
      </c>
      <c r="L8" s="41">
        <f>'خطة الإمداد'!L45</f>
        <v>0</v>
      </c>
      <c r="M8" s="41">
        <f>'خطة الإمداد'!M45</f>
        <v>34</v>
      </c>
      <c r="N8" s="41">
        <f>'خطة الإمداد'!N45</f>
        <v>17</v>
      </c>
      <c r="O8" s="41">
        <f>'خطة الإمداد'!O45</f>
        <v>34</v>
      </c>
    </row>
    <row r="9" spans="1:15" ht="16.5" thickBot="1" x14ac:dyDescent="0.3">
      <c r="A9" s="110" t="s">
        <v>28</v>
      </c>
      <c r="B9" s="5">
        <f t="shared" ref="B9" si="4">L9</f>
        <v>0</v>
      </c>
      <c r="C9" s="5" t="e">
        <f t="shared" si="0"/>
        <v>#REF!</v>
      </c>
      <c r="D9" s="23" t="e">
        <f t="shared" ref="D9:D10" si="5">IF($D$15&gt;$D$14,IF($D$15&gt;$D$16,O9,0),0)</f>
        <v>#REF!</v>
      </c>
      <c r="E9" s="24">
        <f t="shared" si="1"/>
        <v>0</v>
      </c>
      <c r="F9" s="37">
        <f t="shared" ref="F9:F10" si="6">IF($D$14&gt;$D$15,IF($D$14&gt;$D$16,O9,0),0)</f>
        <v>0</v>
      </c>
      <c r="G9" s="24" t="e">
        <f t="shared" si="2"/>
        <v>#REF!</v>
      </c>
      <c r="H9" s="114"/>
      <c r="I9" s="41" t="e">
        <f t="shared" ref="I9:I10" si="7">IF($D$16&gt;$D$15,IF($D$16&gt;$D$14,O9,0),0)</f>
        <v>#REF!</v>
      </c>
      <c r="K9" s="110" t="s">
        <v>28</v>
      </c>
      <c r="L9" s="41">
        <f>'خطة الإمداد'!L46</f>
        <v>0</v>
      </c>
      <c r="M9" s="41">
        <f>'خطة الإمداد'!M46</f>
        <v>34</v>
      </c>
      <c r="N9" s="41">
        <f>'خطة الإمداد'!N46</f>
        <v>17</v>
      </c>
      <c r="O9" s="41">
        <f>'خطة الإمداد'!O46</f>
        <v>0</v>
      </c>
    </row>
    <row r="10" spans="1:15" ht="16.5" thickBot="1" x14ac:dyDescent="0.3">
      <c r="A10" s="110" t="s">
        <v>29</v>
      </c>
      <c r="B10" s="114"/>
      <c r="C10" s="5" t="e">
        <f>IF($D$20&gt;$D$19,IF($D$20&gt;$D$21,M10,0),0)</f>
        <v>#REF!</v>
      </c>
      <c r="D10" s="23" t="e">
        <f t="shared" si="5"/>
        <v>#REF!</v>
      </c>
      <c r="E10" s="24">
        <f t="shared" si="1"/>
        <v>0</v>
      </c>
      <c r="F10" s="37">
        <f t="shared" si="6"/>
        <v>0</v>
      </c>
      <c r="G10" s="24" t="e">
        <f t="shared" si="2"/>
        <v>#REF!</v>
      </c>
      <c r="H10" s="114"/>
      <c r="I10" s="41" t="e">
        <f t="shared" si="7"/>
        <v>#REF!</v>
      </c>
      <c r="K10" s="110" t="s">
        <v>29</v>
      </c>
      <c r="L10" s="41">
        <f>'خطة الإمداد'!L47</f>
        <v>0</v>
      </c>
      <c r="M10" s="41">
        <f>'خطة الإمداد'!M47</f>
        <v>17</v>
      </c>
      <c r="N10" s="41">
        <f>'خطة الإمداد'!N47</f>
        <v>0</v>
      </c>
      <c r="O10" s="41">
        <f>'خطة الإمداد'!O47</f>
        <v>34</v>
      </c>
    </row>
    <row r="13" spans="1:15" ht="16.5" thickBot="1" x14ac:dyDescent="0.3">
      <c r="B13" s="8" t="s">
        <v>91</v>
      </c>
      <c r="C13" s="8"/>
      <c r="D13" s="8"/>
    </row>
    <row r="14" spans="1:15" ht="16.5" thickBot="1" x14ac:dyDescent="0.3">
      <c r="B14" s="572" t="s">
        <v>50</v>
      </c>
      <c r="C14" s="52" t="s">
        <v>83</v>
      </c>
      <c r="D14" s="57">
        <f>[1]مصرملخص!$D$6</f>
        <v>0</v>
      </c>
    </row>
    <row r="15" spans="1:15" ht="16.5" thickBot="1" x14ac:dyDescent="0.3">
      <c r="B15" s="573"/>
      <c r="C15" s="52" t="s">
        <v>93</v>
      </c>
      <c r="D15" s="57">
        <f>[1]التعاون.ملخص!$D$7</f>
        <v>149</v>
      </c>
    </row>
    <row r="16" spans="1:15" ht="16.5" thickBot="1" x14ac:dyDescent="0.3">
      <c r="B16" s="574"/>
      <c r="C16" s="52" t="s">
        <v>87</v>
      </c>
      <c r="D16" s="57" t="e">
        <f>[1]موبيل.ملخص!$D$8</f>
        <v>#REF!</v>
      </c>
    </row>
    <row r="17" spans="2:4" ht="16.5" thickBot="1" x14ac:dyDescent="0.3">
      <c r="B17" s="64">
        <v>80</v>
      </c>
      <c r="C17" s="55" t="s">
        <v>93</v>
      </c>
      <c r="D17" s="65">
        <f>[1]التعاون.ملخص!$D$8</f>
        <v>83</v>
      </c>
    </row>
    <row r="18" spans="2:4" ht="16.5" thickBot="1" x14ac:dyDescent="0.3">
      <c r="B18" s="64">
        <v>95</v>
      </c>
      <c r="C18" s="48" t="s">
        <v>87</v>
      </c>
      <c r="D18" s="67" t="e">
        <f>[1]موبيل.ملخص!$D$10</f>
        <v>#REF!</v>
      </c>
    </row>
    <row r="19" spans="2:4" ht="16.5" thickBot="1" x14ac:dyDescent="0.3">
      <c r="B19" s="572">
        <v>92</v>
      </c>
      <c r="C19" s="70" t="s">
        <v>83</v>
      </c>
      <c r="D19" s="71">
        <f>[1]مصرملخص!$D$7</f>
        <v>0</v>
      </c>
    </row>
    <row r="20" spans="2:4" ht="16.5" thickBot="1" x14ac:dyDescent="0.3">
      <c r="B20" s="573"/>
      <c r="C20" s="70" t="s">
        <v>93</v>
      </c>
      <c r="D20" s="71">
        <f>[1]التعاون.ملخص!$D$9</f>
        <v>215</v>
      </c>
    </row>
    <row r="21" spans="2:4" ht="16.5" thickBot="1" x14ac:dyDescent="0.3">
      <c r="B21" s="574"/>
      <c r="C21" s="70" t="s">
        <v>87</v>
      </c>
      <c r="D21" s="71" t="e">
        <f>[1]موبيل.ملخص!$D$9</f>
        <v>#REF!</v>
      </c>
    </row>
  </sheetData>
  <customSheetViews>
    <customSheetView guid="{18C0F7AC-4BB1-46DE-8A01-8E31FE0585FC}">
      <selection activeCell="D14" sqref="D14:D21"/>
      <pageMargins left="0.7" right="0.7" top="0.75" bottom="0.75" header="0.3" footer="0.3"/>
    </customSheetView>
    <customSheetView guid="{8317B6D8-8A99-4EB0-9DBC-8E9AE0170A4B}">
      <selection activeCell="A4" sqref="A4:I10"/>
      <pageMargins left="0.7" right="0.7" top="0.75" bottom="0.75" header="0.3" footer="0.3"/>
    </customSheetView>
  </customSheetViews>
  <mergeCells count="9">
    <mergeCell ref="C2:F2"/>
    <mergeCell ref="K5:K6"/>
    <mergeCell ref="B14:B16"/>
    <mergeCell ref="B19:B21"/>
    <mergeCell ref="A4:A6"/>
    <mergeCell ref="B4:I4"/>
    <mergeCell ref="B5:D5"/>
    <mergeCell ref="E5:F5"/>
    <mergeCell ref="G5:I5"/>
  </mergeCells>
  <conditionalFormatting sqref="L7:O10">
    <cfRule type="cellIs" dxfId="5" priority="1" operator="lessThan">
      <formula>1</formula>
    </cfRule>
    <cfRule type="cellIs" dxfId="4" priority="2" operator="greaterThan">
      <formula>1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tabColor theme="7"/>
  </sheetPr>
  <dimension ref="A1:I5"/>
  <sheetViews>
    <sheetView rightToLeft="1" workbookViewId="0">
      <selection activeCell="B2" sqref="B2:I5"/>
    </sheetView>
  </sheetViews>
  <sheetFormatPr defaultRowHeight="14.25" x14ac:dyDescent="0.2"/>
  <sheetData>
    <row r="1" spans="1:9" ht="15.75" customHeight="1" thickBot="1" x14ac:dyDescent="0.25">
      <c r="A1" s="130"/>
      <c r="B1" s="124" t="s">
        <v>5</v>
      </c>
      <c r="C1" s="124" t="s">
        <v>11</v>
      </c>
      <c r="D1" s="125" t="s">
        <v>50</v>
      </c>
      <c r="E1" s="135" t="s">
        <v>11</v>
      </c>
      <c r="F1" s="37" t="s">
        <v>50</v>
      </c>
      <c r="G1" s="121" t="s">
        <v>11</v>
      </c>
      <c r="H1" s="124" t="s">
        <v>12</v>
      </c>
      <c r="I1" s="124" t="s">
        <v>50</v>
      </c>
    </row>
    <row r="2" spans="1:9" ht="16.5" thickBot="1" x14ac:dyDescent="0.3">
      <c r="A2" s="130" t="s">
        <v>25</v>
      </c>
      <c r="B2" s="134">
        <f>'منطقة الاسكندرية'!B7</f>
        <v>0</v>
      </c>
      <c r="C2" s="5" t="e">
        <f>'منطقة الاسكندرية'!C7</f>
        <v>#REF!</v>
      </c>
      <c r="D2" s="23" t="e">
        <f>'منطقة الاسكندرية'!D7</f>
        <v>#REF!</v>
      </c>
      <c r="E2" s="24">
        <f>'منطقة الاسكندرية'!E7</f>
        <v>0</v>
      </c>
      <c r="F2" s="37">
        <f>'منطقة الاسكندرية'!F7</f>
        <v>0</v>
      </c>
      <c r="G2" s="24" t="e">
        <f>'منطقة الاسكندرية'!G7</f>
        <v>#REF!</v>
      </c>
      <c r="H2" s="5">
        <f>'منطقة الاسكندرية'!H7</f>
        <v>17</v>
      </c>
      <c r="I2" s="41" t="e">
        <f>'منطقة الاسكندرية'!I7</f>
        <v>#REF!</v>
      </c>
    </row>
    <row r="3" spans="1:9" ht="16.5" thickBot="1" x14ac:dyDescent="0.3">
      <c r="A3" s="130" t="s">
        <v>27</v>
      </c>
      <c r="B3" s="134">
        <f>'منطقة الاسكندرية'!B8</f>
        <v>0</v>
      </c>
      <c r="C3" s="5" t="e">
        <f>'منطقة الاسكندرية'!C8</f>
        <v>#REF!</v>
      </c>
      <c r="D3" s="25">
        <f>'منطقة الاسكندرية'!D8</f>
        <v>0</v>
      </c>
      <c r="E3" s="24">
        <f>'منطقة الاسكندرية'!E8</f>
        <v>0</v>
      </c>
      <c r="F3" s="38">
        <f>'منطقة الاسكندرية'!F8</f>
        <v>0</v>
      </c>
      <c r="G3" s="24" t="e">
        <f>'منطقة الاسكندرية'!G8</f>
        <v>#REF!</v>
      </c>
      <c r="H3" s="5">
        <f>'منطقة الاسكندرية'!H8</f>
        <v>17</v>
      </c>
      <c r="I3" s="80">
        <f>'منطقة الاسكندرية'!I8</f>
        <v>0</v>
      </c>
    </row>
    <row r="4" spans="1:9" ht="16.5" thickBot="1" x14ac:dyDescent="0.3">
      <c r="A4" s="130" t="s">
        <v>28</v>
      </c>
      <c r="B4" s="5">
        <f>'منطقة الاسكندرية'!B9</f>
        <v>0</v>
      </c>
      <c r="C4" s="5" t="e">
        <f>'منطقة الاسكندرية'!C9</f>
        <v>#REF!</v>
      </c>
      <c r="D4" s="23" t="e">
        <f>'منطقة الاسكندرية'!D9</f>
        <v>#REF!</v>
      </c>
      <c r="E4" s="24">
        <f>'منطقة الاسكندرية'!E9</f>
        <v>0</v>
      </c>
      <c r="F4" s="37">
        <f>'منطقة الاسكندرية'!F9</f>
        <v>0</v>
      </c>
      <c r="G4" s="24" t="e">
        <f>'منطقة الاسكندرية'!G9</f>
        <v>#REF!</v>
      </c>
      <c r="H4" s="134">
        <f>'منطقة الاسكندرية'!H9</f>
        <v>0</v>
      </c>
      <c r="I4" s="41" t="e">
        <f>'منطقة الاسكندرية'!I9</f>
        <v>#REF!</v>
      </c>
    </row>
    <row r="5" spans="1:9" ht="16.5" thickBot="1" x14ac:dyDescent="0.3">
      <c r="A5" s="130" t="s">
        <v>29</v>
      </c>
      <c r="B5" s="134">
        <f>'منطقة الاسكندرية'!B10</f>
        <v>0</v>
      </c>
      <c r="C5" s="5" t="e">
        <f>'منطقة الاسكندرية'!C10</f>
        <v>#REF!</v>
      </c>
      <c r="D5" s="23" t="e">
        <f>'منطقة الاسكندرية'!D10</f>
        <v>#REF!</v>
      </c>
      <c r="E5" s="24">
        <f>'منطقة الاسكندرية'!E10</f>
        <v>0</v>
      </c>
      <c r="F5" s="37">
        <f>'منطقة الاسكندرية'!F10</f>
        <v>0</v>
      </c>
      <c r="G5" s="24" t="e">
        <f>'منطقة الاسكندرية'!G10</f>
        <v>#REF!</v>
      </c>
      <c r="H5" s="134">
        <f>'منطقة الاسكندرية'!H10</f>
        <v>0</v>
      </c>
      <c r="I5" s="41" t="e">
        <f>'منطقة الاسكندرية'!I10</f>
        <v>#REF!</v>
      </c>
    </row>
  </sheetData>
  <customSheetViews>
    <customSheetView guid="{18C0F7AC-4BB1-46DE-8A01-8E31FE0585FC}" state="hidden">
      <selection activeCell="B2" sqref="B2:I5"/>
      <pageMargins left="0.7" right="0.7" top="0.75" bottom="0.75" header="0.3" footer="0.3"/>
    </customSheetView>
    <customSheetView guid="{8317B6D8-8A99-4EB0-9DBC-8E9AE0170A4B}" state="hidden">
      <selection activeCell="B2" sqref="B2:I5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R41"/>
  <sheetViews>
    <sheetView rightToLeft="1" zoomScale="73" zoomScaleNormal="73" workbookViewId="0">
      <pane xSplit="2" ySplit="6" topLeftCell="C25" activePane="bottomRight" state="frozen"/>
      <selection pane="topRight" activeCell="C1" sqref="C1"/>
      <selection pane="bottomLeft" activeCell="A7" sqref="A7"/>
      <selection pane="bottomRight" activeCell="A37" sqref="A37:XFD37"/>
    </sheetView>
  </sheetViews>
  <sheetFormatPr defaultRowHeight="14.25" x14ac:dyDescent="0.2"/>
  <cols>
    <col min="1" max="1" width="4.625" customWidth="1"/>
    <col min="2" max="2" width="9.375" customWidth="1"/>
    <col min="3" max="3" width="8.625" customWidth="1"/>
    <col min="5" max="5" width="8" customWidth="1"/>
    <col min="8" max="8" width="8" customWidth="1"/>
    <col min="11" max="11" width="8" customWidth="1"/>
    <col min="14" max="14" width="7.875" customWidth="1"/>
    <col min="15" max="15" width="9.375" bestFit="1" customWidth="1"/>
    <col min="16" max="16" width="7.375" customWidth="1"/>
    <col min="17" max="18" width="7.875" customWidth="1"/>
  </cols>
  <sheetData>
    <row r="1" spans="1:18" ht="18" x14ac:dyDescent="0.25">
      <c r="A1" s="411" t="s">
        <v>0</v>
      </c>
      <c r="B1" s="411"/>
      <c r="C1" s="411"/>
      <c r="D1" s="411"/>
      <c r="E1" s="411"/>
      <c r="Q1" s="409"/>
      <c r="R1" s="409"/>
    </row>
    <row r="2" spans="1:18" ht="15.75" x14ac:dyDescent="0.25">
      <c r="A2" s="411" t="s">
        <v>1</v>
      </c>
      <c r="B2" s="411"/>
      <c r="C2" s="411"/>
      <c r="D2" s="411"/>
      <c r="E2" s="411"/>
    </row>
    <row r="3" spans="1:18" ht="15.75" x14ac:dyDescent="0.25">
      <c r="A3" s="411" t="s">
        <v>2</v>
      </c>
      <c r="B3" s="411"/>
      <c r="C3" s="411"/>
      <c r="D3" s="411"/>
      <c r="E3" s="411"/>
    </row>
    <row r="4" spans="1:18" ht="48.75" customHeight="1" thickBot="1" x14ac:dyDescent="0.3">
      <c r="F4" s="408" t="s">
        <v>195</v>
      </c>
      <c r="G4" s="408"/>
      <c r="H4" s="408"/>
      <c r="I4" s="408"/>
      <c r="J4" s="408"/>
      <c r="K4" s="408"/>
      <c r="L4" s="408"/>
      <c r="M4" s="408"/>
      <c r="P4" s="408" t="s">
        <v>51</v>
      </c>
      <c r="Q4" s="408"/>
      <c r="R4" s="30"/>
    </row>
    <row r="5" spans="1:18" ht="20.100000000000001" customHeight="1" thickBot="1" x14ac:dyDescent="0.25">
      <c r="A5" s="418" t="s">
        <v>14</v>
      </c>
      <c r="B5" s="418" t="s">
        <v>3</v>
      </c>
      <c r="C5" s="399" t="s">
        <v>5</v>
      </c>
      <c r="D5" s="399"/>
      <c r="E5" s="399"/>
      <c r="F5" s="399" t="s">
        <v>11</v>
      </c>
      <c r="G5" s="399"/>
      <c r="H5" s="399"/>
      <c r="I5" s="399" t="s">
        <v>12</v>
      </c>
      <c r="J5" s="399"/>
      <c r="K5" s="399"/>
      <c r="L5" s="399" t="s">
        <v>50</v>
      </c>
      <c r="M5" s="399"/>
      <c r="N5" s="399"/>
      <c r="O5" s="406" t="s">
        <v>45</v>
      </c>
      <c r="P5" s="407"/>
      <c r="Q5" s="415" t="s">
        <v>49</v>
      </c>
    </row>
    <row r="6" spans="1:18" ht="20.100000000000001" customHeight="1" thickBot="1" x14ac:dyDescent="0.25">
      <c r="A6" s="418"/>
      <c r="B6" s="418"/>
      <c r="C6" s="3" t="s">
        <v>42</v>
      </c>
      <c r="D6" s="3" t="s">
        <v>43</v>
      </c>
      <c r="E6" s="3" t="s">
        <v>44</v>
      </c>
      <c r="F6" s="3" t="s">
        <v>42</v>
      </c>
      <c r="G6" s="3" t="s">
        <v>43</v>
      </c>
      <c r="H6" s="3" t="s">
        <v>44</v>
      </c>
      <c r="I6" s="3" t="s">
        <v>42</v>
      </c>
      <c r="J6" s="3" t="s">
        <v>43</v>
      </c>
      <c r="K6" s="3" t="s">
        <v>44</v>
      </c>
      <c r="L6" s="3" t="s">
        <v>42</v>
      </c>
      <c r="M6" s="3" t="s">
        <v>43</v>
      </c>
      <c r="N6" s="3" t="s">
        <v>44</v>
      </c>
      <c r="O6" s="3" t="s">
        <v>46</v>
      </c>
      <c r="P6" s="27" t="s">
        <v>74</v>
      </c>
      <c r="Q6" s="416"/>
    </row>
    <row r="7" spans="1:18" ht="20.100000000000001" customHeight="1" thickBot="1" x14ac:dyDescent="0.25">
      <c r="A7" s="31">
        <v>1</v>
      </c>
      <c r="B7" s="31" t="s">
        <v>15</v>
      </c>
      <c r="C7" s="6"/>
      <c r="D7" s="6"/>
      <c r="E7" s="6"/>
      <c r="F7" s="2">
        <f>'أخذ التمام الصباحي'!H5</f>
        <v>22359</v>
      </c>
      <c r="G7" s="2">
        <f>F7*6.75</f>
        <v>150923.25</v>
      </c>
      <c r="H7" s="2">
        <f>F7*0.33</f>
        <v>7378.47</v>
      </c>
      <c r="I7" s="2">
        <f>'أخذ التمام الصباحي'!K5</f>
        <v>6934</v>
      </c>
      <c r="J7" s="2">
        <f>I7*7.75</f>
        <v>53738.5</v>
      </c>
      <c r="K7" s="2">
        <f>I7*0.45</f>
        <v>3120.3</v>
      </c>
      <c r="L7" s="6"/>
      <c r="M7" s="6"/>
      <c r="N7" s="6"/>
      <c r="O7" s="7">
        <f>SUM(D7,G7,J7,M7)/100</f>
        <v>2046.6175000000001</v>
      </c>
      <c r="P7" s="10">
        <f>'أخذ التمام الصباحي'!Q5</f>
        <v>1950</v>
      </c>
      <c r="Q7" s="7">
        <f t="shared" ref="Q7:Q27" si="0">P7-O7</f>
        <v>-96.617500000000064</v>
      </c>
    </row>
    <row r="8" spans="1:18" ht="20.100000000000001" customHeight="1" thickBot="1" x14ac:dyDescent="0.25">
      <c r="A8" s="283">
        <v>2</v>
      </c>
      <c r="B8" s="283" t="s">
        <v>163</v>
      </c>
      <c r="C8" s="6"/>
      <c r="D8" s="6"/>
      <c r="E8" s="6"/>
      <c r="F8" s="287">
        <f>'أخذ التمام الصباحي'!H6</f>
        <v>29318</v>
      </c>
      <c r="G8" s="287">
        <f>F8*6.75</f>
        <v>197896.5</v>
      </c>
      <c r="H8" s="287">
        <f>F8*0.33</f>
        <v>9674.94</v>
      </c>
      <c r="I8" s="287">
        <f>'أخذ التمام الصباحي'!K6</f>
        <v>8457</v>
      </c>
      <c r="J8" s="287">
        <f>I8*7.75</f>
        <v>65541.75</v>
      </c>
      <c r="K8" s="287">
        <f>I8*0.45</f>
        <v>3805.65</v>
      </c>
      <c r="L8" s="6"/>
      <c r="M8" s="6"/>
      <c r="N8" s="6"/>
      <c r="O8" s="7">
        <f>SUM(D8,G8,J8,M8)/100</f>
        <v>2634.3825000000002</v>
      </c>
      <c r="P8" s="10">
        <f>'أخذ التمام الصباحي'!Q6</f>
        <v>2420</v>
      </c>
      <c r="Q8" s="7">
        <f t="shared" si="0"/>
        <v>-214.38250000000016</v>
      </c>
    </row>
    <row r="9" spans="1:18" ht="20.100000000000001" customHeight="1" thickBot="1" x14ac:dyDescent="0.25">
      <c r="A9" s="289">
        <v>3</v>
      </c>
      <c r="B9" s="289" t="s">
        <v>158</v>
      </c>
      <c r="C9" s="296">
        <f>'أخذ التمام الصباحي'!E7</f>
        <v>40233</v>
      </c>
      <c r="D9" s="5">
        <f t="shared" ref="D9" si="1">C9*5.5</f>
        <v>221281.5</v>
      </c>
      <c r="E9" s="5">
        <f>C9*0.25</f>
        <v>10058.25</v>
      </c>
      <c r="F9" s="292">
        <f>'أخذ التمام الصباحي'!H7</f>
        <v>21567</v>
      </c>
      <c r="G9" s="292">
        <f t="shared" ref="G9:G27" si="2">F9*6.75</f>
        <v>145577.25</v>
      </c>
      <c r="H9" s="292">
        <f t="shared" ref="H9:H27" si="3">F9*0.33</f>
        <v>7117.1100000000006</v>
      </c>
      <c r="I9" s="292">
        <f>'أخذ التمام الصباحي'!K7</f>
        <v>3363</v>
      </c>
      <c r="J9" s="292">
        <f t="shared" ref="J9:J27" si="4">I9*7.75</f>
        <v>26063.25</v>
      </c>
      <c r="K9" s="292">
        <f t="shared" ref="K9:K27" si="5">I9*0.45</f>
        <v>1513.3500000000001</v>
      </c>
      <c r="L9" s="292">
        <f>'أخذ التمام الصباحي'!N7</f>
        <v>0</v>
      </c>
      <c r="M9" s="292">
        <f t="shared" ref="M9" si="6">L9*5.5</f>
        <v>0</v>
      </c>
      <c r="N9" s="292">
        <f>L9*0.26</f>
        <v>0</v>
      </c>
      <c r="O9" s="7">
        <f>SUM(D9,G9,J9,M9)/100</f>
        <v>3929.22</v>
      </c>
      <c r="P9" s="10">
        <f>'أخذ التمام الصباحي'!Q7</f>
        <v>3573</v>
      </c>
      <c r="Q9" s="7">
        <f t="shared" si="0"/>
        <v>-356.2199999999998</v>
      </c>
    </row>
    <row r="10" spans="1:18" ht="20.100000000000001" customHeight="1" thickBot="1" x14ac:dyDescent="0.25">
      <c r="A10" s="289">
        <v>4</v>
      </c>
      <c r="B10" s="31" t="s">
        <v>16</v>
      </c>
      <c r="C10" s="2">
        <f>'أخذ التمام الصباحي'!E8</f>
        <v>3084</v>
      </c>
      <c r="D10" s="5">
        <f t="shared" ref="D10:D22" si="7">C10*5.5</f>
        <v>16962</v>
      </c>
      <c r="E10" s="5">
        <f>C10*0.25</f>
        <v>771</v>
      </c>
      <c r="F10" s="292">
        <f>'أخذ التمام الصباحي'!H8</f>
        <v>24229</v>
      </c>
      <c r="G10" s="292">
        <f t="shared" si="2"/>
        <v>163545.75</v>
      </c>
      <c r="H10" s="292">
        <f t="shared" si="3"/>
        <v>7995.5700000000006</v>
      </c>
      <c r="I10" s="292">
        <f>'أخذ التمام الصباحي'!K8</f>
        <v>7116</v>
      </c>
      <c r="J10" s="292">
        <f t="shared" si="4"/>
        <v>55149</v>
      </c>
      <c r="K10" s="292">
        <f t="shared" si="5"/>
        <v>3202.2000000000003</v>
      </c>
      <c r="L10" s="2">
        <f>'أخذ التمام الصباحي'!N8</f>
        <v>5677</v>
      </c>
      <c r="M10" s="2">
        <f t="shared" ref="M10:M27" si="8">L10*5.5</f>
        <v>31223.5</v>
      </c>
      <c r="N10" s="2">
        <f>L10*0.26</f>
        <v>1476.02</v>
      </c>
      <c r="O10" s="7">
        <f t="shared" ref="O10:O27" si="9">SUM(D10,G10,J10,M10)/100</f>
        <v>2668.8024999999998</v>
      </c>
      <c r="P10" s="10">
        <f>'أخذ التمام الصباحي'!Q8</f>
        <v>3350</v>
      </c>
      <c r="Q10" s="7">
        <f t="shared" si="0"/>
        <v>681.19750000000022</v>
      </c>
    </row>
    <row r="11" spans="1:18" ht="20.100000000000001" customHeight="1" thickBot="1" x14ac:dyDescent="0.25">
      <c r="A11" s="289">
        <v>5</v>
      </c>
      <c r="B11" s="31" t="s">
        <v>17</v>
      </c>
      <c r="C11" s="11">
        <f>'أخذ التمام الصباحي'!E9</f>
        <v>0</v>
      </c>
      <c r="D11" s="5">
        <f t="shared" si="7"/>
        <v>0</v>
      </c>
      <c r="E11" s="5">
        <f t="shared" ref="E11:E13" si="10">C11*0.25</f>
        <v>0</v>
      </c>
      <c r="F11" s="292">
        <f>'أخذ التمام الصباحي'!H9</f>
        <v>36534</v>
      </c>
      <c r="G11" s="292">
        <f t="shared" si="2"/>
        <v>246604.5</v>
      </c>
      <c r="H11" s="292">
        <f t="shared" si="3"/>
        <v>12056.220000000001</v>
      </c>
      <c r="I11" s="292">
        <f>'أخذ التمام الصباحي'!K9</f>
        <v>9663</v>
      </c>
      <c r="J11" s="292">
        <f t="shared" si="4"/>
        <v>74888.25</v>
      </c>
      <c r="K11" s="292">
        <f t="shared" si="5"/>
        <v>4348.3500000000004</v>
      </c>
      <c r="L11" s="6"/>
      <c r="M11" s="6"/>
      <c r="N11" s="6"/>
      <c r="O11" s="7">
        <f t="shared" si="9"/>
        <v>3214.9274999999998</v>
      </c>
      <c r="P11" s="10">
        <f>'أخذ التمام الصباحي'!Q9</f>
        <v>3020</v>
      </c>
      <c r="Q11" s="7">
        <f t="shared" si="0"/>
        <v>-194.92749999999978</v>
      </c>
    </row>
    <row r="12" spans="1:18" ht="20.100000000000001" customHeight="1" thickBot="1" x14ac:dyDescent="0.25">
      <c r="A12" s="289">
        <v>6</v>
      </c>
      <c r="B12" s="31" t="s">
        <v>18</v>
      </c>
      <c r="C12" s="11">
        <f>'أخذ التمام الصباحي'!E10</f>
        <v>4137</v>
      </c>
      <c r="D12" s="5">
        <f t="shared" si="7"/>
        <v>22753.5</v>
      </c>
      <c r="E12" s="5">
        <f t="shared" si="10"/>
        <v>1034.25</v>
      </c>
      <c r="F12" s="292">
        <f>'أخذ التمام الصباحي'!H10</f>
        <v>25545</v>
      </c>
      <c r="G12" s="292">
        <f t="shared" si="2"/>
        <v>172428.75</v>
      </c>
      <c r="H12" s="292">
        <f t="shared" si="3"/>
        <v>8429.85</v>
      </c>
      <c r="I12" s="6"/>
      <c r="J12" s="6"/>
      <c r="K12" s="6"/>
      <c r="L12" s="20">
        <f>'أخذ التمام الصباحي'!N10</f>
        <v>9054</v>
      </c>
      <c r="M12" s="2">
        <f t="shared" si="8"/>
        <v>49797</v>
      </c>
      <c r="N12" s="2">
        <f>L12*0.26</f>
        <v>2354.04</v>
      </c>
      <c r="O12" s="7">
        <f t="shared" si="9"/>
        <v>2449.7925</v>
      </c>
      <c r="P12" s="10">
        <f>'أخذ التمام الصباحي'!Q10</f>
        <v>2800</v>
      </c>
      <c r="Q12" s="7">
        <f t="shared" si="0"/>
        <v>350.20749999999998</v>
      </c>
    </row>
    <row r="13" spans="1:18" ht="20.100000000000001" customHeight="1" thickBot="1" x14ac:dyDescent="0.25">
      <c r="A13" s="289">
        <v>7</v>
      </c>
      <c r="B13" s="31" t="s">
        <v>19</v>
      </c>
      <c r="C13" s="11">
        <f>'أخذ التمام الصباحي'!E11</f>
        <v>5831</v>
      </c>
      <c r="D13" s="5">
        <f t="shared" si="7"/>
        <v>32070.5</v>
      </c>
      <c r="E13" s="5">
        <f t="shared" si="10"/>
        <v>1457.75</v>
      </c>
      <c r="F13" s="292">
        <f>'أخذ التمام الصباحي'!H11</f>
        <v>18007</v>
      </c>
      <c r="G13" s="292">
        <f t="shared" si="2"/>
        <v>121547.25</v>
      </c>
      <c r="H13" s="292">
        <f t="shared" si="3"/>
        <v>5942.31</v>
      </c>
      <c r="I13" s="6"/>
      <c r="J13" s="6"/>
      <c r="K13" s="6"/>
      <c r="L13" s="20">
        <f>'أخذ التمام الصباحي'!N11</f>
        <v>19881</v>
      </c>
      <c r="M13" s="2">
        <f t="shared" si="8"/>
        <v>109345.5</v>
      </c>
      <c r="N13" s="2">
        <f>L13*0.26</f>
        <v>5169.0600000000004</v>
      </c>
      <c r="O13" s="7">
        <f t="shared" si="9"/>
        <v>2629.6325000000002</v>
      </c>
      <c r="P13" s="10">
        <f>'أخذ التمام الصباحي'!Q11</f>
        <v>2860</v>
      </c>
      <c r="Q13" s="7">
        <f t="shared" si="0"/>
        <v>230.36749999999984</v>
      </c>
    </row>
    <row r="14" spans="1:18" ht="20.100000000000001" customHeight="1" thickBot="1" x14ac:dyDescent="0.25">
      <c r="A14" s="289">
        <v>8</v>
      </c>
      <c r="B14" s="31" t="s">
        <v>20</v>
      </c>
      <c r="C14" s="6"/>
      <c r="D14" s="6"/>
      <c r="E14" s="6"/>
      <c r="F14" s="292">
        <f>'أخذ التمام الصباحي'!H12</f>
        <v>38169</v>
      </c>
      <c r="G14" s="292">
        <f t="shared" si="2"/>
        <v>257640.75</v>
      </c>
      <c r="H14" s="292">
        <f t="shared" si="3"/>
        <v>12595.77</v>
      </c>
      <c r="I14" s="292">
        <f>'أخذ التمام الصباحي'!K12</f>
        <v>10831</v>
      </c>
      <c r="J14" s="292">
        <f t="shared" si="4"/>
        <v>83940.25</v>
      </c>
      <c r="K14" s="292">
        <f t="shared" si="5"/>
        <v>4873.95</v>
      </c>
      <c r="L14" s="6"/>
      <c r="M14" s="6"/>
      <c r="N14" s="6"/>
      <c r="O14" s="7">
        <f t="shared" si="9"/>
        <v>3415.81</v>
      </c>
      <c r="P14" s="10">
        <f>'أخذ التمام الصباحي'!Q12</f>
        <v>3010</v>
      </c>
      <c r="Q14" s="7">
        <f t="shared" si="0"/>
        <v>-405.80999999999995</v>
      </c>
    </row>
    <row r="15" spans="1:18" ht="20.100000000000001" customHeight="1" thickBot="1" x14ac:dyDescent="0.25">
      <c r="A15" s="289">
        <v>9</v>
      </c>
      <c r="B15" s="31" t="s">
        <v>21</v>
      </c>
      <c r="C15" s="6"/>
      <c r="D15" s="6"/>
      <c r="E15" s="6"/>
      <c r="F15" s="292">
        <f>'أخذ التمام الصباحي'!H13</f>
        <v>36828</v>
      </c>
      <c r="G15" s="292">
        <f t="shared" si="2"/>
        <v>248589</v>
      </c>
      <c r="H15" s="292">
        <f t="shared" si="3"/>
        <v>12153.24</v>
      </c>
      <c r="I15" s="292">
        <f>'أخذ التمام الصباحي'!K13</f>
        <v>11550</v>
      </c>
      <c r="J15" s="292">
        <f t="shared" si="4"/>
        <v>89512.5</v>
      </c>
      <c r="K15" s="292">
        <f t="shared" si="5"/>
        <v>5197.5</v>
      </c>
      <c r="L15" s="20">
        <f>'أخذ التمام الصباحي'!N13</f>
        <v>35424</v>
      </c>
      <c r="M15" s="2">
        <f t="shared" si="8"/>
        <v>194832</v>
      </c>
      <c r="N15" s="2">
        <f>L15*0.26</f>
        <v>9210.24</v>
      </c>
      <c r="O15" s="7">
        <f t="shared" si="9"/>
        <v>5329.335</v>
      </c>
      <c r="P15" s="10">
        <f>'أخذ التمام الصباحي'!Q13</f>
        <v>0</v>
      </c>
      <c r="Q15" s="7">
        <f t="shared" si="0"/>
        <v>-5329.335</v>
      </c>
    </row>
    <row r="16" spans="1:18" ht="20.100000000000001" customHeight="1" thickBot="1" x14ac:dyDescent="0.25">
      <c r="A16" s="289">
        <v>10</v>
      </c>
      <c r="B16" s="31" t="s">
        <v>22</v>
      </c>
      <c r="C16" s="6"/>
      <c r="D16" s="6"/>
      <c r="E16" s="6"/>
      <c r="F16" s="292">
        <f>'أخذ التمام الصباحي'!H14</f>
        <v>8804</v>
      </c>
      <c r="G16" s="292">
        <f t="shared" si="2"/>
        <v>59427</v>
      </c>
      <c r="H16" s="292">
        <f t="shared" si="3"/>
        <v>2905.32</v>
      </c>
      <c r="I16" s="292">
        <f>'أخذ التمام الصباحي'!K14</f>
        <v>4109</v>
      </c>
      <c r="J16" s="292">
        <f t="shared" si="4"/>
        <v>31844.75</v>
      </c>
      <c r="K16" s="292">
        <f t="shared" si="5"/>
        <v>1849.05</v>
      </c>
      <c r="L16" s="20">
        <f>'أخذ التمام الصباحي'!N14</f>
        <v>56756</v>
      </c>
      <c r="M16" s="2">
        <f t="shared" si="8"/>
        <v>312158</v>
      </c>
      <c r="N16" s="139">
        <f>L16*0.26</f>
        <v>14756.560000000001</v>
      </c>
      <c r="O16" s="7">
        <f t="shared" si="9"/>
        <v>4034.2975000000001</v>
      </c>
      <c r="P16" s="10">
        <f>'أخذ التمام الصباحي'!Q14</f>
        <v>6234</v>
      </c>
      <c r="Q16" s="7">
        <f t="shared" si="0"/>
        <v>2199.7024999999999</v>
      </c>
    </row>
    <row r="17" spans="1:17" ht="20.100000000000001" customHeight="1" thickBot="1" x14ac:dyDescent="0.25">
      <c r="A17" s="289">
        <v>11</v>
      </c>
      <c r="B17" s="31" t="s">
        <v>23</v>
      </c>
      <c r="C17" s="6"/>
      <c r="D17" s="6"/>
      <c r="E17" s="6"/>
      <c r="F17" s="292">
        <f>'أخذ التمام الصباحي'!H15</f>
        <v>7384</v>
      </c>
      <c r="G17" s="292">
        <f t="shared" si="2"/>
        <v>49842</v>
      </c>
      <c r="H17" s="292">
        <f t="shared" si="3"/>
        <v>2436.7200000000003</v>
      </c>
      <c r="I17" s="292">
        <f>'أخذ التمام الصباحي'!K15</f>
        <v>1840</v>
      </c>
      <c r="J17" s="292">
        <f t="shared" si="4"/>
        <v>14260</v>
      </c>
      <c r="K17" s="292">
        <f t="shared" si="5"/>
        <v>828</v>
      </c>
      <c r="L17" s="20">
        <f>'أخذ التمام الصباحي'!N15</f>
        <v>2711</v>
      </c>
      <c r="M17" s="2">
        <f t="shared" si="8"/>
        <v>14910.5</v>
      </c>
      <c r="N17" s="139">
        <f>L17*0.26</f>
        <v>704.86</v>
      </c>
      <c r="O17" s="7">
        <f t="shared" si="9"/>
        <v>790.125</v>
      </c>
      <c r="P17" s="10">
        <f>'أخذ التمام الصباحي'!Q15</f>
        <v>1181</v>
      </c>
      <c r="Q17" s="7">
        <f t="shared" si="0"/>
        <v>390.875</v>
      </c>
    </row>
    <row r="18" spans="1:17" ht="20.100000000000001" customHeight="1" thickBot="1" x14ac:dyDescent="0.25">
      <c r="A18" s="289">
        <v>12</v>
      </c>
      <c r="B18" s="31" t="s">
        <v>24</v>
      </c>
      <c r="C18" s="6"/>
      <c r="D18" s="6"/>
      <c r="E18" s="6"/>
      <c r="F18" s="292">
        <f>'أخذ التمام الصباحي'!H16</f>
        <v>3022</v>
      </c>
      <c r="G18" s="292">
        <f t="shared" si="2"/>
        <v>20398.5</v>
      </c>
      <c r="H18" s="292">
        <f t="shared" si="3"/>
        <v>997.26</v>
      </c>
      <c r="I18" s="292">
        <f>'أخذ التمام الصباحي'!K16</f>
        <v>1328</v>
      </c>
      <c r="J18" s="292">
        <f t="shared" si="4"/>
        <v>10292</v>
      </c>
      <c r="K18" s="292">
        <f t="shared" si="5"/>
        <v>597.6</v>
      </c>
      <c r="L18" s="6"/>
      <c r="M18" s="6"/>
      <c r="N18" s="6"/>
      <c r="O18" s="7">
        <f t="shared" si="9"/>
        <v>306.90499999999997</v>
      </c>
      <c r="P18" s="10">
        <f>'أخذ التمام الصباحي'!Q16</f>
        <v>366</v>
      </c>
      <c r="Q18" s="7">
        <f t="shared" si="0"/>
        <v>59.095000000000027</v>
      </c>
    </row>
    <row r="19" spans="1:17" ht="20.100000000000001" customHeight="1" thickBot="1" x14ac:dyDescent="0.25">
      <c r="A19" s="289">
        <v>13</v>
      </c>
      <c r="B19" s="31" t="s">
        <v>26</v>
      </c>
      <c r="C19" s="6"/>
      <c r="D19" s="6"/>
      <c r="E19" s="6"/>
      <c r="F19" s="292">
        <f>'أخذ التمام الصباحي'!H17</f>
        <v>3845</v>
      </c>
      <c r="G19" s="292">
        <f t="shared" si="2"/>
        <v>25953.75</v>
      </c>
      <c r="H19" s="292">
        <f t="shared" si="3"/>
        <v>1268.8500000000001</v>
      </c>
      <c r="I19" s="292">
        <f>'أخذ التمام الصباحي'!K17</f>
        <v>1139</v>
      </c>
      <c r="J19" s="292">
        <f t="shared" si="4"/>
        <v>8827.25</v>
      </c>
      <c r="K19" s="292">
        <f t="shared" si="5"/>
        <v>512.55000000000007</v>
      </c>
      <c r="L19" s="20">
        <f>'أخذ التمام الصباحي'!N17</f>
        <v>7460</v>
      </c>
      <c r="M19" s="2">
        <f t="shared" si="8"/>
        <v>41030</v>
      </c>
      <c r="N19" s="2">
        <f>L19*0.26</f>
        <v>1939.6000000000001</v>
      </c>
      <c r="O19" s="7">
        <f t="shared" si="9"/>
        <v>758.11</v>
      </c>
      <c r="P19" s="10">
        <f>'أخذ التمام الصباحي'!Q17</f>
        <v>1421</v>
      </c>
      <c r="Q19" s="7">
        <f t="shared" si="0"/>
        <v>662.89</v>
      </c>
    </row>
    <row r="20" spans="1:17" ht="20.100000000000001" customHeight="1" thickBot="1" x14ac:dyDescent="0.25">
      <c r="A20" s="289">
        <v>14</v>
      </c>
      <c r="B20" s="31" t="s">
        <v>25</v>
      </c>
      <c r="C20" s="6"/>
      <c r="D20" s="6"/>
      <c r="E20" s="6"/>
      <c r="F20" s="292">
        <f>'أخذ التمام الصباحي'!H18</f>
        <v>15877</v>
      </c>
      <c r="G20" s="292">
        <f t="shared" si="2"/>
        <v>107169.75</v>
      </c>
      <c r="H20" s="292">
        <f t="shared" si="3"/>
        <v>5239.41</v>
      </c>
      <c r="I20" s="292">
        <f>'أخذ التمام الصباحي'!K18</f>
        <v>3348</v>
      </c>
      <c r="J20" s="292">
        <f t="shared" si="4"/>
        <v>25947</v>
      </c>
      <c r="K20" s="292">
        <f t="shared" si="5"/>
        <v>1506.6000000000001</v>
      </c>
      <c r="L20" s="20">
        <f>'أخذ التمام الصباحي'!N18</f>
        <v>25157</v>
      </c>
      <c r="M20" s="2">
        <f t="shared" si="8"/>
        <v>138363.5</v>
      </c>
      <c r="N20" s="139">
        <f>L20*0.26</f>
        <v>6540.8200000000006</v>
      </c>
      <c r="O20" s="7">
        <f t="shared" si="9"/>
        <v>2714.8024999999998</v>
      </c>
      <c r="P20" s="10">
        <f>'أخذ التمام الصباحي'!Q18</f>
        <v>3470</v>
      </c>
      <c r="Q20" s="7">
        <f t="shared" si="0"/>
        <v>755.19750000000022</v>
      </c>
    </row>
    <row r="21" spans="1:17" ht="20.100000000000001" customHeight="1" thickBot="1" x14ac:dyDescent="0.25">
      <c r="A21" s="289">
        <v>15</v>
      </c>
      <c r="B21" s="31" t="s">
        <v>27</v>
      </c>
      <c r="C21" s="6"/>
      <c r="D21" s="6"/>
      <c r="E21" s="6"/>
      <c r="F21" s="292">
        <f>'أخذ التمام الصباحي'!H19</f>
        <v>7785</v>
      </c>
      <c r="G21" s="292">
        <f t="shared" si="2"/>
        <v>52548.75</v>
      </c>
      <c r="H21" s="292">
        <f t="shared" si="3"/>
        <v>2569.0500000000002</v>
      </c>
      <c r="I21" s="292">
        <f>'أخذ التمام الصباحي'!K19</f>
        <v>1543</v>
      </c>
      <c r="J21" s="292">
        <f t="shared" si="4"/>
        <v>11958.25</v>
      </c>
      <c r="K21" s="292">
        <f t="shared" si="5"/>
        <v>694.35</v>
      </c>
      <c r="L21" s="6"/>
      <c r="M21" s="6"/>
      <c r="N21" s="6"/>
      <c r="O21" s="7">
        <f t="shared" si="9"/>
        <v>645.07000000000005</v>
      </c>
      <c r="P21" s="10">
        <f>'أخذ التمام الصباحي'!Q19</f>
        <v>660</v>
      </c>
      <c r="Q21" s="7">
        <f t="shared" si="0"/>
        <v>14.92999999999995</v>
      </c>
    </row>
    <row r="22" spans="1:17" ht="20.100000000000001" customHeight="1" thickBot="1" x14ac:dyDescent="0.25">
      <c r="A22" s="289">
        <v>16</v>
      </c>
      <c r="B22" s="31" t="s">
        <v>28</v>
      </c>
      <c r="C22" s="2">
        <f>'أخذ التمام الصباحي'!E20</f>
        <v>613</v>
      </c>
      <c r="D22" s="5">
        <f t="shared" si="7"/>
        <v>3371.5</v>
      </c>
      <c r="E22" s="5">
        <f>C22*0.25</f>
        <v>153.25</v>
      </c>
      <c r="F22" s="292">
        <f>'أخذ التمام الصباحي'!H20</f>
        <v>1282</v>
      </c>
      <c r="G22" s="292">
        <f t="shared" si="2"/>
        <v>8653.5</v>
      </c>
      <c r="H22" s="292">
        <f t="shared" si="3"/>
        <v>423.06</v>
      </c>
      <c r="I22" s="6"/>
      <c r="J22" s="6"/>
      <c r="K22" s="6"/>
      <c r="L22" s="20">
        <f>'أخذ التمام الصباحي'!N20</f>
        <v>9020</v>
      </c>
      <c r="M22" s="2">
        <f t="shared" si="8"/>
        <v>49610</v>
      </c>
      <c r="N22" s="2">
        <f t="shared" ref="N22:N27" si="11">L22*0.26</f>
        <v>2345.2000000000003</v>
      </c>
      <c r="O22" s="7">
        <f t="shared" si="9"/>
        <v>616.35</v>
      </c>
      <c r="P22" s="10">
        <f>'أخذ التمام الصباحي'!Q20</f>
        <v>800</v>
      </c>
      <c r="Q22" s="7">
        <f t="shared" si="0"/>
        <v>183.64999999999998</v>
      </c>
    </row>
    <row r="23" spans="1:17" ht="20.100000000000001" customHeight="1" thickBot="1" x14ac:dyDescent="0.25">
      <c r="A23" s="289">
        <v>17</v>
      </c>
      <c r="B23" s="31" t="s">
        <v>29</v>
      </c>
      <c r="C23" s="6"/>
      <c r="D23" s="6"/>
      <c r="E23" s="6"/>
      <c r="F23" s="292">
        <f>'أخذ التمام الصباحي'!H21</f>
        <v>2645</v>
      </c>
      <c r="G23" s="292">
        <f t="shared" si="2"/>
        <v>17853.75</v>
      </c>
      <c r="H23" s="292">
        <f t="shared" si="3"/>
        <v>872.85</v>
      </c>
      <c r="I23" s="6"/>
      <c r="J23" s="6"/>
      <c r="K23" s="6"/>
      <c r="L23" s="20">
        <f>'أخذ التمام الصباحي'!N21</f>
        <v>4734</v>
      </c>
      <c r="M23" s="2">
        <f t="shared" si="8"/>
        <v>26037</v>
      </c>
      <c r="N23" s="183">
        <f t="shared" si="11"/>
        <v>1230.8400000000001</v>
      </c>
      <c r="O23" s="7">
        <f t="shared" si="9"/>
        <v>438.90750000000003</v>
      </c>
      <c r="P23" s="10">
        <f>'أخذ التمام الصباحي'!Q21</f>
        <v>500</v>
      </c>
      <c r="Q23" s="7">
        <f t="shared" si="0"/>
        <v>61.092499999999973</v>
      </c>
    </row>
    <row r="24" spans="1:17" ht="20.100000000000001" customHeight="1" thickBot="1" x14ac:dyDescent="0.25">
      <c r="A24" s="289">
        <v>18</v>
      </c>
      <c r="B24" s="31" t="s">
        <v>30</v>
      </c>
      <c r="C24" s="6"/>
      <c r="D24" s="6"/>
      <c r="E24" s="6"/>
      <c r="F24" s="292">
        <f>'أخذ التمام الصباحي'!H22</f>
        <v>14052</v>
      </c>
      <c r="G24" s="292">
        <f t="shared" si="2"/>
        <v>94851</v>
      </c>
      <c r="H24" s="292">
        <f t="shared" si="3"/>
        <v>4637.16</v>
      </c>
      <c r="I24" s="292">
        <f>'أخذ التمام الصباحي'!K22</f>
        <v>2039</v>
      </c>
      <c r="J24" s="292">
        <f t="shared" si="4"/>
        <v>15802.25</v>
      </c>
      <c r="K24" s="292">
        <f t="shared" si="5"/>
        <v>917.55000000000007</v>
      </c>
      <c r="L24" s="20">
        <f>'أخذ التمام الصباحي'!N22</f>
        <v>63231</v>
      </c>
      <c r="M24" s="2">
        <f t="shared" si="8"/>
        <v>347770.5</v>
      </c>
      <c r="N24" s="183">
        <f t="shared" si="11"/>
        <v>16440.060000000001</v>
      </c>
      <c r="O24" s="7">
        <f t="shared" si="9"/>
        <v>4584.2375000000002</v>
      </c>
      <c r="P24" s="10">
        <f>'أخذ التمام الصباحي'!Q22</f>
        <v>6460</v>
      </c>
      <c r="Q24" s="7">
        <f t="shared" si="0"/>
        <v>1875.7624999999998</v>
      </c>
    </row>
    <row r="25" spans="1:17" ht="20.100000000000001" customHeight="1" thickBot="1" x14ac:dyDescent="0.25">
      <c r="A25" s="289">
        <v>19</v>
      </c>
      <c r="B25" s="31" t="s">
        <v>31</v>
      </c>
      <c r="C25" s="6"/>
      <c r="D25" s="6"/>
      <c r="E25" s="6"/>
      <c r="F25" s="292">
        <f>'أخذ التمام الصباحي'!H23</f>
        <v>14729</v>
      </c>
      <c r="G25" s="292">
        <f t="shared" si="2"/>
        <v>99420.75</v>
      </c>
      <c r="H25" s="292">
        <f t="shared" si="3"/>
        <v>4860.5700000000006</v>
      </c>
      <c r="I25" s="292">
        <f>'أخذ التمام الصباحي'!K23</f>
        <v>2735</v>
      </c>
      <c r="J25" s="292">
        <f t="shared" si="4"/>
        <v>21196.25</v>
      </c>
      <c r="K25" s="292">
        <f t="shared" si="5"/>
        <v>1230.75</v>
      </c>
      <c r="L25" s="20">
        <f>'أخذ التمام الصباحي'!N23</f>
        <v>47146</v>
      </c>
      <c r="M25" s="2">
        <f t="shared" si="8"/>
        <v>259303</v>
      </c>
      <c r="N25" s="183">
        <f t="shared" si="11"/>
        <v>12257.960000000001</v>
      </c>
      <c r="O25" s="7">
        <f t="shared" si="9"/>
        <v>3799.2</v>
      </c>
      <c r="P25" s="10">
        <f>'أخذ التمام الصباحي'!Q23</f>
        <v>5080</v>
      </c>
      <c r="Q25" s="7">
        <f t="shared" si="0"/>
        <v>1280.8000000000002</v>
      </c>
    </row>
    <row r="26" spans="1:17" ht="20.100000000000001" customHeight="1" thickBot="1" x14ac:dyDescent="0.25">
      <c r="A26" s="289">
        <v>20</v>
      </c>
      <c r="B26" s="31" t="s">
        <v>32</v>
      </c>
      <c r="C26" s="6"/>
      <c r="D26" s="6"/>
      <c r="E26" s="6"/>
      <c r="F26" s="292">
        <f>'أخذ التمام الصباحي'!H24</f>
        <v>11216</v>
      </c>
      <c r="G26" s="292">
        <f t="shared" si="2"/>
        <v>75708</v>
      </c>
      <c r="H26" s="292">
        <f t="shared" si="3"/>
        <v>3701.28</v>
      </c>
      <c r="I26" s="292">
        <f>'أخذ التمام الصباحي'!K24</f>
        <v>1874</v>
      </c>
      <c r="J26" s="292">
        <f t="shared" si="4"/>
        <v>14523.5</v>
      </c>
      <c r="K26" s="292">
        <f t="shared" si="5"/>
        <v>843.30000000000007</v>
      </c>
      <c r="L26" s="20">
        <f>'أخذ التمام الصباحي'!N24</f>
        <v>32108</v>
      </c>
      <c r="M26" s="2">
        <f t="shared" si="8"/>
        <v>176594</v>
      </c>
      <c r="N26" s="183">
        <f t="shared" si="11"/>
        <v>8348.08</v>
      </c>
      <c r="O26" s="7">
        <f t="shared" si="9"/>
        <v>2668.2550000000001</v>
      </c>
      <c r="P26" s="10">
        <f>'أخذ التمام الصباحي'!Q24</f>
        <v>2218</v>
      </c>
      <c r="Q26" s="7">
        <f t="shared" si="0"/>
        <v>-450.25500000000011</v>
      </c>
    </row>
    <row r="27" spans="1:17" ht="25.5" customHeight="1" thickBot="1" x14ac:dyDescent="0.25">
      <c r="A27" s="289">
        <v>21</v>
      </c>
      <c r="B27" s="31" t="s">
        <v>33</v>
      </c>
      <c r="C27" s="6"/>
      <c r="D27" s="6"/>
      <c r="E27" s="6"/>
      <c r="F27" s="292">
        <f>'أخذ التمام الصباحي'!H25</f>
        <v>8718</v>
      </c>
      <c r="G27" s="292">
        <f t="shared" si="2"/>
        <v>58846.5</v>
      </c>
      <c r="H27" s="292">
        <f t="shared" si="3"/>
        <v>2876.94</v>
      </c>
      <c r="I27" s="292">
        <f>'أخذ التمام الصباحي'!K25</f>
        <v>1515</v>
      </c>
      <c r="J27" s="292">
        <f t="shared" si="4"/>
        <v>11741.25</v>
      </c>
      <c r="K27" s="292">
        <f t="shared" si="5"/>
        <v>681.75</v>
      </c>
      <c r="L27" s="20">
        <f>'أخذ التمام الصباحي'!N25</f>
        <v>27913</v>
      </c>
      <c r="M27" s="2">
        <f t="shared" si="8"/>
        <v>153521.5</v>
      </c>
      <c r="N27" s="183">
        <f t="shared" si="11"/>
        <v>7257.38</v>
      </c>
      <c r="O27" s="7">
        <f t="shared" si="9"/>
        <v>2241.0925000000002</v>
      </c>
      <c r="P27" s="10">
        <f>'أخذ التمام الصباحي'!Q25</f>
        <v>3115</v>
      </c>
      <c r="Q27" s="7">
        <f t="shared" si="0"/>
        <v>873.9074999999998</v>
      </c>
    </row>
    <row r="28" spans="1:17" ht="25.5" customHeight="1" thickBot="1" x14ac:dyDescent="0.25">
      <c r="A28" s="298">
        <v>22</v>
      </c>
      <c r="B28" s="298" t="s">
        <v>112</v>
      </c>
      <c r="C28" s="303">
        <f>'أخذ التمام الصباحي'!E26</f>
        <v>4567</v>
      </c>
      <c r="D28" s="5">
        <f t="shared" ref="D28" si="12">C28*5.5</f>
        <v>25118.5</v>
      </c>
      <c r="E28" s="5">
        <f t="shared" ref="E28" si="13">C28*0.25</f>
        <v>1141.75</v>
      </c>
      <c r="F28" s="301">
        <f>'أخذ التمام الصباحي'!H26</f>
        <v>9440</v>
      </c>
      <c r="G28" s="301">
        <f t="shared" ref="G28" si="14">F28*6.75</f>
        <v>63720</v>
      </c>
      <c r="H28" s="301">
        <f t="shared" ref="H28" si="15">F28*0.33</f>
        <v>3115.2000000000003</v>
      </c>
      <c r="I28" s="301">
        <f>'أخذ التمام الصباحي'!K26</f>
        <v>1823</v>
      </c>
      <c r="J28" s="301">
        <f t="shared" ref="J28" si="16">I28*7.75</f>
        <v>14128.25</v>
      </c>
      <c r="K28" s="301">
        <f t="shared" ref="K28" si="17">I28*0.45</f>
        <v>820.35</v>
      </c>
      <c r="L28" s="301">
        <f>'أخذ التمام الصباحي'!N26</f>
        <v>16125</v>
      </c>
      <c r="M28" s="301">
        <f t="shared" ref="M28" si="18">L28*5.5</f>
        <v>88687.5</v>
      </c>
      <c r="N28" s="301">
        <f t="shared" ref="N28" si="19">L28*0.26</f>
        <v>4192.5</v>
      </c>
      <c r="O28" s="7">
        <f t="shared" ref="O28" si="20">SUM(D28,G28,J28,M28)/100</f>
        <v>1916.5425</v>
      </c>
      <c r="P28" s="10">
        <f>'أخذ التمام الصباحي'!Q26</f>
        <v>1300</v>
      </c>
      <c r="Q28" s="7">
        <f t="shared" ref="Q28" si="21">P28-O28</f>
        <v>-616.54250000000002</v>
      </c>
    </row>
    <row r="29" spans="1:17" ht="25.5" customHeight="1" thickBot="1" x14ac:dyDescent="0.25">
      <c r="A29" s="309">
        <v>23</v>
      </c>
      <c r="B29" s="309" t="s">
        <v>121</v>
      </c>
      <c r="C29" s="5">
        <f>'أخذ التمام الصباحي'!E27</f>
        <v>0</v>
      </c>
      <c r="D29" s="5">
        <f t="shared" ref="D29:D33" si="22">C29*5.5</f>
        <v>0</v>
      </c>
      <c r="E29" s="5">
        <f t="shared" ref="E29:E33" si="23">C29*0.25</f>
        <v>0</v>
      </c>
      <c r="F29" s="5">
        <f>'أخذ التمام الصباحي'!H27</f>
        <v>8360</v>
      </c>
      <c r="G29" s="321">
        <f t="shared" ref="G29:G33" si="24">F29*6.75</f>
        <v>56430</v>
      </c>
      <c r="H29" s="321">
        <f t="shared" ref="H29:H33" si="25">F29*0.33</f>
        <v>2758.8</v>
      </c>
      <c r="I29" s="5">
        <f>'أخذ التمام الصباحي'!K27</f>
        <v>1676</v>
      </c>
      <c r="J29" s="321">
        <f t="shared" ref="J29:J33" si="26">I29*7.75</f>
        <v>12989</v>
      </c>
      <c r="K29" s="321">
        <f t="shared" ref="K29:K33" si="27">I29*0.45</f>
        <v>754.2</v>
      </c>
      <c r="L29" s="5">
        <f>'أخذ التمام الصباحي'!N27</f>
        <v>0</v>
      </c>
      <c r="M29" s="321">
        <f t="shared" ref="M29:M33" si="28">L29*5.5</f>
        <v>0</v>
      </c>
      <c r="N29" s="321">
        <f t="shared" ref="N29:N33" si="29">L29*0.26</f>
        <v>0</v>
      </c>
      <c r="O29" s="7">
        <f t="shared" ref="O29:O33" si="30">SUM(D29,G29,J29,M29)/100</f>
        <v>694.19</v>
      </c>
      <c r="P29" s="10">
        <f>'أخذ التمام الصباحي'!Q27</f>
        <v>189</v>
      </c>
      <c r="Q29" s="7">
        <f t="shared" ref="Q29:Q33" si="31">P29-O29</f>
        <v>-505.19000000000005</v>
      </c>
    </row>
    <row r="30" spans="1:17" ht="25.5" customHeight="1" thickBot="1" x14ac:dyDescent="0.25">
      <c r="A30" s="309">
        <v>24</v>
      </c>
      <c r="B30" s="309" t="s">
        <v>168</v>
      </c>
      <c r="C30" s="5">
        <f>'أخذ التمام الصباحي'!E28</f>
        <v>0</v>
      </c>
      <c r="D30" s="5">
        <f t="shared" si="22"/>
        <v>0</v>
      </c>
      <c r="E30" s="5">
        <f t="shared" si="23"/>
        <v>0</v>
      </c>
      <c r="F30" s="5">
        <f>'أخذ التمام الصباحي'!H28</f>
        <v>29260</v>
      </c>
      <c r="G30" s="321">
        <f t="shared" si="24"/>
        <v>197505</v>
      </c>
      <c r="H30" s="321">
        <f t="shared" si="25"/>
        <v>9655.8000000000011</v>
      </c>
      <c r="I30" s="5">
        <f>'أخذ التمام الصباحي'!K28</f>
        <v>9267</v>
      </c>
      <c r="J30" s="321">
        <f t="shared" si="26"/>
        <v>71819.25</v>
      </c>
      <c r="K30" s="321">
        <f t="shared" si="27"/>
        <v>4170.1500000000005</v>
      </c>
      <c r="L30" s="5">
        <f>'أخذ التمام الصباحي'!N28</f>
        <v>0</v>
      </c>
      <c r="M30" s="321">
        <f t="shared" si="28"/>
        <v>0</v>
      </c>
      <c r="N30" s="321">
        <f t="shared" si="29"/>
        <v>0</v>
      </c>
      <c r="O30" s="7">
        <f t="shared" si="30"/>
        <v>2693.2424999999998</v>
      </c>
      <c r="P30" s="10">
        <f>'أخذ التمام الصباحي'!Q28</f>
        <v>1410</v>
      </c>
      <c r="Q30" s="7">
        <f t="shared" si="31"/>
        <v>-1283.2424999999998</v>
      </c>
    </row>
    <row r="31" spans="1:17" ht="25.5" customHeight="1" thickBot="1" x14ac:dyDescent="0.25">
      <c r="A31" s="309">
        <v>25</v>
      </c>
      <c r="B31" s="309" t="s">
        <v>169</v>
      </c>
      <c r="C31" s="5">
        <f>'أخذ التمام الصباحي'!E29</f>
        <v>0</v>
      </c>
      <c r="D31" s="5">
        <f t="shared" si="22"/>
        <v>0</v>
      </c>
      <c r="E31" s="5">
        <f t="shared" si="23"/>
        <v>0</v>
      </c>
      <c r="F31" s="5">
        <f>'أخذ التمام الصباحي'!H29</f>
        <v>29684</v>
      </c>
      <c r="G31" s="321">
        <f t="shared" si="24"/>
        <v>200367</v>
      </c>
      <c r="H31" s="321">
        <f t="shared" si="25"/>
        <v>9795.7200000000012</v>
      </c>
      <c r="I31" s="5">
        <f>'أخذ التمام الصباحي'!K29</f>
        <v>9278</v>
      </c>
      <c r="J31" s="321">
        <f t="shared" si="26"/>
        <v>71904.5</v>
      </c>
      <c r="K31" s="321">
        <f t="shared" si="27"/>
        <v>4175.1000000000004</v>
      </c>
      <c r="L31" s="5">
        <f>'أخذ التمام الصباحي'!N29</f>
        <v>0</v>
      </c>
      <c r="M31" s="321">
        <f t="shared" si="28"/>
        <v>0</v>
      </c>
      <c r="N31" s="321">
        <f t="shared" si="29"/>
        <v>0</v>
      </c>
      <c r="O31" s="7">
        <f t="shared" si="30"/>
        <v>2722.7150000000001</v>
      </c>
      <c r="P31" s="10">
        <f>'أخذ التمام الصباحي'!Q29</f>
        <v>3200</v>
      </c>
      <c r="Q31" s="7">
        <f t="shared" si="31"/>
        <v>477.28499999999985</v>
      </c>
    </row>
    <row r="32" spans="1:17" ht="25.5" customHeight="1" thickBot="1" x14ac:dyDescent="0.25">
      <c r="A32" s="309">
        <v>26</v>
      </c>
      <c r="B32" s="319" t="s">
        <v>170</v>
      </c>
      <c r="C32" s="5">
        <f>'أخذ التمام الصباحي'!E30</f>
        <v>0</v>
      </c>
      <c r="D32" s="5">
        <f t="shared" si="22"/>
        <v>0</v>
      </c>
      <c r="E32" s="5">
        <f t="shared" si="23"/>
        <v>0</v>
      </c>
      <c r="F32" s="5">
        <f>'أخذ التمام الصباحي'!H30</f>
        <v>42358</v>
      </c>
      <c r="G32" s="321">
        <f t="shared" si="24"/>
        <v>285916.5</v>
      </c>
      <c r="H32" s="321">
        <f t="shared" si="25"/>
        <v>13978.140000000001</v>
      </c>
      <c r="I32" s="5">
        <f>'أخذ التمام الصباحي'!K30</f>
        <v>10073</v>
      </c>
      <c r="J32" s="321">
        <f t="shared" si="26"/>
        <v>78065.75</v>
      </c>
      <c r="K32" s="321">
        <f t="shared" si="27"/>
        <v>4532.8500000000004</v>
      </c>
      <c r="L32" s="5">
        <f>'أخذ التمام الصباحي'!N30</f>
        <v>0</v>
      </c>
      <c r="M32" s="321">
        <f t="shared" si="28"/>
        <v>0</v>
      </c>
      <c r="N32" s="321">
        <f t="shared" si="29"/>
        <v>0</v>
      </c>
      <c r="O32" s="7">
        <f t="shared" si="30"/>
        <v>3639.8225000000002</v>
      </c>
      <c r="P32" s="10">
        <f>'أخذ التمام الصباحي'!Q30</f>
        <v>0</v>
      </c>
      <c r="Q32" s="7">
        <f t="shared" si="31"/>
        <v>-3639.8225000000002</v>
      </c>
    </row>
    <row r="33" spans="1:17" ht="25.5" customHeight="1" thickBot="1" x14ac:dyDescent="0.25">
      <c r="A33" s="309">
        <v>27</v>
      </c>
      <c r="B33" s="319" t="s">
        <v>171</v>
      </c>
      <c r="C33" s="5">
        <f>'أخذ التمام الصباحي'!E31</f>
        <v>0</v>
      </c>
      <c r="D33" s="5">
        <f t="shared" si="22"/>
        <v>0</v>
      </c>
      <c r="E33" s="5">
        <f t="shared" si="23"/>
        <v>0</v>
      </c>
      <c r="F33" s="5">
        <f>'أخذ التمام الصباحي'!H31</f>
        <v>60378</v>
      </c>
      <c r="G33" s="321">
        <f t="shared" si="24"/>
        <v>407551.5</v>
      </c>
      <c r="H33" s="321">
        <f t="shared" si="25"/>
        <v>19924.740000000002</v>
      </c>
      <c r="I33" s="5">
        <f>'أخذ التمام الصباحي'!K31</f>
        <v>14037</v>
      </c>
      <c r="J33" s="321">
        <f t="shared" si="26"/>
        <v>108786.75</v>
      </c>
      <c r="K33" s="321">
        <f t="shared" si="27"/>
        <v>6316.6500000000005</v>
      </c>
      <c r="L33" s="5">
        <f>'أخذ التمام الصباحي'!N31</f>
        <v>0</v>
      </c>
      <c r="M33" s="321">
        <f t="shared" si="28"/>
        <v>0</v>
      </c>
      <c r="N33" s="321">
        <f t="shared" si="29"/>
        <v>0</v>
      </c>
      <c r="O33" s="7">
        <f t="shared" si="30"/>
        <v>5163.3824999999997</v>
      </c>
      <c r="P33" s="10">
        <f>'أخذ التمام الصباحي'!Q31</f>
        <v>6080</v>
      </c>
      <c r="Q33" s="7">
        <f t="shared" si="31"/>
        <v>916.61750000000029</v>
      </c>
    </row>
    <row r="34" spans="1:17" ht="25.5" customHeight="1" thickBot="1" x14ac:dyDescent="0.25">
      <c r="A34" s="358">
        <v>28</v>
      </c>
      <c r="B34" s="319" t="s">
        <v>197</v>
      </c>
      <c r="C34" s="5">
        <f>'أخذ التمام الصباحي'!E32</f>
        <v>0</v>
      </c>
      <c r="D34" s="5">
        <f t="shared" ref="D34:D37" si="32">C34*5.5</f>
        <v>0</v>
      </c>
      <c r="E34" s="5">
        <f t="shared" ref="E34:E37" si="33">C34*0.25</f>
        <v>0</v>
      </c>
      <c r="F34" s="5">
        <f>'أخذ التمام الصباحي'!H32</f>
        <v>0</v>
      </c>
      <c r="G34" s="361">
        <f t="shared" ref="G34:G37" si="34">F34*6.75</f>
        <v>0</v>
      </c>
      <c r="H34" s="361">
        <f t="shared" ref="H34:H37" si="35">F34*0.33</f>
        <v>0</v>
      </c>
      <c r="I34" s="5">
        <f>'أخذ التمام الصباحي'!K32</f>
        <v>0</v>
      </c>
      <c r="J34" s="361">
        <f t="shared" ref="J34:J37" si="36">I34*7.75</f>
        <v>0</v>
      </c>
      <c r="K34" s="361">
        <f t="shared" ref="K34:K37" si="37">I34*0.45</f>
        <v>0</v>
      </c>
      <c r="L34" s="5">
        <f>'أخذ التمام الصباحي'!N32</f>
        <v>0</v>
      </c>
      <c r="M34" s="361">
        <f t="shared" ref="M34:M37" si="38">L34*5.5</f>
        <v>0</v>
      </c>
      <c r="N34" s="361">
        <f t="shared" ref="N34:N37" si="39">L34*0.26</f>
        <v>0</v>
      </c>
      <c r="O34" s="7">
        <f t="shared" ref="O34:O37" si="40">SUM(D34,G34,J34,M34)/100</f>
        <v>0</v>
      </c>
      <c r="P34" s="10">
        <f>'أخذ التمام الصباحي'!Q32</f>
        <v>0</v>
      </c>
      <c r="Q34" s="7">
        <f t="shared" ref="Q34:Q37" si="41">P34-O34</f>
        <v>0</v>
      </c>
    </row>
    <row r="35" spans="1:17" ht="25.5" customHeight="1" thickBot="1" x14ac:dyDescent="0.25">
      <c r="A35" s="358">
        <v>29</v>
      </c>
      <c r="B35" s="319" t="s">
        <v>198</v>
      </c>
      <c r="C35" s="5">
        <f>'أخذ التمام الصباحي'!E33</f>
        <v>0</v>
      </c>
      <c r="D35" s="5">
        <f t="shared" si="32"/>
        <v>0</v>
      </c>
      <c r="E35" s="5">
        <f t="shared" si="33"/>
        <v>0</v>
      </c>
      <c r="F35" s="5">
        <f>'أخذ التمام الصباحي'!H33</f>
        <v>0</v>
      </c>
      <c r="G35" s="361">
        <f t="shared" si="34"/>
        <v>0</v>
      </c>
      <c r="H35" s="361">
        <f t="shared" si="35"/>
        <v>0</v>
      </c>
      <c r="I35" s="5">
        <f>'أخذ التمام الصباحي'!K33</f>
        <v>0</v>
      </c>
      <c r="J35" s="361">
        <f t="shared" si="36"/>
        <v>0</v>
      </c>
      <c r="K35" s="361">
        <f t="shared" si="37"/>
        <v>0</v>
      </c>
      <c r="L35" s="5">
        <f>'أخذ التمام الصباحي'!N33</f>
        <v>0</v>
      </c>
      <c r="M35" s="361">
        <f t="shared" si="38"/>
        <v>0</v>
      </c>
      <c r="N35" s="361">
        <f t="shared" si="39"/>
        <v>0</v>
      </c>
      <c r="O35" s="7">
        <f t="shared" si="40"/>
        <v>0</v>
      </c>
      <c r="P35" s="10">
        <f>'أخذ التمام الصباحي'!Q33</f>
        <v>0</v>
      </c>
      <c r="Q35" s="7">
        <f t="shared" si="41"/>
        <v>0</v>
      </c>
    </row>
    <row r="36" spans="1:17" ht="25.5" customHeight="1" thickBot="1" x14ac:dyDescent="0.25">
      <c r="A36" s="358">
        <v>30</v>
      </c>
      <c r="B36" s="319" t="s">
        <v>199</v>
      </c>
      <c r="C36" s="5">
        <f>'أخذ التمام الصباحي'!E34</f>
        <v>0</v>
      </c>
      <c r="D36" s="5">
        <f t="shared" si="32"/>
        <v>0</v>
      </c>
      <c r="E36" s="5">
        <f t="shared" si="33"/>
        <v>0</v>
      </c>
      <c r="F36" s="5">
        <f>'أخذ التمام الصباحي'!H34</f>
        <v>0</v>
      </c>
      <c r="G36" s="361">
        <f t="shared" si="34"/>
        <v>0</v>
      </c>
      <c r="H36" s="361">
        <f t="shared" si="35"/>
        <v>0</v>
      </c>
      <c r="I36" s="5">
        <f>'أخذ التمام الصباحي'!K34</f>
        <v>0</v>
      </c>
      <c r="J36" s="361">
        <f t="shared" si="36"/>
        <v>0</v>
      </c>
      <c r="K36" s="361">
        <f t="shared" si="37"/>
        <v>0</v>
      </c>
      <c r="L36" s="5">
        <f>'أخذ التمام الصباحي'!N34</f>
        <v>0</v>
      </c>
      <c r="M36" s="361">
        <f t="shared" si="38"/>
        <v>0</v>
      </c>
      <c r="N36" s="361">
        <f t="shared" si="39"/>
        <v>0</v>
      </c>
      <c r="O36" s="7">
        <f t="shared" si="40"/>
        <v>0</v>
      </c>
      <c r="P36" s="10">
        <f>'أخذ التمام الصباحي'!Q34</f>
        <v>0</v>
      </c>
      <c r="Q36" s="7">
        <f t="shared" si="41"/>
        <v>0</v>
      </c>
    </row>
    <row r="37" spans="1:17" ht="25.5" customHeight="1" thickBot="1" x14ac:dyDescent="0.25">
      <c r="A37" s="358">
        <v>31</v>
      </c>
      <c r="B37" s="319" t="s">
        <v>200</v>
      </c>
      <c r="C37" s="5">
        <f>'أخذ التمام الصباحي'!E35</f>
        <v>0</v>
      </c>
      <c r="D37" s="5">
        <f t="shared" si="32"/>
        <v>0</v>
      </c>
      <c r="E37" s="5">
        <f t="shared" si="33"/>
        <v>0</v>
      </c>
      <c r="F37" s="5">
        <f>'أخذ التمام الصباحي'!H35</f>
        <v>0</v>
      </c>
      <c r="G37" s="361">
        <f t="shared" si="34"/>
        <v>0</v>
      </c>
      <c r="H37" s="361">
        <f t="shared" si="35"/>
        <v>0</v>
      </c>
      <c r="I37" s="5">
        <f>'أخذ التمام الصباحي'!K35</f>
        <v>0</v>
      </c>
      <c r="J37" s="361">
        <f t="shared" si="36"/>
        <v>0</v>
      </c>
      <c r="K37" s="361">
        <f t="shared" si="37"/>
        <v>0</v>
      </c>
      <c r="L37" s="5">
        <f>'أخذ التمام الصباحي'!N35</f>
        <v>0</v>
      </c>
      <c r="M37" s="361">
        <f t="shared" si="38"/>
        <v>0</v>
      </c>
      <c r="N37" s="361">
        <f t="shared" si="39"/>
        <v>0</v>
      </c>
      <c r="O37" s="7">
        <f t="shared" si="40"/>
        <v>0</v>
      </c>
      <c r="P37" s="10">
        <f>'أخذ التمام الصباحي'!Q35</f>
        <v>0</v>
      </c>
      <c r="Q37" s="7">
        <f t="shared" si="41"/>
        <v>0</v>
      </c>
    </row>
    <row r="38" spans="1:17" ht="30.75" customHeight="1" thickBot="1" x14ac:dyDescent="0.25">
      <c r="A38" s="417" t="s">
        <v>34</v>
      </c>
      <c r="B38" s="417"/>
      <c r="C38" s="43">
        <f>SUM(C7:C37)</f>
        <v>58465</v>
      </c>
      <c r="D38" s="43">
        <f t="shared" ref="D38:Q38" si="42">SUM(D7:D37)</f>
        <v>321557.5</v>
      </c>
      <c r="E38" s="43">
        <f t="shared" si="42"/>
        <v>14616.25</v>
      </c>
      <c r="F38" s="43">
        <f t="shared" si="42"/>
        <v>531395</v>
      </c>
      <c r="G38" s="43">
        <f t="shared" si="42"/>
        <v>3586916.25</v>
      </c>
      <c r="H38" s="43">
        <f t="shared" si="42"/>
        <v>175360.35000000003</v>
      </c>
      <c r="I38" s="43">
        <f t="shared" si="42"/>
        <v>125538</v>
      </c>
      <c r="J38" s="43">
        <f t="shared" si="42"/>
        <v>972919.5</v>
      </c>
      <c r="K38" s="43">
        <f t="shared" si="42"/>
        <v>56492.1</v>
      </c>
      <c r="L38" s="43">
        <f t="shared" si="42"/>
        <v>362397</v>
      </c>
      <c r="M38" s="43">
        <f t="shared" si="42"/>
        <v>1993183.5</v>
      </c>
      <c r="N38" s="43">
        <f t="shared" si="42"/>
        <v>94223.22</v>
      </c>
      <c r="O38" s="43">
        <f t="shared" si="42"/>
        <v>68745.767500000002</v>
      </c>
      <c r="P38" s="43">
        <f t="shared" si="42"/>
        <v>66667</v>
      </c>
      <c r="Q38" s="43">
        <f t="shared" si="42"/>
        <v>-2078.7674999999999</v>
      </c>
    </row>
    <row r="39" spans="1:17" ht="32.25" customHeight="1" thickBot="1" x14ac:dyDescent="0.25">
      <c r="A39" s="410" t="s">
        <v>75</v>
      </c>
      <c r="B39" s="410"/>
      <c r="C39" s="400">
        <f>C38+F38+I38+L38</f>
        <v>1077795</v>
      </c>
      <c r="D39" s="401"/>
      <c r="E39" s="401"/>
      <c r="F39" s="401"/>
      <c r="G39" s="401"/>
      <c r="H39" s="401"/>
      <c r="I39" s="401"/>
      <c r="J39" s="401"/>
      <c r="K39" s="401"/>
      <c r="L39" s="401"/>
      <c r="M39" s="401"/>
      <c r="N39" s="401"/>
      <c r="O39" s="401"/>
      <c r="P39" s="401"/>
      <c r="Q39" s="402"/>
    </row>
    <row r="40" spans="1:17" ht="30.75" customHeight="1" thickBot="1" x14ac:dyDescent="0.25">
      <c r="A40" s="410" t="s">
        <v>47</v>
      </c>
      <c r="B40" s="410"/>
      <c r="C40" s="403">
        <f>D38+G38+J38+M38</f>
        <v>6874576.75</v>
      </c>
      <c r="D40" s="404"/>
      <c r="E40" s="404"/>
      <c r="F40" s="404"/>
      <c r="G40" s="404"/>
      <c r="H40" s="404"/>
      <c r="I40" s="404"/>
      <c r="J40" s="404"/>
      <c r="K40" s="404"/>
      <c r="L40" s="404"/>
      <c r="M40" s="404"/>
      <c r="N40" s="404"/>
      <c r="O40" s="404"/>
      <c r="P40" s="404"/>
      <c r="Q40" s="405"/>
    </row>
    <row r="41" spans="1:17" ht="30.75" customHeight="1" thickBot="1" x14ac:dyDescent="0.25">
      <c r="A41" s="410" t="s">
        <v>48</v>
      </c>
      <c r="B41" s="410"/>
      <c r="C41" s="412">
        <f>E38+H38+K38+N38</f>
        <v>340691.92000000004</v>
      </c>
      <c r="D41" s="413"/>
      <c r="E41" s="413"/>
      <c r="F41" s="413"/>
      <c r="G41" s="413"/>
      <c r="H41" s="413"/>
      <c r="I41" s="413"/>
      <c r="J41" s="413"/>
      <c r="K41" s="413"/>
      <c r="L41" s="413"/>
      <c r="M41" s="413"/>
      <c r="N41" s="413"/>
      <c r="O41" s="413"/>
      <c r="P41" s="413"/>
      <c r="Q41" s="414"/>
    </row>
  </sheetData>
  <customSheetViews>
    <customSheetView guid="{18C0F7AC-4BB1-46DE-8A01-8E31FE0585FC}" scale="73" fitToPage="1">
      <pane xSplit="2" ySplit="6" topLeftCell="C25" activePane="bottomRight" state="frozen"/>
      <selection pane="bottomRight" activeCell="A37" sqref="A37:XFD37"/>
      <pageMargins left="0.25" right="0.25" top="0.75" bottom="0.75" header="0.3" footer="0.3"/>
      <pageSetup paperSize="9" scale="79" orientation="landscape" r:id="rId1"/>
    </customSheetView>
    <customSheetView guid="{8317B6D8-8A99-4EB0-9DBC-8E9AE0170A4B}" fitToPage="1">
      <pane xSplit="2" ySplit="6" topLeftCell="C16" activePane="bottomRight" state="frozen"/>
      <selection pane="bottomRight" activeCell="C27" sqref="C27"/>
      <pageMargins left="0.25" right="0.25" top="0.75" bottom="0.75" header="0.3" footer="0.3"/>
      <pageSetup paperSize="9" scale="79" orientation="landscape" r:id="rId2"/>
    </customSheetView>
  </customSheetViews>
  <mergeCells count="21">
    <mergeCell ref="Q1:R1"/>
    <mergeCell ref="A41:B41"/>
    <mergeCell ref="A1:E1"/>
    <mergeCell ref="A2:E2"/>
    <mergeCell ref="A3:E3"/>
    <mergeCell ref="C41:Q41"/>
    <mergeCell ref="Q5:Q6"/>
    <mergeCell ref="A38:B38"/>
    <mergeCell ref="A39:B39"/>
    <mergeCell ref="A40:B40"/>
    <mergeCell ref="A5:A6"/>
    <mergeCell ref="B5:B6"/>
    <mergeCell ref="C5:E5"/>
    <mergeCell ref="F5:H5"/>
    <mergeCell ref="P4:Q4"/>
    <mergeCell ref="I5:K5"/>
    <mergeCell ref="L5:N5"/>
    <mergeCell ref="C39:Q39"/>
    <mergeCell ref="C40:Q40"/>
    <mergeCell ref="O5:P5"/>
    <mergeCell ref="F4:M4"/>
  </mergeCells>
  <conditionalFormatting sqref="Q7:Q37">
    <cfRule type="cellIs" dxfId="23" priority="1" operator="lessThan">
      <formula>0</formula>
    </cfRule>
  </conditionalFormatting>
  <pageMargins left="0.25" right="0.25" top="0.75" bottom="0.75" header="0.3" footer="0.3"/>
  <pageSetup paperSize="9" scale="79" orientation="landscape" r:id="rId3"/>
  <drawing r:id="rId4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tabColor theme="7"/>
  </sheetPr>
  <dimension ref="A2:M18"/>
  <sheetViews>
    <sheetView rightToLeft="1" zoomScaleNormal="100" workbookViewId="0">
      <selection sqref="A1:N20"/>
    </sheetView>
  </sheetViews>
  <sheetFormatPr defaultRowHeight="14.25" x14ac:dyDescent="0.2"/>
  <cols>
    <col min="6" max="6" width="11.375" customWidth="1"/>
  </cols>
  <sheetData>
    <row r="2" spans="1:13" ht="15" x14ac:dyDescent="0.25">
      <c r="B2" s="561" t="s">
        <v>108</v>
      </c>
      <c r="C2" s="561"/>
      <c r="D2" s="561"/>
      <c r="E2" s="561"/>
    </row>
    <row r="3" spans="1:13" ht="15" thickBot="1" x14ac:dyDescent="0.25"/>
    <row r="4" spans="1:13" ht="15.75" thickBot="1" x14ac:dyDescent="0.25">
      <c r="A4" s="501" t="s">
        <v>3</v>
      </c>
      <c r="B4" s="406" t="s">
        <v>90</v>
      </c>
      <c r="C4" s="563"/>
      <c r="D4" s="563"/>
      <c r="E4" s="563"/>
      <c r="F4" s="407"/>
    </row>
    <row r="5" spans="1:13" ht="15.75" thickBot="1" x14ac:dyDescent="0.25">
      <c r="A5" s="502"/>
      <c r="B5" s="406" t="s">
        <v>83</v>
      </c>
      <c r="C5" s="563"/>
      <c r="D5" s="562" t="s">
        <v>81</v>
      </c>
      <c r="E5" s="564"/>
      <c r="F5" s="109" t="s">
        <v>107</v>
      </c>
      <c r="I5" s="501" t="s">
        <v>3</v>
      </c>
      <c r="J5" s="105">
        <v>80</v>
      </c>
      <c r="K5" s="105">
        <v>92</v>
      </c>
      <c r="L5" s="105">
        <v>95</v>
      </c>
      <c r="M5" s="105" t="s">
        <v>50</v>
      </c>
    </row>
    <row r="6" spans="1:13" ht="15.75" thickBot="1" x14ac:dyDescent="0.25">
      <c r="A6" s="503"/>
      <c r="B6" s="108" t="s">
        <v>11</v>
      </c>
      <c r="C6" s="113" t="s">
        <v>50</v>
      </c>
      <c r="D6" s="112" t="s">
        <v>11</v>
      </c>
      <c r="E6" s="111" t="s">
        <v>50</v>
      </c>
      <c r="F6" s="109" t="s">
        <v>12</v>
      </c>
      <c r="I6" s="503"/>
      <c r="J6" s="108" t="s">
        <v>7</v>
      </c>
      <c r="K6" s="108" t="s">
        <v>7</v>
      </c>
      <c r="L6" s="108" t="s">
        <v>7</v>
      </c>
      <c r="M6" s="108" t="s">
        <v>7</v>
      </c>
    </row>
    <row r="7" spans="1:13" ht="16.5" thickBot="1" x14ac:dyDescent="0.3">
      <c r="A7" s="110" t="s">
        <v>30</v>
      </c>
      <c r="B7" s="104" t="e">
        <f>IF($D$17&gt;$D$18,K7,0)</f>
        <v>#VALUE!</v>
      </c>
      <c r="C7" s="106">
        <f>IF($D$15&gt;$D$16,M7,0)</f>
        <v>0</v>
      </c>
      <c r="D7" s="122" t="e">
        <f>IF($D$18&gt;$D$17,K7,0)</f>
        <v>#VALUE!</v>
      </c>
      <c r="E7" s="123">
        <f>IF($D$16&gt;$D$15,M7,0)</f>
        <v>0</v>
      </c>
      <c r="F7" s="107">
        <f>L7</f>
        <v>0</v>
      </c>
      <c r="I7" s="110" t="s">
        <v>30</v>
      </c>
      <c r="J7" s="41">
        <f>'خطة الإمداد'!L48</f>
        <v>0</v>
      </c>
      <c r="K7" s="41">
        <f>'خطة الإمداد'!M48</f>
        <v>34</v>
      </c>
      <c r="L7" s="41">
        <f>'خطة الإمداد'!N48</f>
        <v>0</v>
      </c>
      <c r="M7" s="41">
        <f>'خطة الإمداد'!O48</f>
        <v>17</v>
      </c>
    </row>
    <row r="8" spans="1:13" ht="16.5" thickBot="1" x14ac:dyDescent="0.3">
      <c r="A8" s="110" t="s">
        <v>31</v>
      </c>
      <c r="B8" s="104" t="e">
        <f t="shared" ref="B8:B10" si="0">IF($D$17&gt;$D$18,K8,0)</f>
        <v>#VALUE!</v>
      </c>
      <c r="C8" s="106">
        <f t="shared" ref="C8:C10" si="1">IF($D$15&gt;$D$16,M8,0)</f>
        <v>0</v>
      </c>
      <c r="D8" s="122" t="e">
        <f t="shared" ref="D8:D10" si="2">IF($D$18&gt;$D$17,K8,0)</f>
        <v>#VALUE!</v>
      </c>
      <c r="E8" s="123">
        <f t="shared" ref="E8:E10" si="3">IF($D$16&gt;$D$15,M8,0)</f>
        <v>0</v>
      </c>
      <c r="F8" s="107">
        <f t="shared" ref="F8:F10" si="4">L8</f>
        <v>0</v>
      </c>
      <c r="I8" s="110" t="s">
        <v>31</v>
      </c>
      <c r="J8" s="41">
        <f>'خطة الإمداد'!L49</f>
        <v>0</v>
      </c>
      <c r="K8" s="41">
        <f>'خطة الإمداد'!M49</f>
        <v>17</v>
      </c>
      <c r="L8" s="41">
        <f>'خطة الإمداد'!N49</f>
        <v>0</v>
      </c>
      <c r="M8" s="41">
        <f>'خطة الإمداد'!O49</f>
        <v>102</v>
      </c>
    </row>
    <row r="9" spans="1:13" ht="16.5" thickBot="1" x14ac:dyDescent="0.3">
      <c r="A9" s="110" t="s">
        <v>32</v>
      </c>
      <c r="B9" s="104" t="e">
        <f t="shared" si="0"/>
        <v>#VALUE!</v>
      </c>
      <c r="C9" s="106">
        <f t="shared" si="1"/>
        <v>0</v>
      </c>
      <c r="D9" s="122" t="e">
        <f t="shared" si="2"/>
        <v>#VALUE!</v>
      </c>
      <c r="E9" s="123">
        <f t="shared" si="3"/>
        <v>0</v>
      </c>
      <c r="F9" s="107">
        <f t="shared" si="4"/>
        <v>17</v>
      </c>
      <c r="I9" s="110" t="s">
        <v>32</v>
      </c>
      <c r="J9" s="41">
        <f>'خطة الإمداد'!L50</f>
        <v>0</v>
      </c>
      <c r="K9" s="41">
        <f>'خطة الإمداد'!M50</f>
        <v>34</v>
      </c>
      <c r="L9" s="41">
        <f>'خطة الإمداد'!N50</f>
        <v>17</v>
      </c>
      <c r="M9" s="41">
        <f>'خطة الإمداد'!O50</f>
        <v>85</v>
      </c>
    </row>
    <row r="10" spans="1:13" ht="16.5" thickBot="1" x14ac:dyDescent="0.3">
      <c r="A10" s="110" t="s">
        <v>33</v>
      </c>
      <c r="B10" s="104" t="e">
        <f t="shared" si="0"/>
        <v>#VALUE!</v>
      </c>
      <c r="C10" s="106">
        <f t="shared" si="1"/>
        <v>0</v>
      </c>
      <c r="D10" s="122" t="e">
        <f t="shared" si="2"/>
        <v>#VALUE!</v>
      </c>
      <c r="E10" s="123">
        <f t="shared" si="3"/>
        <v>0</v>
      </c>
      <c r="F10" s="107">
        <f t="shared" si="4"/>
        <v>0</v>
      </c>
      <c r="I10" s="110" t="s">
        <v>33</v>
      </c>
      <c r="J10" s="41">
        <f>'خطة الإمداد'!L51</f>
        <v>0</v>
      </c>
      <c r="K10" s="41">
        <f>'خطة الإمداد'!M51</f>
        <v>17</v>
      </c>
      <c r="L10" s="41">
        <f>'خطة الإمداد'!N51</f>
        <v>0</v>
      </c>
      <c r="M10" s="41">
        <f>'خطة الإمداد'!O51</f>
        <v>51</v>
      </c>
    </row>
    <row r="14" spans="1:13" ht="16.5" thickBot="1" x14ac:dyDescent="0.3">
      <c r="B14" s="78" t="s">
        <v>90</v>
      </c>
      <c r="C14" s="78"/>
      <c r="D14" s="78"/>
    </row>
    <row r="15" spans="1:13" ht="16.5" thickBot="1" x14ac:dyDescent="0.25">
      <c r="B15" s="568" t="s">
        <v>50</v>
      </c>
      <c r="C15" s="52" t="s">
        <v>83</v>
      </c>
      <c r="D15" s="53">
        <f>[1]مصرملخص!$D$8</f>
        <v>0</v>
      </c>
    </row>
    <row r="16" spans="1:13" ht="16.5" thickBot="1" x14ac:dyDescent="0.25">
      <c r="B16" s="567"/>
      <c r="C16" s="52" t="s">
        <v>93</v>
      </c>
      <c r="D16" s="53">
        <f>[1]التعاون.ملخص!$D$10</f>
        <v>0</v>
      </c>
    </row>
    <row r="17" spans="2:4" ht="16.5" thickBot="1" x14ac:dyDescent="0.25">
      <c r="B17" s="568">
        <v>92</v>
      </c>
      <c r="C17" s="61" t="s">
        <v>83</v>
      </c>
      <c r="D17" s="62">
        <f>[1]مصرملخص!$D$9</f>
        <v>0</v>
      </c>
    </row>
    <row r="18" spans="2:4" ht="16.5" thickBot="1" x14ac:dyDescent="0.25">
      <c r="B18" s="567"/>
      <c r="C18" s="61" t="s">
        <v>93</v>
      </c>
      <c r="D18" s="62" t="e">
        <f>[1]التعاون.ملخص!$D$11</f>
        <v>#VALUE!</v>
      </c>
    </row>
  </sheetData>
  <customSheetViews>
    <customSheetView guid="{18C0F7AC-4BB1-46DE-8A01-8E31FE0585FC}">
      <selection sqref="A1:N20"/>
      <pageMargins left="0.7" right="0.7" top="0.75" bottom="0.75" header="0.3" footer="0.3"/>
      <pageSetup paperSize="9" orientation="portrait" r:id="rId1"/>
    </customSheetView>
    <customSheetView guid="{8317B6D8-8A99-4EB0-9DBC-8E9AE0170A4B}">
      <selection activeCell="D19" sqref="D19"/>
      <pageMargins left="0.7" right="0.7" top="0.75" bottom="0.75" header="0.3" footer="0.3"/>
      <pageSetup paperSize="9" orientation="portrait" r:id="rId2"/>
    </customSheetView>
  </customSheetViews>
  <mergeCells count="8">
    <mergeCell ref="B2:E2"/>
    <mergeCell ref="I5:I6"/>
    <mergeCell ref="B15:B16"/>
    <mergeCell ref="B17:B18"/>
    <mergeCell ref="A4:A6"/>
    <mergeCell ref="B4:F4"/>
    <mergeCell ref="B5:C5"/>
    <mergeCell ref="D5:E5"/>
  </mergeCells>
  <conditionalFormatting sqref="J7:M10">
    <cfRule type="cellIs" dxfId="3" priority="1" operator="lessThan">
      <formula>1</formula>
    </cfRule>
    <cfRule type="cellIs" dxfId="2" priority="2" operator="greaterThan">
      <formula>1</formula>
    </cfRule>
  </conditionalFormatting>
  <pageMargins left="0.7" right="0.7" top="0.75" bottom="0.75" header="0.3" footer="0.3"/>
  <pageSetup paperSize="9" orientation="portrait" r:id="rId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2:M18"/>
  <sheetViews>
    <sheetView rightToLeft="1" workbookViewId="0">
      <selection activeCell="B5" sqref="B5:C5"/>
    </sheetView>
  </sheetViews>
  <sheetFormatPr defaultRowHeight="14.25" x14ac:dyDescent="0.2"/>
  <sheetData>
    <row r="2" spans="1:13" ht="15" x14ac:dyDescent="0.25">
      <c r="B2" s="561" t="s">
        <v>108</v>
      </c>
      <c r="C2" s="561"/>
      <c r="D2" s="561"/>
      <c r="E2" s="561"/>
    </row>
    <row r="3" spans="1:13" ht="15" thickBot="1" x14ac:dyDescent="0.25"/>
    <row r="4" spans="1:13" ht="15.75" thickBot="1" x14ac:dyDescent="0.25">
      <c r="A4" s="501" t="s">
        <v>3</v>
      </c>
      <c r="B4" s="406" t="s">
        <v>165</v>
      </c>
      <c r="C4" s="563"/>
      <c r="D4" s="563"/>
      <c r="E4" s="563"/>
      <c r="F4" s="407"/>
    </row>
    <row r="5" spans="1:13" ht="15.75" thickBot="1" x14ac:dyDescent="0.25">
      <c r="A5" s="502"/>
      <c r="B5" s="406" t="s">
        <v>83</v>
      </c>
      <c r="C5" s="563"/>
      <c r="D5" s="562" t="s">
        <v>81</v>
      </c>
      <c r="E5" s="564"/>
      <c r="F5" s="308" t="s">
        <v>107</v>
      </c>
      <c r="I5" s="501" t="s">
        <v>3</v>
      </c>
      <c r="J5" s="309">
        <v>80</v>
      </c>
      <c r="K5" s="309">
        <v>92</v>
      </c>
      <c r="L5" s="309">
        <v>95</v>
      </c>
      <c r="M5" s="309" t="s">
        <v>50</v>
      </c>
    </row>
    <row r="6" spans="1:13" ht="15.75" thickBot="1" x14ac:dyDescent="0.25">
      <c r="A6" s="503"/>
      <c r="B6" s="306" t="s">
        <v>11</v>
      </c>
      <c r="C6" s="307" t="s">
        <v>50</v>
      </c>
      <c r="D6" s="312" t="s">
        <v>11</v>
      </c>
      <c r="E6" s="311" t="s">
        <v>50</v>
      </c>
      <c r="F6" s="308" t="s">
        <v>12</v>
      </c>
      <c r="I6" s="503"/>
      <c r="J6" s="306" t="s">
        <v>7</v>
      </c>
      <c r="K6" s="306" t="s">
        <v>7</v>
      </c>
      <c r="L6" s="306" t="s">
        <v>7</v>
      </c>
      <c r="M6" s="306" t="s">
        <v>7</v>
      </c>
    </row>
    <row r="7" spans="1:13" ht="16.5" thickBot="1" x14ac:dyDescent="0.3">
      <c r="A7" s="310" t="s">
        <v>168</v>
      </c>
      <c r="B7" s="313" t="e">
        <f>IF($D$17&gt;$D$18,K7,0)</f>
        <v>#VALUE!</v>
      </c>
      <c r="C7" s="314">
        <f>IF($D$15&gt;$D$16,M7,0)</f>
        <v>0</v>
      </c>
      <c r="D7" s="316" t="e">
        <f>IF($D$18&gt;$D$17,K7,0)</f>
        <v>#VALUE!</v>
      </c>
      <c r="E7" s="317">
        <f>IF($D$16&gt;$D$15,M7,0)</f>
        <v>0</v>
      </c>
      <c r="F7" s="315">
        <f>L7</f>
        <v>0</v>
      </c>
      <c r="I7" s="310" t="s">
        <v>30</v>
      </c>
      <c r="J7" s="41">
        <f>'خطة الإمداد'!L48</f>
        <v>0</v>
      </c>
      <c r="K7" s="41">
        <f>'خطة الإمداد'!M48</f>
        <v>34</v>
      </c>
      <c r="L7" s="41">
        <f>'خطة الإمداد'!N48</f>
        <v>0</v>
      </c>
      <c r="M7" s="41">
        <f>'خطة الإمداد'!O48</f>
        <v>17</v>
      </c>
    </row>
    <row r="8" spans="1:13" ht="16.5" thickBot="1" x14ac:dyDescent="0.3">
      <c r="A8" s="310" t="s">
        <v>169</v>
      </c>
      <c r="B8" s="313" t="e">
        <f t="shared" ref="B8:B10" si="0">IF($D$17&gt;$D$18,K8,0)</f>
        <v>#VALUE!</v>
      </c>
      <c r="C8" s="314">
        <f t="shared" ref="C8:C10" si="1">IF($D$15&gt;$D$16,M8,0)</f>
        <v>0</v>
      </c>
      <c r="D8" s="316" t="e">
        <f t="shared" ref="D8:D10" si="2">IF($D$18&gt;$D$17,K8,0)</f>
        <v>#VALUE!</v>
      </c>
      <c r="E8" s="317">
        <f t="shared" ref="E8:E10" si="3">IF($D$16&gt;$D$15,M8,0)</f>
        <v>0</v>
      </c>
      <c r="F8" s="315">
        <f t="shared" ref="F8:F10" si="4">L8</f>
        <v>0</v>
      </c>
      <c r="I8" s="310" t="s">
        <v>31</v>
      </c>
      <c r="J8" s="41">
        <f>'خطة الإمداد'!L49</f>
        <v>0</v>
      </c>
      <c r="K8" s="41">
        <f>'خطة الإمداد'!M49</f>
        <v>17</v>
      </c>
      <c r="L8" s="41">
        <f>'خطة الإمداد'!N49</f>
        <v>0</v>
      </c>
      <c r="M8" s="41">
        <f>'خطة الإمداد'!O49</f>
        <v>102</v>
      </c>
    </row>
    <row r="9" spans="1:13" ht="16.5" thickBot="1" x14ac:dyDescent="0.3">
      <c r="A9" s="318" t="s">
        <v>170</v>
      </c>
      <c r="B9" s="313" t="e">
        <f t="shared" si="0"/>
        <v>#VALUE!</v>
      </c>
      <c r="C9" s="314">
        <f t="shared" si="1"/>
        <v>0</v>
      </c>
      <c r="D9" s="316" t="e">
        <f t="shared" si="2"/>
        <v>#VALUE!</v>
      </c>
      <c r="E9" s="317">
        <f t="shared" si="3"/>
        <v>0</v>
      </c>
      <c r="F9" s="315">
        <f t="shared" si="4"/>
        <v>17</v>
      </c>
      <c r="I9" s="310" t="s">
        <v>32</v>
      </c>
      <c r="J9" s="41">
        <f>'خطة الإمداد'!L50</f>
        <v>0</v>
      </c>
      <c r="K9" s="41">
        <f>'خطة الإمداد'!M50</f>
        <v>34</v>
      </c>
      <c r="L9" s="41">
        <f>'خطة الإمداد'!N50</f>
        <v>17</v>
      </c>
      <c r="M9" s="41">
        <f>'خطة الإمداد'!O50</f>
        <v>85</v>
      </c>
    </row>
    <row r="10" spans="1:13" ht="16.5" thickBot="1" x14ac:dyDescent="0.3">
      <c r="A10" s="318" t="s">
        <v>171</v>
      </c>
      <c r="B10" s="313" t="e">
        <f t="shared" si="0"/>
        <v>#VALUE!</v>
      </c>
      <c r="C10" s="314">
        <f t="shared" si="1"/>
        <v>0</v>
      </c>
      <c r="D10" s="316" t="e">
        <f t="shared" si="2"/>
        <v>#VALUE!</v>
      </c>
      <c r="E10" s="317">
        <f t="shared" si="3"/>
        <v>0</v>
      </c>
      <c r="F10" s="315">
        <f t="shared" si="4"/>
        <v>0</v>
      </c>
      <c r="I10" s="310" t="s">
        <v>33</v>
      </c>
      <c r="J10" s="41">
        <f>'خطة الإمداد'!L51</f>
        <v>0</v>
      </c>
      <c r="K10" s="41">
        <f>'خطة الإمداد'!M51</f>
        <v>17</v>
      </c>
      <c r="L10" s="41">
        <f>'خطة الإمداد'!N51</f>
        <v>0</v>
      </c>
      <c r="M10" s="41">
        <f>'خطة الإمداد'!O51</f>
        <v>51</v>
      </c>
    </row>
    <row r="14" spans="1:13" ht="16.5" thickBot="1" x14ac:dyDescent="0.3">
      <c r="B14" s="78" t="s">
        <v>90</v>
      </c>
      <c r="C14" s="78"/>
      <c r="D14" s="78"/>
    </row>
    <row r="15" spans="1:13" ht="16.5" thickBot="1" x14ac:dyDescent="0.25">
      <c r="B15" s="568" t="s">
        <v>50</v>
      </c>
      <c r="C15" s="52" t="s">
        <v>83</v>
      </c>
      <c r="D15" s="53">
        <f>[1]مصرملخص!$D$8</f>
        <v>0</v>
      </c>
    </row>
    <row r="16" spans="1:13" ht="16.5" thickBot="1" x14ac:dyDescent="0.25">
      <c r="B16" s="567"/>
      <c r="C16" s="52" t="s">
        <v>93</v>
      </c>
      <c r="D16" s="53">
        <f>[1]التعاون.ملخص!$D$10</f>
        <v>0</v>
      </c>
    </row>
    <row r="17" spans="2:4" ht="16.5" thickBot="1" x14ac:dyDescent="0.25">
      <c r="B17" s="568">
        <v>92</v>
      </c>
      <c r="C17" s="61" t="s">
        <v>83</v>
      </c>
      <c r="D17" s="62">
        <f>[1]مصرملخص!$D$9</f>
        <v>0</v>
      </c>
    </row>
    <row r="18" spans="2:4" ht="16.5" thickBot="1" x14ac:dyDescent="0.25">
      <c r="B18" s="567"/>
      <c r="C18" s="61" t="s">
        <v>93</v>
      </c>
      <c r="D18" s="62" t="e">
        <f>[1]التعاون.ملخص!$D$11</f>
        <v>#VALUE!</v>
      </c>
    </row>
  </sheetData>
  <customSheetViews>
    <customSheetView guid="{18C0F7AC-4BB1-46DE-8A01-8E31FE0585FC}" state="hidden">
      <selection activeCell="B5" sqref="B5:C5"/>
      <pageMargins left="0.7" right="0.7" top="0.75" bottom="0.75" header="0.3" footer="0.3"/>
    </customSheetView>
  </customSheetViews>
  <mergeCells count="8">
    <mergeCell ref="I5:I6"/>
    <mergeCell ref="B15:B16"/>
    <mergeCell ref="B17:B18"/>
    <mergeCell ref="B2:E2"/>
    <mergeCell ref="A4:A6"/>
    <mergeCell ref="B4:F4"/>
    <mergeCell ref="B5:C5"/>
    <mergeCell ref="D5:E5"/>
  </mergeCells>
  <conditionalFormatting sqref="J7:M10">
    <cfRule type="cellIs" dxfId="1" priority="1" operator="lessThan">
      <formula>1</formula>
    </cfRule>
    <cfRule type="cellIs" dxfId="0" priority="2" operator="greaterThan">
      <formula>1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rightToLeft="1" zoomScale="70" zoomScaleNormal="70" workbookViewId="0">
      <selection activeCell="M8" sqref="M8"/>
    </sheetView>
  </sheetViews>
  <sheetFormatPr defaultRowHeight="14.25" x14ac:dyDescent="0.2"/>
  <cols>
    <col min="6" max="6" width="10.25" bestFit="1" customWidth="1"/>
  </cols>
  <sheetData>
    <row r="1" spans="1:13" ht="16.5" thickBot="1" x14ac:dyDescent="0.3">
      <c r="A1" s="449" t="str">
        <f>'منطقة القاهرة'!A4</f>
        <v>المحطة</v>
      </c>
      <c r="B1" s="399" t="str">
        <f>'منطقة القاهرة'!B4</f>
        <v xml:space="preserve">الهايكستب </v>
      </c>
      <c r="C1" s="399">
        <f>'منطقة القاهرة'!C4</f>
        <v>0</v>
      </c>
      <c r="D1" s="450">
        <f>'منطقة القاهرة'!D4</f>
        <v>0</v>
      </c>
      <c r="E1" s="562" t="str">
        <f>'منطقة القاهرة'!E4</f>
        <v>مسطرد</v>
      </c>
      <c r="F1" s="563">
        <f>'منطقة القاهرة'!F4</f>
        <v>0</v>
      </c>
      <c r="G1" s="563">
        <f>'منطقة القاهرة'!G4</f>
        <v>0</v>
      </c>
      <c r="H1" s="407">
        <f>'منطقة القاهرة'!H4</f>
        <v>0</v>
      </c>
      <c r="K1" s="78" t="str">
        <f>'منطقة القاهرة'!D16</f>
        <v>الهايكستب</v>
      </c>
      <c r="L1" s="78"/>
      <c r="M1" s="78"/>
    </row>
    <row r="2" spans="1:13" ht="16.5" thickBot="1" x14ac:dyDescent="0.3">
      <c r="A2" s="449">
        <f>'منطقة القاهرة'!A5</f>
        <v>0</v>
      </c>
      <c r="B2" s="406" t="str">
        <f>'منطقة القاهرة'!B5</f>
        <v>تعاون</v>
      </c>
      <c r="C2" s="563">
        <f>'منطقة القاهرة'!C5</f>
        <v>0</v>
      </c>
      <c r="D2" s="564">
        <f>'منطقة القاهرة'!D5</f>
        <v>0</v>
      </c>
      <c r="E2" s="269" t="str">
        <f>'منطقة القاهرة'!E5</f>
        <v>تعاون</v>
      </c>
      <c r="F2" s="406" t="str">
        <f>'منطقة القاهرة'!F5</f>
        <v>موبيل</v>
      </c>
      <c r="G2" s="563">
        <f>'منطقة القاهرة'!G5</f>
        <v>0</v>
      </c>
      <c r="H2" s="407">
        <f>'منطقة القاهرة'!H5</f>
        <v>0</v>
      </c>
      <c r="K2" s="277">
        <f>'منطقة القاهرة'!D17</f>
        <v>80</v>
      </c>
      <c r="L2" s="55" t="str">
        <f>'منطقة القاهرة'!E17</f>
        <v>التعاون</v>
      </c>
      <c r="M2" s="56">
        <f>'منطقة القاهرة'!F17</f>
        <v>1256</v>
      </c>
    </row>
    <row r="3" spans="1:13" ht="16.5" thickBot="1" x14ac:dyDescent="0.3">
      <c r="A3" s="449">
        <f>'منطقة القاهرة'!A6</f>
        <v>0</v>
      </c>
      <c r="B3" s="264">
        <f>'منطقة القاهرة'!B6</f>
        <v>80</v>
      </c>
      <c r="C3" s="264">
        <f>'منطقة القاهرة'!C6</f>
        <v>92</v>
      </c>
      <c r="D3" s="265">
        <f>'منطقة القاهرة'!D6</f>
        <v>95</v>
      </c>
      <c r="E3" s="269" t="str">
        <f>'منطقة القاهرة'!E6</f>
        <v>سولار</v>
      </c>
      <c r="F3" s="264">
        <f>'منطقة القاهرة'!F6</f>
        <v>92</v>
      </c>
      <c r="G3" s="265">
        <f>'منطقة القاهرة'!G6</f>
        <v>95</v>
      </c>
      <c r="H3" s="264" t="str">
        <f>'منطقة القاهرة'!H6</f>
        <v>سولار</v>
      </c>
      <c r="K3" s="277">
        <f>'منطقة القاهرة'!D18</f>
        <v>95</v>
      </c>
      <c r="L3" s="48" t="str">
        <f>'منطقة القاهرة'!E18</f>
        <v>التعاون</v>
      </c>
      <c r="M3" s="58">
        <f>'منطقة القاهرة'!F18</f>
        <v>843</v>
      </c>
    </row>
    <row r="4" spans="1:13" ht="16.5" thickBot="1" x14ac:dyDescent="0.3">
      <c r="A4" s="267" t="str">
        <f>'منطقة القاهرة'!A7</f>
        <v>ماستر</v>
      </c>
      <c r="B4" s="192"/>
      <c r="C4" s="5" t="e">
        <f>'منطقة القاهرة'!C7</f>
        <v>#REF!</v>
      </c>
      <c r="D4" s="23" t="e">
        <f>'منطقة القاهرة'!D7</f>
        <v>#REF!</v>
      </c>
      <c r="E4" s="26"/>
      <c r="F4" s="5" t="e">
        <f>'منطقة القاهرة'!F7</f>
        <v>#REF!</v>
      </c>
      <c r="G4" s="23" t="e">
        <f>'منطقة القاهرة'!G7</f>
        <v>#REF!</v>
      </c>
      <c r="H4" s="192"/>
      <c r="K4" s="277">
        <f>'منطقة القاهرة'!D19</f>
        <v>92</v>
      </c>
      <c r="L4" s="61" t="str">
        <f>'منطقة القاهرة'!E19</f>
        <v>التعاون</v>
      </c>
      <c r="M4" s="62">
        <f>'منطقة القاهرة'!F19</f>
        <v>2504</v>
      </c>
    </row>
    <row r="5" spans="1:13" ht="16.5" thickBot="1" x14ac:dyDescent="0.3">
      <c r="A5" s="284" t="str">
        <f>'منطقة القاهرة'!A8</f>
        <v>النخيل</v>
      </c>
      <c r="B5" s="192"/>
      <c r="C5" s="5" t="e">
        <f>'منطقة القاهرة'!C8</f>
        <v>#REF!</v>
      </c>
      <c r="D5" s="23" t="e">
        <f>'منطقة القاهرة'!D8</f>
        <v>#REF!</v>
      </c>
      <c r="E5" s="26"/>
      <c r="F5" s="5" t="e">
        <f>'منطقة القاهرة'!F8</f>
        <v>#REF!</v>
      </c>
      <c r="G5" s="23" t="e">
        <f>'منطقة القاهرة'!G8</f>
        <v>#REF!</v>
      </c>
      <c r="H5" s="192"/>
      <c r="K5" s="78" t="str">
        <f>'منطقة القاهرة'!D20</f>
        <v>مسطرد</v>
      </c>
      <c r="L5" s="78"/>
      <c r="M5" s="78"/>
    </row>
    <row r="6" spans="1:13" ht="16.5" thickBot="1" x14ac:dyDescent="0.25">
      <c r="A6" s="267" t="str">
        <f>'منطقة القاهرة'!A9</f>
        <v>شبرا 1</v>
      </c>
      <c r="B6" s="5">
        <f>'منطقة القاهرة'!B9</f>
        <v>0</v>
      </c>
      <c r="C6" s="5" t="e">
        <f>'منطقة القاهرة'!C9</f>
        <v>#REF!</v>
      </c>
      <c r="D6" s="23" t="e">
        <f>'منطقة القاهرة'!D9</f>
        <v>#REF!</v>
      </c>
      <c r="E6" s="24">
        <f>'منطقة القاهرة'!E9</f>
        <v>0</v>
      </c>
      <c r="F6" s="5" t="e">
        <f>'منطقة القاهرة'!F9</f>
        <v>#REF!</v>
      </c>
      <c r="G6" s="23" t="e">
        <f>'منطقة القاهرة'!G9</f>
        <v>#REF!</v>
      </c>
      <c r="H6" s="5" t="e">
        <f>'منطقة القاهرة'!H9</f>
        <v>#REF!</v>
      </c>
      <c r="K6" s="568" t="str">
        <f>'منطقة القاهرة'!D21</f>
        <v>سولار</v>
      </c>
      <c r="L6" s="52" t="str">
        <f>'منطقة القاهرة'!E21</f>
        <v>التعاون</v>
      </c>
      <c r="M6" s="53">
        <f>'منطقة القاهرة'!F21</f>
        <v>1735</v>
      </c>
    </row>
    <row r="7" spans="1:13" ht="16.5" thickBot="1" x14ac:dyDescent="0.25">
      <c r="A7" s="267" t="str">
        <f>'منطقة القاهرة'!A10</f>
        <v>شبرا 2</v>
      </c>
      <c r="B7" s="5">
        <f>'منطقة القاهرة'!B10</f>
        <v>51</v>
      </c>
      <c r="C7" s="5" t="e">
        <f>'منطقة القاهرة'!C10</f>
        <v>#REF!</v>
      </c>
      <c r="D7" s="23" t="e">
        <f>'منطقة القاهرة'!D10</f>
        <v>#REF!</v>
      </c>
      <c r="E7" s="26"/>
      <c r="F7" s="5" t="e">
        <f>'منطقة القاهرة'!F10</f>
        <v>#REF!</v>
      </c>
      <c r="G7" s="23" t="e">
        <f>'منطقة القاهرة'!G10</f>
        <v>#REF!</v>
      </c>
      <c r="H7" s="192"/>
      <c r="K7" s="567"/>
      <c r="L7" s="52" t="str">
        <f>'منطقة القاهرة'!E22</f>
        <v>موبيل</v>
      </c>
      <c r="M7" s="53" t="e">
        <f>'منطقة القاهرة'!F22</f>
        <v>#REF!</v>
      </c>
    </row>
    <row r="8" spans="1:13" ht="16.5" thickBot="1" x14ac:dyDescent="0.25">
      <c r="A8" s="267" t="str">
        <f>'منطقة القاهرة'!A11</f>
        <v>شبرا 3</v>
      </c>
      <c r="B8" s="5">
        <f>'منطقة القاهرة'!B11</f>
        <v>17</v>
      </c>
      <c r="C8" s="5" t="e">
        <f>'منطقة القاهرة'!C11</f>
        <v>#REF!</v>
      </c>
      <c r="D8" s="25"/>
      <c r="E8" s="24">
        <f>'منطقة القاهرة'!E11</f>
        <v>0</v>
      </c>
      <c r="F8" s="5" t="e">
        <f>'منطقة القاهرة'!F11</f>
        <v>#REF!</v>
      </c>
      <c r="G8" s="25"/>
      <c r="H8" s="5" t="e">
        <f>'منطقة القاهرة'!H11</f>
        <v>#REF!</v>
      </c>
      <c r="K8" s="115">
        <f>'منطقة القاهرة'!D23</f>
        <v>95</v>
      </c>
      <c r="L8" s="48" t="str">
        <f>'منطقة القاهرة'!E23</f>
        <v>موبيل</v>
      </c>
      <c r="M8" s="58" t="e">
        <f>'منطقة القاهرة'!F23</f>
        <v>#REF!</v>
      </c>
    </row>
    <row r="9" spans="1:13" ht="16.5" thickBot="1" x14ac:dyDescent="0.25">
      <c r="A9" s="267" t="str">
        <f>'منطقة القاهرة'!A12</f>
        <v>شبرا 4</v>
      </c>
      <c r="B9" s="5">
        <f>'منطقة القاهرة'!B12</f>
        <v>0</v>
      </c>
      <c r="C9" s="5" t="e">
        <f>'منطقة القاهرة'!C12</f>
        <v>#REF!</v>
      </c>
      <c r="D9" s="25"/>
      <c r="E9" s="24">
        <f>'منطقة القاهرة'!E12</f>
        <v>0</v>
      </c>
      <c r="F9" s="5" t="e">
        <f>'منطقة القاهرة'!F12</f>
        <v>#REF!</v>
      </c>
      <c r="G9" s="25"/>
      <c r="H9" s="5" t="e">
        <f>'منطقة القاهرة'!H12</f>
        <v>#REF!</v>
      </c>
      <c r="K9" s="115">
        <f>'منطقة القاهرة'!D24</f>
        <v>92</v>
      </c>
      <c r="L9" s="61" t="str">
        <f>'منطقة القاهرة'!E24</f>
        <v>موبيل</v>
      </c>
      <c r="M9" s="62" t="e">
        <f>'منطقة القاهرة'!F24</f>
        <v>#REF!</v>
      </c>
    </row>
    <row r="10" spans="1:13" ht="16.5" thickBot="1" x14ac:dyDescent="0.25">
      <c r="A10" s="267" t="str">
        <f>'منطقة القاهرة'!A13</f>
        <v>شل 1</v>
      </c>
      <c r="B10" s="192"/>
      <c r="C10" s="5" t="e">
        <f>'منطقة القاهرة'!C13</f>
        <v>#REF!</v>
      </c>
      <c r="D10" s="23" t="e">
        <f>'منطقة القاهرة'!D13</f>
        <v>#REF!</v>
      </c>
      <c r="E10" s="26"/>
      <c r="F10" s="5" t="e">
        <f>'منطقة القاهرة'!F13</f>
        <v>#REF!</v>
      </c>
      <c r="G10" s="23" t="e">
        <f>'منطقة القاهرة'!G13</f>
        <v>#REF!</v>
      </c>
      <c r="H10" s="192"/>
    </row>
    <row r="11" spans="1:13" ht="16.5" thickBot="1" x14ac:dyDescent="0.25">
      <c r="A11" s="267" t="str">
        <f>'منطقة القاهرة'!A14</f>
        <v>شل 2</v>
      </c>
      <c r="B11" s="192"/>
      <c r="C11" s="5" t="e">
        <f>'منطقة القاهرة'!C14</f>
        <v>#REF!</v>
      </c>
      <c r="D11" s="23" t="e">
        <f>'منطقة القاهرة'!D14</f>
        <v>#REF!</v>
      </c>
      <c r="E11" s="24">
        <f>'منطقة القاهرة'!E14</f>
        <v>0</v>
      </c>
      <c r="F11" s="5" t="e">
        <f>'منطقة القاهرة'!F14</f>
        <v>#REF!</v>
      </c>
      <c r="G11" s="23" t="e">
        <f>'منطقة القاهرة'!G14</f>
        <v>#REF!</v>
      </c>
      <c r="H11" s="5" t="e">
        <f>'منطقة القاهرة'!H14</f>
        <v>#REF!</v>
      </c>
    </row>
    <row r="12" spans="1:13" ht="16.5" thickBot="1" x14ac:dyDescent="0.25">
      <c r="K12" s="568" t="str">
        <f>'منطقة السويس'!B15</f>
        <v>سولار</v>
      </c>
      <c r="L12" s="52" t="str">
        <f>'منطقة السويس'!C15</f>
        <v>مصر</v>
      </c>
      <c r="M12" s="53">
        <f>'منطقة السويس'!D15</f>
        <v>0</v>
      </c>
    </row>
    <row r="13" spans="1:13" ht="16.5" thickBot="1" x14ac:dyDescent="0.25">
      <c r="A13" s="449" t="str">
        <f>'منطقة السويس'!A4</f>
        <v>المحطة</v>
      </c>
      <c r="B13" s="406" t="str">
        <f>'منطقة السويس'!B4</f>
        <v>السويس</v>
      </c>
      <c r="C13" s="563">
        <f>'منطقة السويس'!C4</f>
        <v>0</v>
      </c>
      <c r="D13" s="563">
        <f>'منطقة السويس'!D4</f>
        <v>0</v>
      </c>
      <c r="E13" s="563">
        <f>'منطقة السويس'!E4</f>
        <v>0</v>
      </c>
      <c r="F13" s="563">
        <f>'منطقة السويس'!F4</f>
        <v>0</v>
      </c>
      <c r="G13" s="563">
        <f>'منطقة السويس'!G4</f>
        <v>0</v>
      </c>
      <c r="H13" s="407">
        <f>'منطقة السويس'!H4</f>
        <v>0</v>
      </c>
      <c r="I13" s="276" t="s">
        <v>119</v>
      </c>
      <c r="K13" s="569">
        <f>'منطقة السويس'!B16</f>
        <v>0</v>
      </c>
      <c r="L13" s="52" t="str">
        <f>'منطقة السويس'!C16</f>
        <v>التعاون</v>
      </c>
      <c r="M13" s="53">
        <f>'منطقة السويس'!D16</f>
        <v>0</v>
      </c>
    </row>
    <row r="14" spans="1:13" ht="16.5" thickBot="1" x14ac:dyDescent="0.25">
      <c r="A14" s="449">
        <f>'منطقة السويس'!A5</f>
        <v>0</v>
      </c>
      <c r="B14" s="120" t="str">
        <f>'منطقة السويس'!B5</f>
        <v>تعاون</v>
      </c>
      <c r="C14" s="570" t="str">
        <f>'منطقة السويس'!C5</f>
        <v>موبيل</v>
      </c>
      <c r="D14" s="540">
        <f>'منطقة السويس'!D5</f>
        <v>0</v>
      </c>
      <c r="E14" s="571">
        <f>'منطقة السويس'!E5</f>
        <v>0</v>
      </c>
      <c r="F14" s="540" t="str">
        <f>'منطقة السويس'!F5</f>
        <v>مصر</v>
      </c>
      <c r="G14" s="540">
        <f>'منطقة السويس'!G5</f>
        <v>0</v>
      </c>
      <c r="H14" s="541">
        <f>'منطقة السويس'!H5</f>
        <v>0</v>
      </c>
      <c r="I14" s="275" t="s">
        <v>83</v>
      </c>
      <c r="K14" s="569">
        <f>'منطقة السويس'!B17</f>
        <v>0</v>
      </c>
      <c r="L14" s="59" t="str">
        <f>'منطقة السويس'!C17</f>
        <v>موبيل</v>
      </c>
      <c r="M14" s="60" t="e">
        <f>'منطقة السويس'!D17</f>
        <v>#REF!</v>
      </c>
    </row>
    <row r="15" spans="1:13" ht="16.5" thickBot="1" x14ac:dyDescent="0.25">
      <c r="A15" s="449">
        <f>'منطقة السويس'!A6</f>
        <v>0</v>
      </c>
      <c r="B15" s="268" t="str">
        <f>'منطقة السويس'!B6</f>
        <v>سولار</v>
      </c>
      <c r="C15" s="269">
        <f>'منطقة السويس'!C6</f>
        <v>92</v>
      </c>
      <c r="D15" s="265">
        <f>'منطقة السويس'!D6</f>
        <v>95</v>
      </c>
      <c r="E15" s="268" t="str">
        <f>'منطقة السويس'!E6</f>
        <v>سولار</v>
      </c>
      <c r="F15" s="266">
        <f>'منطقة السويس'!F6</f>
        <v>92</v>
      </c>
      <c r="G15" s="265">
        <f>'منطقة السويس'!G6</f>
        <v>95</v>
      </c>
      <c r="H15" s="264" t="str">
        <f>'منطقة السويس'!H6</f>
        <v>سولار</v>
      </c>
      <c r="I15" s="276" t="s">
        <v>50</v>
      </c>
      <c r="K15" s="566">
        <f>'منطقة السويس'!B18</f>
        <v>0</v>
      </c>
      <c r="L15" s="52" t="str">
        <f>'منطقة السويس'!C18</f>
        <v>بورسعيد</v>
      </c>
      <c r="M15" s="53">
        <f>'منطقة السويس'!D18</f>
        <v>0</v>
      </c>
    </row>
    <row r="16" spans="1:13" ht="17.25" thickTop="1" thickBot="1" x14ac:dyDescent="0.25">
      <c r="A16" s="267" t="str">
        <f>'منطقة السويس'!A7</f>
        <v>أول الجلالة</v>
      </c>
      <c r="B16" s="37">
        <f>'منطقة السويس'!B7</f>
        <v>51</v>
      </c>
      <c r="C16" s="24" t="e">
        <f>'منطقة السويس'!C7</f>
        <v>#REF!</v>
      </c>
      <c r="D16" s="23" t="e">
        <f>'منطقة السويس'!D7</f>
        <v>#REF!</v>
      </c>
      <c r="E16" s="37" t="e">
        <f>'منطقة السويس'!E7</f>
        <v>#REF!</v>
      </c>
      <c r="F16" s="121" t="e">
        <f>'منطقة السويس'!F7</f>
        <v>#VALUE!</v>
      </c>
      <c r="G16" s="23" t="e">
        <f>'منطقة السويس'!G7</f>
        <v>#REF!</v>
      </c>
      <c r="H16" s="5" t="e">
        <f>'منطقة السويس'!H7</f>
        <v>#REF!</v>
      </c>
      <c r="I16" s="5"/>
      <c r="K16" s="565">
        <f>'منطقة السويس'!B19</f>
        <v>95</v>
      </c>
      <c r="L16" s="49" t="str">
        <f>'منطقة السويس'!C19</f>
        <v>مصر</v>
      </c>
      <c r="M16" s="63">
        <f>'منطقة السويس'!D19</f>
        <v>0</v>
      </c>
    </row>
    <row r="17" spans="1:13" ht="16.5" thickBot="1" x14ac:dyDescent="0.25">
      <c r="A17" s="267" t="str">
        <f>'منطقة السويس'!A8</f>
        <v>واحة 1</v>
      </c>
      <c r="B17" s="37">
        <f>'منطقة السويس'!B8</f>
        <v>68</v>
      </c>
      <c r="C17" s="24" t="e">
        <f>'منطقة السويس'!C8</f>
        <v>#REF!</v>
      </c>
      <c r="D17" s="23" t="e">
        <f>'منطقة السويس'!D8</f>
        <v>#REF!</v>
      </c>
      <c r="E17" s="37" t="e">
        <f>'منطقة السويس'!E8</f>
        <v>#REF!</v>
      </c>
      <c r="F17" s="121" t="e">
        <f>'منطقة السويس'!F8</f>
        <v>#VALUE!</v>
      </c>
      <c r="G17" s="23" t="e">
        <f>'منطقة السويس'!G8</f>
        <v>#REF!</v>
      </c>
      <c r="H17" s="5" t="e">
        <f>'منطقة السويس'!H8</f>
        <v>#REF!</v>
      </c>
      <c r="I17" s="5"/>
      <c r="K17" s="566">
        <f>'منطقة السويس'!B20</f>
        <v>0</v>
      </c>
      <c r="L17" s="50" t="str">
        <f>'منطقة السويس'!C20</f>
        <v>موبيل</v>
      </c>
      <c r="M17" s="66" t="e">
        <f>'منطقة السويس'!D20</f>
        <v>#REF!</v>
      </c>
    </row>
    <row r="18" spans="1:13" ht="17.25" thickTop="1" thickBot="1" x14ac:dyDescent="0.25">
      <c r="A18" s="267" t="str">
        <f>'منطقة السويس'!A9</f>
        <v>واحة 2</v>
      </c>
      <c r="B18" s="38"/>
      <c r="C18" s="24" t="e">
        <f>'منطقة السويس'!C9</f>
        <v>#REF!</v>
      </c>
      <c r="D18" s="23" t="e">
        <f>'منطقة السويس'!D9</f>
        <v>#REF!</v>
      </c>
      <c r="E18" s="38"/>
      <c r="F18" s="121" t="e">
        <f>'منطقة السويس'!F9</f>
        <v>#VALUE!</v>
      </c>
      <c r="G18" s="23" t="e">
        <f>'منطقة السويس'!G9</f>
        <v>#REF!</v>
      </c>
      <c r="H18" s="192"/>
      <c r="I18" s="5"/>
      <c r="K18" s="565">
        <f>'منطقة السويس'!B21</f>
        <v>92</v>
      </c>
      <c r="L18" s="68" t="str">
        <f>'منطقة السويس'!C21</f>
        <v>مصر</v>
      </c>
      <c r="M18" s="69" t="e">
        <f>'منطقة السويس'!D21</f>
        <v>#VALUE!</v>
      </c>
    </row>
    <row r="19" spans="1:13" ht="16.5" thickBot="1" x14ac:dyDescent="0.25">
      <c r="A19" s="267" t="str">
        <f>'منطقة السويس'!A10</f>
        <v>الكاب</v>
      </c>
      <c r="B19" s="37">
        <f>'منطقة السويس'!B10</f>
        <v>0</v>
      </c>
      <c r="C19" s="24" t="e">
        <f>'منطقة السويس'!C10</f>
        <v>#REF!</v>
      </c>
      <c r="D19" s="23" t="e">
        <f>'منطقة السويس'!D10</f>
        <v>#REF!</v>
      </c>
      <c r="E19" s="37" t="e">
        <f>'منطقة السويس'!E10</f>
        <v>#REF!</v>
      </c>
      <c r="F19" s="121" t="e">
        <f>'منطقة السويس'!F10</f>
        <v>#VALUE!</v>
      </c>
      <c r="G19" s="23" t="e">
        <f>'منطقة السويس'!G10</f>
        <v>#REF!</v>
      </c>
      <c r="H19" s="5" t="e">
        <f>'منطقة السويس'!H10</f>
        <v>#REF!</v>
      </c>
      <c r="I19" s="5"/>
      <c r="K19" s="567">
        <f>'منطقة السويس'!B22</f>
        <v>0</v>
      </c>
      <c r="L19" s="61" t="str">
        <f>'منطقة السويس'!C22</f>
        <v>موبيل</v>
      </c>
      <c r="M19" s="62" t="e">
        <f>'منطقة السويس'!D22</f>
        <v>#REF!</v>
      </c>
    </row>
    <row r="20" spans="1:13" ht="15" thickBot="1" x14ac:dyDescent="0.25"/>
    <row r="21" spans="1:13" ht="16.5" thickBot="1" x14ac:dyDescent="0.3">
      <c r="K21" s="572" t="str">
        <f>'منطقة الاسكندرية'!B14</f>
        <v>سولار</v>
      </c>
      <c r="L21" s="52" t="str">
        <f>'منطقة الاسكندرية'!C14</f>
        <v>مصر</v>
      </c>
      <c r="M21" s="57">
        <f>'منطقة الاسكندرية'!D14</f>
        <v>0</v>
      </c>
    </row>
    <row r="22" spans="1:13" ht="16.5" thickBot="1" x14ac:dyDescent="0.3">
      <c r="A22" s="449" t="str">
        <f>'منطقة الاسكندرية'!A4</f>
        <v>المحطة</v>
      </c>
      <c r="B22" s="406" t="str">
        <f>'منطقة الاسكندرية'!B4</f>
        <v>الماكس</v>
      </c>
      <c r="C22" s="563">
        <f>'منطقة الاسكندرية'!C4</f>
        <v>0</v>
      </c>
      <c r="D22" s="563">
        <f>'منطقة الاسكندرية'!D4</f>
        <v>0</v>
      </c>
      <c r="E22" s="563">
        <f>'منطقة الاسكندرية'!E4</f>
        <v>0</v>
      </c>
      <c r="F22" s="563">
        <f>'منطقة الاسكندرية'!F4</f>
        <v>0</v>
      </c>
      <c r="G22" s="563">
        <f>'منطقة الاسكندرية'!G4</f>
        <v>0</v>
      </c>
      <c r="H22" s="563">
        <f>'منطقة الاسكندرية'!H4</f>
        <v>0</v>
      </c>
      <c r="I22" s="407">
        <f>'منطقة الاسكندرية'!I4</f>
        <v>0</v>
      </c>
      <c r="K22" s="573">
        <f>'منطقة الاسكندرية'!B15</f>
        <v>0</v>
      </c>
      <c r="L22" s="52" t="str">
        <f>'منطقة الاسكندرية'!C15</f>
        <v>التعاون</v>
      </c>
      <c r="M22" s="57">
        <f>'منطقة الاسكندرية'!D15</f>
        <v>149</v>
      </c>
    </row>
    <row r="23" spans="1:13" ht="16.5" thickBot="1" x14ac:dyDescent="0.3">
      <c r="A23" s="449">
        <f>'منطقة الاسكندرية'!A5</f>
        <v>0</v>
      </c>
      <c r="B23" s="542" t="str">
        <f>'منطقة الاسكندرية'!B5</f>
        <v>تعاون</v>
      </c>
      <c r="C23" s="542">
        <f>'منطقة الاسكندرية'!C5</f>
        <v>0</v>
      </c>
      <c r="D23" s="558">
        <f>'منطقة الاسكندرية'!D5</f>
        <v>0</v>
      </c>
      <c r="E23" s="575" t="str">
        <f>'منطقة الاسكندرية'!E5</f>
        <v>مصر</v>
      </c>
      <c r="F23" s="576">
        <f>'منطقة الاسكندرية'!F5</f>
        <v>0</v>
      </c>
      <c r="G23" s="559" t="str">
        <f>'منطقة الاسكندرية'!G5</f>
        <v>موبيل</v>
      </c>
      <c r="H23" s="542">
        <f>'منطقة الاسكندرية'!H5</f>
        <v>0</v>
      </c>
      <c r="I23" s="542">
        <f>'منطقة الاسكندرية'!I5</f>
        <v>0</v>
      </c>
      <c r="K23" s="574">
        <f>'منطقة الاسكندرية'!B16</f>
        <v>0</v>
      </c>
      <c r="L23" s="52" t="str">
        <f>'منطقة الاسكندرية'!C16</f>
        <v>موبيل</v>
      </c>
      <c r="M23" s="57" t="e">
        <f>'منطقة الاسكندرية'!D16</f>
        <v>#REF!</v>
      </c>
    </row>
    <row r="24" spans="1:13" ht="16.5" thickBot="1" x14ac:dyDescent="0.3">
      <c r="A24" s="449">
        <f>'منطقة الاسكندرية'!A6</f>
        <v>0</v>
      </c>
      <c r="B24" s="270" t="str">
        <f>'منطقة الاسكندرية'!B6</f>
        <v>بنزين 80</v>
      </c>
      <c r="C24" s="270" t="str">
        <f>'منطقة الاسكندرية'!C6</f>
        <v>بنزين 92</v>
      </c>
      <c r="D24" s="271" t="str">
        <f>'منطقة الاسكندرية'!D6</f>
        <v>سولار</v>
      </c>
      <c r="E24" s="273" t="str">
        <f>'منطقة الاسكندرية'!E6</f>
        <v>بنزين 92</v>
      </c>
      <c r="F24" s="37" t="str">
        <f>'منطقة الاسكندرية'!F6</f>
        <v>سولار</v>
      </c>
      <c r="G24" s="121" t="str">
        <f>'منطقة الاسكندرية'!G6</f>
        <v>بنزين 92</v>
      </c>
      <c r="H24" s="270" t="str">
        <f>'منطقة الاسكندرية'!H6</f>
        <v>بنزين 95</v>
      </c>
      <c r="I24" s="270" t="str">
        <f>'منطقة الاسكندرية'!I6</f>
        <v>سولار</v>
      </c>
      <c r="K24" s="64">
        <f>'منطقة الاسكندرية'!B17</f>
        <v>80</v>
      </c>
      <c r="L24" s="55" t="str">
        <f>'منطقة الاسكندرية'!C17</f>
        <v>التعاون</v>
      </c>
      <c r="M24" s="65">
        <f>'منطقة الاسكندرية'!D17</f>
        <v>83</v>
      </c>
    </row>
    <row r="25" spans="1:13" ht="16.5" thickBot="1" x14ac:dyDescent="0.3">
      <c r="A25" s="267" t="str">
        <f>'منطقة الاسكندرية'!A7</f>
        <v>الساحل</v>
      </c>
      <c r="B25" s="192"/>
      <c r="C25" s="5" t="e">
        <f>'منطقة الاسكندرية'!C7</f>
        <v>#REF!</v>
      </c>
      <c r="D25" s="23" t="e">
        <f>'منطقة الاسكندرية'!D7</f>
        <v>#REF!</v>
      </c>
      <c r="E25" s="24">
        <f>'منطقة الاسكندرية'!E7</f>
        <v>0</v>
      </c>
      <c r="F25" s="37">
        <f>'منطقة الاسكندرية'!F7</f>
        <v>0</v>
      </c>
      <c r="G25" s="24" t="e">
        <f>'منطقة الاسكندرية'!G7</f>
        <v>#REF!</v>
      </c>
      <c r="H25" s="5">
        <f>'منطقة الاسكندرية'!H7</f>
        <v>17</v>
      </c>
      <c r="I25" s="41" t="e">
        <f>'منطقة الاسكندرية'!I7</f>
        <v>#REF!</v>
      </c>
      <c r="K25" s="64">
        <f>'منطقة الاسكندرية'!B18</f>
        <v>95</v>
      </c>
      <c r="L25" s="48" t="str">
        <f>'منطقة الاسكندرية'!C18</f>
        <v>موبيل</v>
      </c>
      <c r="M25" s="67" t="e">
        <f>'منطقة الاسكندرية'!D18</f>
        <v>#REF!</v>
      </c>
    </row>
    <row r="26" spans="1:13" ht="16.5" thickBot="1" x14ac:dyDescent="0.3">
      <c r="A26" s="267" t="str">
        <f>'منطقة الاسكندرية'!A8</f>
        <v>العامرية</v>
      </c>
      <c r="B26" s="192"/>
      <c r="C26" s="5" t="e">
        <f>'منطقة الاسكندرية'!C8</f>
        <v>#REF!</v>
      </c>
      <c r="D26" s="25"/>
      <c r="E26" s="24">
        <f>'منطقة الاسكندرية'!E8</f>
        <v>0</v>
      </c>
      <c r="F26" s="38"/>
      <c r="G26" s="24" t="e">
        <f>'منطقة الاسكندرية'!G8</f>
        <v>#REF!</v>
      </c>
      <c r="H26" s="5">
        <f>'منطقة الاسكندرية'!H8</f>
        <v>17</v>
      </c>
      <c r="I26" s="80"/>
      <c r="K26" s="572">
        <f>'منطقة الاسكندرية'!B19</f>
        <v>92</v>
      </c>
      <c r="L26" s="70" t="str">
        <f>'منطقة الاسكندرية'!C19</f>
        <v>مصر</v>
      </c>
      <c r="M26" s="71">
        <f>'منطقة الاسكندرية'!D19</f>
        <v>0</v>
      </c>
    </row>
    <row r="27" spans="1:13" ht="16.5" thickBot="1" x14ac:dyDescent="0.3">
      <c r="A27" s="267" t="str">
        <f>'منطقة الاسكندرية'!A9</f>
        <v>الضبعة 7</v>
      </c>
      <c r="B27" s="5">
        <f>'منطقة الاسكندرية'!B9</f>
        <v>0</v>
      </c>
      <c r="C27" s="5" t="e">
        <f>'منطقة الاسكندرية'!C9</f>
        <v>#REF!</v>
      </c>
      <c r="D27" s="23" t="e">
        <f>'منطقة الاسكندرية'!D9</f>
        <v>#REF!</v>
      </c>
      <c r="E27" s="24">
        <f>'منطقة الاسكندرية'!E9</f>
        <v>0</v>
      </c>
      <c r="F27" s="37">
        <f>'منطقة الاسكندرية'!F9</f>
        <v>0</v>
      </c>
      <c r="G27" s="24" t="e">
        <f>'منطقة الاسكندرية'!G9</f>
        <v>#REF!</v>
      </c>
      <c r="H27" s="192"/>
      <c r="I27" s="41" t="e">
        <f>'منطقة الاسكندرية'!I9</f>
        <v>#REF!</v>
      </c>
      <c r="K27" s="573">
        <f>'منطقة الاسكندرية'!B20</f>
        <v>0</v>
      </c>
      <c r="L27" s="70" t="str">
        <f>'منطقة الاسكندرية'!C20</f>
        <v>التعاون</v>
      </c>
      <c r="M27" s="71">
        <f>'منطقة الاسكندرية'!D20</f>
        <v>215</v>
      </c>
    </row>
    <row r="28" spans="1:13" ht="16.5" thickBot="1" x14ac:dyDescent="0.3">
      <c r="A28" s="267" t="str">
        <f>'منطقة الاسكندرية'!A10</f>
        <v>الضبعة 8</v>
      </c>
      <c r="B28" s="5">
        <f>'منطقة الاسكندرية'!B10</f>
        <v>0</v>
      </c>
      <c r="C28" s="5" t="e">
        <f>'منطقة الاسكندرية'!C10</f>
        <v>#REF!</v>
      </c>
      <c r="D28" s="23" t="e">
        <f>'منطقة الاسكندرية'!D10</f>
        <v>#REF!</v>
      </c>
      <c r="E28" s="24">
        <f>'منطقة الاسكندرية'!E10</f>
        <v>0</v>
      </c>
      <c r="F28" s="37">
        <f>'منطقة الاسكندرية'!F10</f>
        <v>0</v>
      </c>
      <c r="G28" s="24" t="e">
        <f>'منطقة الاسكندرية'!G10</f>
        <v>#REF!</v>
      </c>
      <c r="H28" s="192"/>
      <c r="I28" s="41" t="e">
        <f>'منطقة الاسكندرية'!I10</f>
        <v>#REF!</v>
      </c>
      <c r="K28" s="574">
        <f>'منطقة الاسكندرية'!B21</f>
        <v>0</v>
      </c>
      <c r="L28" s="70" t="str">
        <f>'منطقة الاسكندرية'!C21</f>
        <v>موبيل</v>
      </c>
      <c r="M28" s="71" t="e">
        <f>'منطقة الاسكندرية'!D21</f>
        <v>#REF!</v>
      </c>
    </row>
    <row r="30" spans="1:13" ht="15" thickBot="1" x14ac:dyDescent="0.25">
      <c r="C30" s="577"/>
      <c r="D30" s="577"/>
    </row>
    <row r="31" spans="1:13" ht="16.5" thickBot="1" x14ac:dyDescent="0.3">
      <c r="A31" s="501" t="str">
        <f>'منطقة طنطا'!A4</f>
        <v>المحطة</v>
      </c>
      <c r="B31" s="406" t="str">
        <f>'منطقة طنطا'!B4</f>
        <v>طنطا</v>
      </c>
      <c r="C31" s="563">
        <f>'منطقة طنطا'!C4</f>
        <v>0</v>
      </c>
      <c r="D31" s="563">
        <f>'منطقة طنطا'!D4</f>
        <v>0</v>
      </c>
      <c r="E31" s="563">
        <f>'منطقة طنطا'!E4</f>
        <v>0</v>
      </c>
      <c r="F31" s="407">
        <f>'منطقة طنطا'!F4</f>
        <v>0</v>
      </c>
      <c r="H31" s="78"/>
      <c r="I31" s="78"/>
      <c r="J31" s="78"/>
      <c r="K31" s="568" t="str">
        <f>'منطقة طنطا'!B15</f>
        <v>سولار</v>
      </c>
      <c r="L31" s="52" t="str">
        <f>'منطقة طنطا'!C15</f>
        <v>مصر</v>
      </c>
      <c r="M31" s="53">
        <f>'منطقة طنطا'!D15</f>
        <v>0</v>
      </c>
    </row>
    <row r="32" spans="1:13" ht="16.5" thickBot="1" x14ac:dyDescent="0.25">
      <c r="A32" s="502">
        <f>'منطقة طنطا'!A5</f>
        <v>0</v>
      </c>
      <c r="B32" s="406" t="str">
        <f>'منطقة طنطا'!B5</f>
        <v>مصر</v>
      </c>
      <c r="C32" s="563">
        <f>'منطقة طنطا'!C5</f>
        <v>0</v>
      </c>
      <c r="D32" s="562" t="str">
        <f>'منطقة طنطا'!D5</f>
        <v>تعاون</v>
      </c>
      <c r="E32" s="564">
        <f>'منطقة طنطا'!E5</f>
        <v>0</v>
      </c>
      <c r="F32" s="266" t="str">
        <f>'منطقة طنطا'!F5</f>
        <v>تعاون هايكستب</v>
      </c>
      <c r="K32" s="567">
        <f>'منطقة طنطا'!B16</f>
        <v>0</v>
      </c>
      <c r="L32" s="52" t="str">
        <f>'منطقة طنطا'!C16</f>
        <v>التعاون</v>
      </c>
      <c r="M32" s="53">
        <f>'منطقة طنطا'!D16</f>
        <v>0</v>
      </c>
    </row>
    <row r="33" spans="1:13" ht="16.5" thickBot="1" x14ac:dyDescent="0.25">
      <c r="A33" s="503">
        <f>'منطقة طنطا'!A6</f>
        <v>0</v>
      </c>
      <c r="B33" s="264" t="str">
        <f>'منطقة طنطا'!B6</f>
        <v>بنزين 92</v>
      </c>
      <c r="C33" s="265" t="str">
        <f>'منطقة طنطا'!C6</f>
        <v>سولار</v>
      </c>
      <c r="D33" s="269" t="str">
        <f>'منطقة طنطا'!D6</f>
        <v>بنزين 92</v>
      </c>
      <c r="E33" s="268" t="str">
        <f>'منطقة طنطا'!E6</f>
        <v>سولار</v>
      </c>
      <c r="F33" s="266" t="str">
        <f>'منطقة طنطا'!F6</f>
        <v>بنزين 95</v>
      </c>
      <c r="K33" s="568">
        <f>'منطقة طنطا'!B17</f>
        <v>92</v>
      </c>
      <c r="L33" s="61" t="str">
        <f>'منطقة طنطا'!C17</f>
        <v>مصر</v>
      </c>
      <c r="M33" s="62">
        <f>'منطقة طنطا'!D17</f>
        <v>0</v>
      </c>
    </row>
    <row r="34" spans="1:13" ht="16.5" thickBot="1" x14ac:dyDescent="0.25">
      <c r="A34" s="267" t="str">
        <f>'منطقة طنطا'!A7</f>
        <v>الصنافين 1</v>
      </c>
      <c r="B34" s="270" t="e">
        <f>'منطقة طنطا'!B7</f>
        <v>#VALUE!</v>
      </c>
      <c r="C34" s="271">
        <f>'منطقة طنطا'!C7</f>
        <v>0</v>
      </c>
      <c r="D34" s="273" t="e">
        <f>'منطقة طنطا'!D7</f>
        <v>#VALUE!</v>
      </c>
      <c r="E34" s="274">
        <f>'منطقة طنطا'!E7</f>
        <v>0</v>
      </c>
      <c r="F34" s="272">
        <f>'منطقة طنطا'!F7</f>
        <v>0</v>
      </c>
      <c r="K34" s="567">
        <f>'منطقة طنطا'!B18</f>
        <v>0</v>
      </c>
      <c r="L34" s="61" t="str">
        <f>'منطقة طنطا'!C18</f>
        <v>التعاون</v>
      </c>
      <c r="M34" s="62" t="e">
        <f>'منطقة طنطا'!D18</f>
        <v>#VALUE!</v>
      </c>
    </row>
    <row r="35" spans="1:13" ht="16.5" thickBot="1" x14ac:dyDescent="0.25">
      <c r="A35" s="267" t="str">
        <f>'منطقة طنطا'!A8</f>
        <v>الصنافين 2</v>
      </c>
      <c r="B35" s="270" t="e">
        <f>'منطقة طنطا'!B8</f>
        <v>#VALUE!</v>
      </c>
      <c r="C35" s="271">
        <f>'منطقة طنطا'!C8</f>
        <v>0</v>
      </c>
      <c r="D35" s="273" t="e">
        <f>'منطقة طنطا'!D8</f>
        <v>#VALUE!</v>
      </c>
      <c r="E35" s="274">
        <f>'منطقة طنطا'!E8</f>
        <v>0</v>
      </c>
      <c r="F35" s="272">
        <f>'منطقة طنطا'!F8</f>
        <v>0</v>
      </c>
    </row>
    <row r="36" spans="1:13" ht="16.5" thickBot="1" x14ac:dyDescent="0.25">
      <c r="A36" s="267" t="str">
        <f>'منطقة طنطا'!A9</f>
        <v>الخطاطبة 1</v>
      </c>
      <c r="B36" s="270" t="e">
        <f>'منطقة طنطا'!B9</f>
        <v>#VALUE!</v>
      </c>
      <c r="C36" s="271">
        <f>'منطقة طنطا'!C9</f>
        <v>0</v>
      </c>
      <c r="D36" s="273" t="e">
        <f>'منطقة طنطا'!D9</f>
        <v>#VALUE!</v>
      </c>
      <c r="E36" s="274">
        <f>'منطقة طنطا'!E9</f>
        <v>0</v>
      </c>
      <c r="F36" s="272">
        <f>'منطقة طنطا'!F9</f>
        <v>17</v>
      </c>
    </row>
    <row r="37" spans="1:13" ht="16.5" thickBot="1" x14ac:dyDescent="0.25">
      <c r="A37" s="267" t="str">
        <f>'منطقة طنطا'!A10</f>
        <v>الخطاطبة 2</v>
      </c>
      <c r="B37" s="270" t="e">
        <f>'منطقة طنطا'!B10</f>
        <v>#VALUE!</v>
      </c>
      <c r="C37" s="271">
        <f>'منطقة طنطا'!C10</f>
        <v>0</v>
      </c>
      <c r="D37" s="273" t="e">
        <f>'منطقة طنطا'!D10</f>
        <v>#VALUE!</v>
      </c>
      <c r="E37" s="274">
        <f>'منطقة طنطا'!E10</f>
        <v>0</v>
      </c>
      <c r="F37" s="272">
        <f>'منطقة طنطا'!F10</f>
        <v>0</v>
      </c>
    </row>
  </sheetData>
  <customSheetViews>
    <customSheetView guid="{18C0F7AC-4BB1-46DE-8A01-8E31FE0585FC}" scale="70">
      <selection activeCell="M8" sqref="M8"/>
      <pageMargins left="0.98425196850393704" right="0.98425196850393704" top="0.98425196850393704" bottom="0.98425196850393704" header="0.51181102362204722" footer="0.51181102362204722"/>
      <pageSetup paperSize="9" scale="79" orientation="landscape" r:id="rId1"/>
    </customSheetView>
    <customSheetView guid="{8317B6D8-8A99-4EB0-9DBC-8E9AE0170A4B}">
      <selection activeCell="I18" sqref="I18"/>
      <pageMargins left="0.98425196850393704" right="0.98425196850393704" top="0.98425196850393704" bottom="0.98425196850393704" header="0.51181102362204722" footer="0.51181102362204722"/>
      <pageSetup paperSize="9" scale="79" orientation="landscape" r:id="rId2"/>
    </customSheetView>
  </customSheetViews>
  <mergeCells count="27">
    <mergeCell ref="A13:A15"/>
    <mergeCell ref="B13:H13"/>
    <mergeCell ref="C14:E14"/>
    <mergeCell ref="F14:H14"/>
    <mergeCell ref="A1:A3"/>
    <mergeCell ref="B1:D1"/>
    <mergeCell ref="E1:H1"/>
    <mergeCell ref="B2:D2"/>
    <mergeCell ref="F2:H2"/>
    <mergeCell ref="A31:A33"/>
    <mergeCell ref="B31:F31"/>
    <mergeCell ref="B32:C32"/>
    <mergeCell ref="D32:E32"/>
    <mergeCell ref="K31:K32"/>
    <mergeCell ref="K33:K34"/>
    <mergeCell ref="A22:A24"/>
    <mergeCell ref="B22:I22"/>
    <mergeCell ref="B23:D23"/>
    <mergeCell ref="E23:F23"/>
    <mergeCell ref="G23:I23"/>
    <mergeCell ref="C30:D30"/>
    <mergeCell ref="K6:K7"/>
    <mergeCell ref="K12:K15"/>
    <mergeCell ref="K16:K17"/>
    <mergeCell ref="K18:K19"/>
    <mergeCell ref="K21:K23"/>
    <mergeCell ref="K26:K28"/>
  </mergeCells>
  <pageMargins left="0.98425196850393704" right="0.98425196850393704" top="0.98425196850393704" bottom="0.98425196850393704" header="0.51181102362204722" footer="0.51181102362204722"/>
  <pageSetup paperSize="9" scale="79" orientation="landscape" r:id="rId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4.25" x14ac:dyDescent="0.2"/>
  <sheetData/>
  <customSheetViews>
    <customSheetView guid="{18C0F7AC-4BB1-46DE-8A01-8E31FE0585FC}" state="hidden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tabColor theme="7"/>
  </sheetPr>
  <dimension ref="A1:F5"/>
  <sheetViews>
    <sheetView rightToLeft="1" zoomScaleNormal="100" workbookViewId="0">
      <selection activeCell="F12" sqref="F12"/>
    </sheetView>
  </sheetViews>
  <sheetFormatPr defaultRowHeight="14.25" x14ac:dyDescent="0.2"/>
  <cols>
    <col min="6" max="6" width="11.375" customWidth="1"/>
  </cols>
  <sheetData>
    <row r="1" spans="1:6" ht="15.75" thickBot="1" x14ac:dyDescent="0.25">
      <c r="A1" s="127"/>
      <c r="B1" s="128" t="s">
        <v>11</v>
      </c>
      <c r="C1" s="133" t="s">
        <v>50</v>
      </c>
      <c r="D1" s="132" t="s">
        <v>11</v>
      </c>
      <c r="E1" s="131" t="s">
        <v>50</v>
      </c>
      <c r="F1" s="129" t="s">
        <v>12</v>
      </c>
    </row>
    <row r="2" spans="1:6" ht="16.5" thickBot="1" x14ac:dyDescent="0.25">
      <c r="A2" s="130" t="s">
        <v>30</v>
      </c>
      <c r="B2" s="124" t="e">
        <f>'منطقة طنطا'!B7</f>
        <v>#VALUE!</v>
      </c>
      <c r="C2" s="125">
        <f>'منطقة طنطا'!C7</f>
        <v>0</v>
      </c>
      <c r="D2" s="135" t="e">
        <f>'منطقة طنطا'!D7</f>
        <v>#VALUE!</v>
      </c>
      <c r="E2" s="136">
        <f>'منطقة طنطا'!E7</f>
        <v>0</v>
      </c>
      <c r="F2" s="126">
        <f>'منطقة طنطا'!F7</f>
        <v>0</v>
      </c>
    </row>
    <row r="3" spans="1:6" ht="16.5" thickBot="1" x14ac:dyDescent="0.25">
      <c r="A3" s="130" t="s">
        <v>31</v>
      </c>
      <c r="B3" s="124" t="e">
        <f>'منطقة طنطا'!B8</f>
        <v>#VALUE!</v>
      </c>
      <c r="C3" s="125">
        <f>'منطقة طنطا'!C8</f>
        <v>0</v>
      </c>
      <c r="D3" s="135" t="e">
        <f>'منطقة طنطا'!D8</f>
        <v>#VALUE!</v>
      </c>
      <c r="E3" s="136">
        <f>'منطقة طنطا'!E8</f>
        <v>0</v>
      </c>
      <c r="F3" s="126">
        <f>'منطقة طنطا'!F8</f>
        <v>0</v>
      </c>
    </row>
    <row r="4" spans="1:6" ht="16.5" thickBot="1" x14ac:dyDescent="0.25">
      <c r="A4" s="130" t="s">
        <v>32</v>
      </c>
      <c r="B4" s="124" t="e">
        <f>'منطقة طنطا'!B9</f>
        <v>#VALUE!</v>
      </c>
      <c r="C4" s="125">
        <f>'منطقة طنطا'!C9</f>
        <v>0</v>
      </c>
      <c r="D4" s="135" t="e">
        <f>'منطقة طنطا'!D9</f>
        <v>#VALUE!</v>
      </c>
      <c r="E4" s="136">
        <f>'منطقة طنطا'!E9</f>
        <v>0</v>
      </c>
      <c r="F4" s="126">
        <f>'منطقة طنطا'!F9</f>
        <v>17</v>
      </c>
    </row>
    <row r="5" spans="1:6" ht="16.5" thickBot="1" x14ac:dyDescent="0.25">
      <c r="A5" s="130" t="s">
        <v>33</v>
      </c>
      <c r="B5" s="124" t="e">
        <f>'منطقة طنطا'!B10</f>
        <v>#VALUE!</v>
      </c>
      <c r="C5" s="125">
        <f>'منطقة طنطا'!C10</f>
        <v>0</v>
      </c>
      <c r="D5" s="135" t="e">
        <f>'منطقة طنطا'!D10</f>
        <v>#VALUE!</v>
      </c>
      <c r="E5" s="136">
        <f>'منطقة طنطا'!E10</f>
        <v>0</v>
      </c>
      <c r="F5" s="126">
        <f>'منطقة طنطا'!F10</f>
        <v>0</v>
      </c>
    </row>
  </sheetData>
  <customSheetViews>
    <customSheetView guid="{18C0F7AC-4BB1-46DE-8A01-8E31FE0585FC}" state="hidden">
      <selection activeCell="F12" sqref="F12"/>
      <pageMargins left="0.7" right="0.7" top="0.75" bottom="0.75" header="0.3" footer="0.3"/>
      <pageSetup paperSize="9" orientation="portrait" r:id="rId1"/>
    </customSheetView>
    <customSheetView guid="{8317B6D8-8A99-4EB0-9DBC-8E9AE0170A4B}" state="hidden">
      <selection activeCell="F12" sqref="F12"/>
      <pageMargins left="0.7" right="0.7" top="0.75" bottom="0.75" header="0.3" footer="0.3"/>
      <pageSetup paperSize="9" orientation="portrait" r:id="rId2"/>
    </customSheetView>
  </customSheetViews>
  <pageMargins left="0.7" right="0.7" top="0.75" bottom="0.75" header="0.3" footer="0.3"/>
  <pageSetup paperSize="9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Q57"/>
  <sheetViews>
    <sheetView rightToLeft="1" topLeftCell="B13" zoomScaleNormal="100" workbookViewId="0">
      <selection activeCell="H11" sqref="H11"/>
    </sheetView>
  </sheetViews>
  <sheetFormatPr defaultColWidth="9" defaultRowHeight="12.75" x14ac:dyDescent="0.2"/>
  <cols>
    <col min="1" max="1" width="3.375" style="16" hidden="1" customWidth="1"/>
    <col min="2" max="2" width="16.25" style="16" customWidth="1"/>
    <col min="3" max="3" width="7.375" style="16" customWidth="1"/>
    <col min="4" max="4" width="8.125" style="16" customWidth="1"/>
    <col min="5" max="5" width="8.25" style="16" customWidth="1"/>
    <col min="6" max="6" width="9.25" style="16" customWidth="1"/>
    <col min="7" max="7" width="8.25" style="16" customWidth="1"/>
    <col min="8" max="8" width="6.125" style="16" customWidth="1"/>
    <col min="9" max="9" width="7.125" style="16" customWidth="1"/>
    <col min="10" max="10" width="8.125" style="16" customWidth="1"/>
    <col min="11" max="11" width="6.375" style="16" customWidth="1"/>
    <col min="12" max="12" width="9.25" style="16" customWidth="1"/>
    <col min="13" max="13" width="7.875" style="16" customWidth="1"/>
    <col min="14" max="14" width="8.375" style="16" customWidth="1"/>
    <col min="15" max="15" width="9.75" style="16" customWidth="1"/>
    <col min="16" max="16" width="7.875" style="16" customWidth="1"/>
    <col min="17" max="17" width="5.375" style="16" customWidth="1"/>
    <col min="18" max="18" width="9.375" style="16" customWidth="1"/>
    <col min="19" max="16384" width="9" style="16"/>
  </cols>
  <sheetData>
    <row r="1" spans="1:17" ht="15.75" x14ac:dyDescent="0.2">
      <c r="A1" s="426" t="s">
        <v>0</v>
      </c>
      <c r="B1" s="426"/>
      <c r="C1" s="426"/>
      <c r="D1" s="426"/>
      <c r="O1" s="425"/>
      <c r="P1" s="425"/>
    </row>
    <row r="2" spans="1:17" ht="15" x14ac:dyDescent="0.2">
      <c r="A2" s="426" t="s">
        <v>1</v>
      </c>
      <c r="B2" s="426"/>
      <c r="C2" s="426"/>
      <c r="D2" s="426"/>
    </row>
    <row r="3" spans="1:17" ht="15" x14ac:dyDescent="0.2">
      <c r="A3" s="426" t="s">
        <v>2</v>
      </c>
      <c r="B3" s="426"/>
      <c r="C3" s="426"/>
      <c r="D3" s="426"/>
    </row>
    <row r="4" spans="1:17" ht="15" x14ac:dyDescent="0.2">
      <c r="A4" s="426" t="s">
        <v>53</v>
      </c>
      <c r="B4" s="426"/>
      <c r="C4" s="426"/>
      <c r="D4" s="426"/>
    </row>
    <row r="5" spans="1:17" ht="15" x14ac:dyDescent="0.2">
      <c r="A5" s="419" t="s">
        <v>196</v>
      </c>
      <c r="B5" s="419"/>
      <c r="C5" s="419"/>
      <c r="D5" s="419"/>
    </row>
    <row r="6" spans="1:17" ht="24" thickBot="1" x14ac:dyDescent="0.25">
      <c r="H6" s="430" t="s">
        <v>54</v>
      </c>
      <c r="I6" s="430"/>
      <c r="J6" s="430"/>
      <c r="K6" s="430"/>
    </row>
    <row r="7" spans="1:17" ht="20.25" customHeight="1" thickBot="1" x14ac:dyDescent="0.25">
      <c r="B7" s="421" t="s">
        <v>55</v>
      </c>
      <c r="C7" s="422"/>
      <c r="D7" s="422"/>
      <c r="E7" s="423"/>
      <c r="F7" s="17"/>
      <c r="G7" s="17"/>
      <c r="H7" s="17"/>
      <c r="I7" s="17"/>
      <c r="J7" s="17"/>
      <c r="K7" s="17"/>
      <c r="L7" s="17"/>
      <c r="M7" s="17"/>
      <c r="N7" s="17"/>
      <c r="O7" s="17"/>
      <c r="P7" s="421" t="s">
        <v>51</v>
      </c>
      <c r="Q7" s="423"/>
    </row>
    <row r="8" spans="1:17" ht="13.5" thickBot="1" x14ac:dyDescent="0.25">
      <c r="B8" s="424" t="s">
        <v>52</v>
      </c>
      <c r="C8" s="420" t="s">
        <v>5</v>
      </c>
      <c r="D8" s="420"/>
      <c r="E8" s="420"/>
      <c r="F8" s="420" t="s">
        <v>11</v>
      </c>
      <c r="G8" s="420"/>
      <c r="H8" s="420"/>
      <c r="I8" s="420" t="s">
        <v>12</v>
      </c>
      <c r="J8" s="420"/>
      <c r="K8" s="420"/>
      <c r="L8" s="420" t="s">
        <v>50</v>
      </c>
      <c r="M8" s="420"/>
      <c r="N8" s="420"/>
      <c r="O8" s="420" t="s">
        <v>56</v>
      </c>
      <c r="P8" s="420"/>
      <c r="Q8" s="420"/>
    </row>
    <row r="9" spans="1:17" ht="13.5" thickBot="1" x14ac:dyDescent="0.25">
      <c r="B9" s="424"/>
      <c r="C9" s="420"/>
      <c r="D9" s="420"/>
      <c r="E9" s="420"/>
      <c r="F9" s="420"/>
      <c r="G9" s="420"/>
      <c r="H9" s="420"/>
      <c r="I9" s="420"/>
      <c r="J9" s="420"/>
      <c r="K9" s="420"/>
      <c r="L9" s="420"/>
      <c r="M9" s="420"/>
      <c r="N9" s="420"/>
      <c r="O9" s="420"/>
      <c r="P9" s="420"/>
      <c r="Q9" s="420"/>
    </row>
    <row r="10" spans="1:17" ht="20.100000000000001" customHeight="1" thickBot="1" x14ac:dyDescent="0.25">
      <c r="B10" s="424"/>
      <c r="C10" s="12" t="s">
        <v>57</v>
      </c>
      <c r="D10" s="12" t="s">
        <v>58</v>
      </c>
      <c r="E10" s="12" t="s">
        <v>59</v>
      </c>
      <c r="F10" s="12" t="s">
        <v>57</v>
      </c>
      <c r="G10" s="12" t="s">
        <v>58</v>
      </c>
      <c r="H10" s="12" t="s">
        <v>59</v>
      </c>
      <c r="I10" s="12" t="s">
        <v>57</v>
      </c>
      <c r="J10" s="12" t="s">
        <v>58</v>
      </c>
      <c r="K10" s="12" t="s">
        <v>59</v>
      </c>
      <c r="L10" s="12" t="s">
        <v>57</v>
      </c>
      <c r="M10" s="12" t="s">
        <v>58</v>
      </c>
      <c r="N10" s="12" t="s">
        <v>59</v>
      </c>
      <c r="O10" s="12" t="s">
        <v>57</v>
      </c>
      <c r="P10" s="12" t="s">
        <v>58</v>
      </c>
      <c r="Q10" s="12" t="s">
        <v>59</v>
      </c>
    </row>
    <row r="11" spans="1:17" ht="21.75" customHeight="1" thickBot="1" x14ac:dyDescent="0.25">
      <c r="B11" s="210">
        <v>43709</v>
      </c>
      <c r="C11" s="140">
        <f>'[1]كوتة الاكسيل'!$F$15/30*1000</f>
        <v>0</v>
      </c>
      <c r="D11" s="140">
        <f>'التمام الصباحي'!F39*1000</f>
        <v>68000</v>
      </c>
      <c r="E11" s="13" t="e">
        <f>D11/C11</f>
        <v>#DIV/0!</v>
      </c>
      <c r="F11" s="140">
        <f>'[1]كوتة الاكسيل'!$N$15/30*1000</f>
        <v>0</v>
      </c>
      <c r="G11" s="140">
        <f>'التمام الصباحي'!L39*1000</f>
        <v>459000</v>
      </c>
      <c r="H11" s="13" t="e">
        <f>G11/F11</f>
        <v>#DIV/0!</v>
      </c>
      <c r="I11" s="140">
        <f>'[1]كوتة الاكسيل'!$J$15/30*1000</f>
        <v>0</v>
      </c>
      <c r="J11" s="140">
        <f>'التمام الصباحي'!R39*1000</f>
        <v>153000</v>
      </c>
      <c r="K11" s="13" t="e">
        <f>J11/I11</f>
        <v>#DIV/0!</v>
      </c>
      <c r="L11" s="140">
        <f>'[1]كوتة الاكسيل'!$B$15/30*1000</f>
        <v>0</v>
      </c>
      <c r="M11" s="140">
        <f>'التمام الصباحي'!X39*1000</f>
        <v>340000</v>
      </c>
      <c r="N11" s="13" t="e">
        <f>M11/L11</f>
        <v>#DIV/0!</v>
      </c>
      <c r="O11" s="140">
        <f>C11+F11+I11+L11</f>
        <v>0</v>
      </c>
      <c r="P11" s="140">
        <f>D11+G11+J11+M11</f>
        <v>1020000</v>
      </c>
      <c r="Q11" s="13" t="e">
        <f>P11/O11</f>
        <v>#DIV/0!</v>
      </c>
    </row>
    <row r="12" spans="1:17" ht="20.100000000000001" customHeight="1" x14ac:dyDescent="0.2">
      <c r="B12" s="150"/>
      <c r="C12" s="150"/>
      <c r="D12" s="150"/>
      <c r="E12" s="150"/>
      <c r="F12" s="150"/>
      <c r="G12" s="150"/>
      <c r="H12" s="150"/>
      <c r="I12" s="150"/>
      <c r="J12" s="150"/>
      <c r="K12" s="150"/>
      <c r="L12" s="150"/>
      <c r="M12" s="150"/>
      <c r="N12" s="150"/>
      <c r="O12" s="150"/>
      <c r="P12" s="150"/>
      <c r="Q12" s="150"/>
    </row>
    <row r="13" spans="1:17" ht="20.100000000000001" customHeight="1" x14ac:dyDescent="0.2">
      <c r="B13" s="150"/>
      <c r="C13" s="150"/>
      <c r="D13" s="150"/>
      <c r="E13" s="152"/>
      <c r="F13" s="150"/>
      <c r="G13" s="150"/>
      <c r="H13" s="152"/>
      <c r="I13" s="150"/>
      <c r="J13" s="151"/>
      <c r="K13" s="152"/>
      <c r="L13" s="150"/>
      <c r="M13" s="150"/>
      <c r="N13" s="152"/>
      <c r="O13" s="150"/>
      <c r="P13" s="150"/>
      <c r="Q13" s="152"/>
    </row>
    <row r="14" spans="1:17" ht="13.5" thickBot="1" x14ac:dyDescent="0.25"/>
    <row r="15" spans="1:17" ht="18" customHeight="1" thickBot="1" x14ac:dyDescent="0.25">
      <c r="B15" s="421" t="s">
        <v>61</v>
      </c>
      <c r="C15" s="422"/>
      <c r="D15" s="422"/>
      <c r="E15" s="423"/>
      <c r="P15" s="421" t="s">
        <v>51</v>
      </c>
      <c r="Q15" s="423"/>
    </row>
    <row r="16" spans="1:17" ht="13.5" thickBot="1" x14ac:dyDescent="0.25">
      <c r="B16" s="424" t="s">
        <v>52</v>
      </c>
      <c r="C16" s="420" t="s">
        <v>5</v>
      </c>
      <c r="D16" s="420"/>
      <c r="E16" s="420"/>
      <c r="F16" s="420" t="s">
        <v>11</v>
      </c>
      <c r="G16" s="420"/>
      <c r="H16" s="420"/>
      <c r="I16" s="420" t="s">
        <v>12</v>
      </c>
      <c r="J16" s="420"/>
      <c r="K16" s="420"/>
      <c r="L16" s="420" t="s">
        <v>50</v>
      </c>
      <c r="M16" s="420"/>
      <c r="N16" s="420"/>
      <c r="O16" s="420" t="s">
        <v>56</v>
      </c>
      <c r="P16" s="420"/>
      <c r="Q16" s="420"/>
    </row>
    <row r="17" spans="2:17" ht="13.5" thickBot="1" x14ac:dyDescent="0.25">
      <c r="B17" s="424"/>
      <c r="C17" s="420"/>
      <c r="D17" s="420"/>
      <c r="E17" s="420"/>
      <c r="F17" s="420"/>
      <c r="G17" s="420"/>
      <c r="H17" s="420"/>
      <c r="I17" s="420"/>
      <c r="J17" s="420"/>
      <c r="K17" s="420"/>
      <c r="L17" s="420"/>
      <c r="M17" s="420"/>
      <c r="N17" s="420"/>
      <c r="O17" s="420"/>
      <c r="P17" s="420"/>
      <c r="Q17" s="420"/>
    </row>
    <row r="18" spans="2:17" ht="20.100000000000001" customHeight="1" thickBot="1" x14ac:dyDescent="0.25">
      <c r="B18" s="424"/>
      <c r="C18" s="12" t="s">
        <v>62</v>
      </c>
      <c r="D18" s="12" t="s">
        <v>58</v>
      </c>
      <c r="E18" s="12" t="s">
        <v>59</v>
      </c>
      <c r="F18" s="12" t="s">
        <v>62</v>
      </c>
      <c r="G18" s="12" t="s">
        <v>58</v>
      </c>
      <c r="H18" s="12" t="s">
        <v>59</v>
      </c>
      <c r="I18" s="12" t="s">
        <v>62</v>
      </c>
      <c r="J18" s="12" t="s">
        <v>58</v>
      </c>
      <c r="K18" s="12" t="s">
        <v>59</v>
      </c>
      <c r="L18" s="12" t="s">
        <v>62</v>
      </c>
      <c r="M18" s="12" t="s">
        <v>58</v>
      </c>
      <c r="N18" s="12" t="s">
        <v>59</v>
      </c>
      <c r="O18" s="12" t="s">
        <v>62</v>
      </c>
      <c r="P18" s="12" t="s">
        <v>58</v>
      </c>
      <c r="Q18" s="12" t="s">
        <v>59</v>
      </c>
    </row>
    <row r="19" spans="2:17" ht="23.25" customHeight="1" thickBot="1" x14ac:dyDescent="0.25">
      <c r="B19" s="145" t="s">
        <v>63</v>
      </c>
      <c r="C19" s="209">
        <f>'موقف المحطات'!$C$20</f>
        <v>58465</v>
      </c>
      <c r="D19" s="209">
        <f>'التمام الصباحي'!$F$27*1000</f>
        <v>0</v>
      </c>
      <c r="E19" s="13">
        <f>D19/C19</f>
        <v>0</v>
      </c>
      <c r="F19" s="209">
        <f>'موقف المحطات'!$F$20</f>
        <v>531395</v>
      </c>
      <c r="G19" s="209">
        <f>'موقف المحطات'!$G$20</f>
        <v>459000</v>
      </c>
      <c r="H19" s="13">
        <f>G19/F19</f>
        <v>0.86376424317127565</v>
      </c>
      <c r="I19" s="209">
        <f>'موقف المحطات'!$I$20</f>
        <v>125538</v>
      </c>
      <c r="J19" s="209">
        <f>'موقف المحطات'!$J$20</f>
        <v>153000</v>
      </c>
      <c r="K19" s="13">
        <f>J19/I19</f>
        <v>1.2187544807150026</v>
      </c>
      <c r="L19" s="209">
        <f>'موقف المحطات'!$L$20</f>
        <v>362397</v>
      </c>
      <c r="M19" s="209">
        <f>'موقف المحطات'!$M$20</f>
        <v>340000</v>
      </c>
      <c r="N19" s="13">
        <f>M19/L19</f>
        <v>0.93819761201113694</v>
      </c>
      <c r="O19" s="140">
        <f>C19+F19+I19+L19</f>
        <v>1077795</v>
      </c>
      <c r="P19" s="140">
        <f>D19+G19+J19+M19</f>
        <v>952000</v>
      </c>
      <c r="Q19" s="13">
        <f>P19/O19</f>
        <v>0.88328485472654816</v>
      </c>
    </row>
    <row r="20" spans="2:17" ht="22.5" customHeight="1" thickBot="1" x14ac:dyDescent="0.25">
      <c r="B20" s="145" t="s">
        <v>64</v>
      </c>
      <c r="C20" s="140">
        <f>المبيعات!C38</f>
        <v>58465</v>
      </c>
      <c r="D20" s="140">
        <f>D11</f>
        <v>68000</v>
      </c>
      <c r="E20" s="13">
        <f>IFERROR(D20/C20,0)</f>
        <v>1.1630890276233643</v>
      </c>
      <c r="F20" s="140">
        <f>المبيعات!F38</f>
        <v>531395</v>
      </c>
      <c r="G20" s="140">
        <f>G11</f>
        <v>459000</v>
      </c>
      <c r="H20" s="13">
        <f>IFERROR(G20/F20,0)</f>
        <v>0.86376424317127565</v>
      </c>
      <c r="I20" s="140">
        <f>المبيعات!I38</f>
        <v>125538</v>
      </c>
      <c r="J20" s="140">
        <f>J11</f>
        <v>153000</v>
      </c>
      <c r="K20" s="13">
        <f>IFERROR(J20/I20,0)</f>
        <v>1.2187544807150026</v>
      </c>
      <c r="L20" s="140">
        <f>المبيعات!L38</f>
        <v>362397</v>
      </c>
      <c r="M20" s="140">
        <f>M11</f>
        <v>340000</v>
      </c>
      <c r="N20" s="13">
        <f>IFERROR(M20/L20,0)</f>
        <v>0.93819761201113694</v>
      </c>
      <c r="O20" s="140">
        <f>C20+F20+I20+L20</f>
        <v>1077795</v>
      </c>
      <c r="P20" s="140">
        <f>P11</f>
        <v>1020000</v>
      </c>
      <c r="Q20" s="13">
        <f>IFERROR(P20/O20,0)</f>
        <v>0.94637663006415873</v>
      </c>
    </row>
    <row r="21" spans="2:17" ht="20.100000000000001" customHeight="1" x14ac:dyDescent="0.2">
      <c r="B21" s="150"/>
      <c r="C21" s="150"/>
      <c r="D21" s="150"/>
      <c r="E21" s="152"/>
      <c r="F21" s="150"/>
      <c r="G21" s="150"/>
      <c r="H21" s="152"/>
      <c r="I21" s="150"/>
      <c r="J21" s="150"/>
      <c r="K21" s="152"/>
      <c r="L21" s="150"/>
      <c r="M21" s="150"/>
      <c r="N21" s="152"/>
      <c r="O21" s="150"/>
      <c r="P21" s="150"/>
      <c r="Q21" s="152"/>
    </row>
    <row r="22" spans="2:17" ht="20.100000000000001" customHeight="1" x14ac:dyDescent="0.2">
      <c r="B22" s="150"/>
      <c r="C22" s="150"/>
      <c r="D22" s="150"/>
      <c r="E22" s="152"/>
      <c r="F22" s="150"/>
      <c r="G22" s="150"/>
      <c r="H22" s="152"/>
      <c r="I22" s="150"/>
      <c r="J22" s="150"/>
      <c r="K22" s="152"/>
      <c r="L22" s="150"/>
      <c r="M22" s="150"/>
      <c r="N22" s="152"/>
      <c r="O22" s="150"/>
      <c r="P22" s="150"/>
      <c r="Q22" s="152"/>
    </row>
    <row r="23" spans="2:17" ht="13.5" thickBot="1" x14ac:dyDescent="0.25"/>
    <row r="24" spans="2:17" ht="21" customHeight="1" thickBot="1" x14ac:dyDescent="0.25">
      <c r="B24" s="421" t="s">
        <v>72</v>
      </c>
      <c r="C24" s="422"/>
      <c r="D24" s="422"/>
      <c r="E24" s="423"/>
      <c r="P24" s="433" t="s">
        <v>51</v>
      </c>
      <c r="Q24" s="434"/>
    </row>
    <row r="25" spans="2:17" ht="18" customHeight="1" thickBot="1" x14ac:dyDescent="0.25">
      <c r="B25" s="431" t="s">
        <v>52</v>
      </c>
      <c r="C25" s="427" t="s">
        <v>163</v>
      </c>
      <c r="D25" s="428"/>
      <c r="E25" s="429"/>
      <c r="F25" s="427" t="s">
        <v>158</v>
      </c>
      <c r="G25" s="428"/>
      <c r="H25" s="429"/>
      <c r="I25" s="427" t="s">
        <v>121</v>
      </c>
      <c r="J25" s="428"/>
      <c r="K25" s="429"/>
      <c r="L25" s="427" t="s">
        <v>112</v>
      </c>
      <c r="M25" s="428"/>
      <c r="N25" s="429"/>
      <c r="O25" s="427" t="s">
        <v>113</v>
      </c>
      <c r="P25" s="428"/>
      <c r="Q25" s="429"/>
    </row>
    <row r="26" spans="2:17" ht="16.5" customHeight="1" thickBot="1" x14ac:dyDescent="0.25">
      <c r="B26" s="432"/>
      <c r="C26" s="145">
        <v>92</v>
      </c>
      <c r="D26" s="145">
        <v>95</v>
      </c>
      <c r="E26" s="223"/>
      <c r="F26" s="145">
        <v>92</v>
      </c>
      <c r="G26" s="145">
        <v>95</v>
      </c>
      <c r="H26" s="145" t="s">
        <v>50</v>
      </c>
      <c r="I26" s="223">
        <v>92</v>
      </c>
      <c r="J26" s="223">
        <v>95</v>
      </c>
      <c r="K26" s="223"/>
      <c r="L26" s="145">
        <v>92</v>
      </c>
      <c r="M26" s="145">
        <v>95</v>
      </c>
      <c r="N26" s="145" t="s">
        <v>50</v>
      </c>
      <c r="O26" s="145">
        <v>92</v>
      </c>
      <c r="P26" s="145">
        <v>95</v>
      </c>
      <c r="Q26" s="145" t="s">
        <v>50</v>
      </c>
    </row>
    <row r="27" spans="2:17" ht="20.100000000000001" customHeight="1" thickBot="1" x14ac:dyDescent="0.25">
      <c r="B27" s="223" t="s">
        <v>63</v>
      </c>
      <c r="C27" s="213"/>
      <c r="D27" s="213"/>
      <c r="E27" s="224"/>
      <c r="F27" s="147"/>
      <c r="G27" s="147"/>
      <c r="H27" s="142"/>
      <c r="I27" s="14"/>
      <c r="J27" s="147"/>
      <c r="K27" s="224"/>
      <c r="L27" s="14"/>
      <c r="M27" s="147"/>
      <c r="N27" s="142"/>
      <c r="O27" s="15"/>
      <c r="P27" s="147"/>
      <c r="Q27" s="142"/>
    </row>
    <row r="28" spans="2:17" ht="20.100000000000001" customHeight="1" thickBot="1" x14ac:dyDescent="0.25">
      <c r="B28" s="223" t="s">
        <v>64</v>
      </c>
      <c r="C28" s="147">
        <f>'أخذ التمام الصباحي'!H6</f>
        <v>29318</v>
      </c>
      <c r="D28" s="147">
        <f>'أخذ التمام الصباحي'!K6</f>
        <v>8457</v>
      </c>
      <c r="E28" s="224"/>
      <c r="F28" s="147">
        <f>'أخذ التمام الصباحي'!H7</f>
        <v>21567</v>
      </c>
      <c r="G28" s="147">
        <f>'أخذ التمام الصباحي'!K7</f>
        <v>3363</v>
      </c>
      <c r="H28" s="147">
        <f>'أخذ التمام الصباحي'!N7</f>
        <v>0</v>
      </c>
      <c r="I28" s="14"/>
      <c r="J28" s="147"/>
      <c r="K28" s="224"/>
      <c r="L28" s="14"/>
      <c r="M28" s="147"/>
      <c r="N28" s="142"/>
      <c r="O28" s="15"/>
      <c r="P28" s="147"/>
      <c r="Q28" s="142"/>
    </row>
    <row r="29" spans="2:17" ht="20.100000000000001" customHeight="1" x14ac:dyDescent="0.2">
      <c r="B29" s="151"/>
      <c r="C29" s="151"/>
      <c r="D29" s="151"/>
      <c r="E29" s="152"/>
      <c r="F29" s="151"/>
      <c r="G29" s="151"/>
      <c r="H29" s="152"/>
      <c r="I29" s="153"/>
      <c r="J29" s="151"/>
      <c r="K29" s="152"/>
      <c r="L29" s="153"/>
      <c r="M29" s="151"/>
      <c r="N29" s="152"/>
      <c r="O29" s="154"/>
      <c r="P29" s="151"/>
      <c r="Q29" s="152"/>
    </row>
    <row r="30" spans="2:17" ht="20.100000000000001" customHeight="1" x14ac:dyDescent="0.2">
      <c r="B30" s="151"/>
      <c r="C30" s="151"/>
      <c r="D30" s="151"/>
      <c r="E30" s="152"/>
      <c r="F30" s="151"/>
      <c r="G30" s="151"/>
      <c r="H30" s="152"/>
      <c r="I30" s="153"/>
      <c r="J30" s="151"/>
      <c r="K30" s="152"/>
      <c r="L30" s="153"/>
      <c r="M30" s="151"/>
      <c r="N30" s="152"/>
      <c r="O30" s="154"/>
      <c r="P30" s="151"/>
      <c r="Q30" s="152"/>
    </row>
    <row r="31" spans="2:17" ht="20.100000000000001" customHeight="1" thickBot="1" x14ac:dyDescent="0.25">
      <c r="L31" s="42"/>
      <c r="M31" s="42"/>
      <c r="N31" s="42"/>
      <c r="O31" s="42"/>
      <c r="P31" s="42"/>
    </row>
    <row r="32" spans="2:17" ht="21" customHeight="1" thickBot="1" x14ac:dyDescent="0.25">
      <c r="B32" s="435" t="s">
        <v>173</v>
      </c>
      <c r="C32" s="436"/>
      <c r="D32" s="436"/>
      <c r="E32" s="436"/>
      <c r="F32" s="437" t="s">
        <v>60</v>
      </c>
      <c r="G32" s="438"/>
      <c r="H32" s="155"/>
    </row>
    <row r="33" spans="2:8" ht="17.25" customHeight="1" thickBot="1" x14ac:dyDescent="0.25">
      <c r="B33" s="145" t="s">
        <v>65</v>
      </c>
      <c r="C33" s="145" t="s">
        <v>5</v>
      </c>
      <c r="D33" s="145" t="s">
        <v>11</v>
      </c>
      <c r="E33" s="148" t="s">
        <v>12</v>
      </c>
      <c r="F33" s="146" t="s">
        <v>50</v>
      </c>
      <c r="G33" s="146" t="s">
        <v>34</v>
      </c>
      <c r="H33" s="156"/>
    </row>
    <row r="34" spans="2:8" ht="24" customHeight="1" thickBot="1" x14ac:dyDescent="0.25">
      <c r="B34" s="39" t="s">
        <v>66</v>
      </c>
      <c r="C34" s="147">
        <f>'التمام الصباحي'!C39</f>
        <v>300</v>
      </c>
      <c r="D34" s="147">
        <f>'التمام الصباحي'!I39</f>
        <v>3525</v>
      </c>
      <c r="E34" s="143">
        <f>'التمام الصباحي'!O39</f>
        <v>1380</v>
      </c>
      <c r="F34" s="147">
        <f>'التمام الصباحي'!U39</f>
        <v>2580</v>
      </c>
      <c r="G34" s="147">
        <f>SUM(C34:F34)</f>
        <v>7785</v>
      </c>
    </row>
    <row r="35" spans="2:8" ht="20.25" customHeight="1" thickBot="1" x14ac:dyDescent="0.25">
      <c r="B35" s="39" t="s">
        <v>67</v>
      </c>
      <c r="C35" s="147">
        <f>'التمام الصباحي'!D39</f>
        <v>202</v>
      </c>
      <c r="D35" s="147">
        <f>'التمام الصباحي'!J39</f>
        <v>2196</v>
      </c>
      <c r="E35" s="143">
        <f>'التمام الصباحي'!P39</f>
        <v>726.1</v>
      </c>
      <c r="F35" s="147">
        <f>'التمام الصباحي'!V39</f>
        <v>1914</v>
      </c>
      <c r="G35" s="147">
        <f>SUM(C35:F35)</f>
        <v>5038.1000000000004</v>
      </c>
    </row>
    <row r="36" spans="2:8" ht="20.25" customHeight="1" thickBot="1" x14ac:dyDescent="0.25">
      <c r="B36" s="39" t="s">
        <v>37</v>
      </c>
      <c r="C36" s="421">
        <f>'التمام الصباحي'!C42:Z42</f>
        <v>2746.9</v>
      </c>
      <c r="D36" s="422"/>
      <c r="E36" s="422"/>
      <c r="F36" s="422"/>
      <c r="G36" s="423"/>
      <c r="H36" s="157"/>
    </row>
    <row r="37" spans="2:8" ht="18.75" customHeight="1" thickBot="1" x14ac:dyDescent="0.25">
      <c r="B37" s="39" t="s">
        <v>68</v>
      </c>
      <c r="C37" s="421">
        <f>'احتياجات المحطات'!M29</f>
        <v>629</v>
      </c>
      <c r="D37" s="422"/>
      <c r="E37" s="422"/>
      <c r="F37" s="422"/>
      <c r="G37" s="423"/>
      <c r="H37" s="157"/>
    </row>
    <row r="38" spans="2:8" ht="21" customHeight="1" thickBot="1" x14ac:dyDescent="0.25">
      <c r="B38" s="39" t="s">
        <v>69</v>
      </c>
      <c r="C38" s="421">
        <f>G35+C37</f>
        <v>5667.1</v>
      </c>
      <c r="D38" s="422"/>
      <c r="E38" s="422"/>
      <c r="F38" s="422"/>
      <c r="G38" s="423"/>
      <c r="H38" s="157"/>
    </row>
    <row r="39" spans="2:8" ht="19.5" customHeight="1" thickBot="1" x14ac:dyDescent="0.25">
      <c r="B39" s="141" t="s">
        <v>70</v>
      </c>
      <c r="C39" s="421">
        <f>C36-C37</f>
        <v>2117.9</v>
      </c>
      <c r="D39" s="422"/>
      <c r="E39" s="422"/>
      <c r="F39" s="422"/>
      <c r="G39" s="423"/>
      <c r="H39" s="157"/>
    </row>
    <row r="40" spans="2:8" ht="20.100000000000001" customHeight="1" thickBot="1" x14ac:dyDescent="0.25">
      <c r="B40" s="141" t="s">
        <v>71</v>
      </c>
      <c r="C40" s="421">
        <f>P19/1000</f>
        <v>952</v>
      </c>
      <c r="D40" s="422"/>
      <c r="E40" s="422"/>
      <c r="F40" s="422"/>
      <c r="G40" s="423"/>
      <c r="H40" s="157"/>
    </row>
    <row r="41" spans="2:8" ht="20.100000000000001" customHeight="1" thickBot="1" x14ac:dyDescent="0.25">
      <c r="B41" s="141" t="s">
        <v>110</v>
      </c>
      <c r="C41" s="439">
        <f>C37/C36</f>
        <v>0.22898540172558154</v>
      </c>
      <c r="D41" s="440"/>
      <c r="E41" s="440"/>
      <c r="F41" s="440"/>
      <c r="G41" s="441"/>
      <c r="H41" s="158"/>
    </row>
    <row r="42" spans="2:8" ht="20.100000000000001" customHeight="1" thickBot="1" x14ac:dyDescent="0.25">
      <c r="B42" s="147" t="s">
        <v>111</v>
      </c>
      <c r="C42" s="439">
        <f>'التمام الصباحي'!C45:Z45</f>
        <v>0.20245727556023102</v>
      </c>
      <c r="D42" s="440"/>
      <c r="E42" s="440"/>
      <c r="F42" s="440"/>
      <c r="G42" s="441"/>
      <c r="H42" s="158"/>
    </row>
    <row r="43" spans="2:8" ht="20.100000000000001" customHeight="1" x14ac:dyDescent="0.2">
      <c r="B43" s="151"/>
      <c r="C43" s="152"/>
      <c r="D43" s="152"/>
      <c r="E43" s="152"/>
      <c r="F43" s="152"/>
      <c r="G43" s="152"/>
      <c r="H43" s="152"/>
    </row>
    <row r="44" spans="2:8" ht="20.100000000000001" customHeight="1" x14ac:dyDescent="0.2">
      <c r="B44" s="151"/>
      <c r="C44" s="152"/>
      <c r="D44" s="152"/>
      <c r="E44" s="152"/>
      <c r="F44" s="152"/>
      <c r="G44" s="152"/>
      <c r="H44" s="152"/>
    </row>
    <row r="45" spans="2:8" ht="13.5" thickBot="1" x14ac:dyDescent="0.25"/>
    <row r="46" spans="2:8" ht="19.5" customHeight="1" thickBot="1" x14ac:dyDescent="0.25">
      <c r="B46" s="435" t="s">
        <v>174</v>
      </c>
      <c r="C46" s="436"/>
      <c r="D46" s="442"/>
      <c r="F46" s="438" t="s">
        <v>116</v>
      </c>
      <c r="G46" s="438"/>
    </row>
    <row r="47" spans="2:8" ht="18.75" customHeight="1" thickBot="1" x14ac:dyDescent="0.25">
      <c r="B47" s="144" t="s">
        <v>52</v>
      </c>
      <c r="C47" s="427" t="s">
        <v>114</v>
      </c>
      <c r="D47" s="429"/>
      <c r="E47" s="427" t="s">
        <v>115</v>
      </c>
      <c r="F47" s="429"/>
      <c r="G47" s="145" t="s">
        <v>34</v>
      </c>
    </row>
    <row r="48" spans="2:8" ht="18.75" customHeight="1" thickBot="1" x14ac:dyDescent="0.25">
      <c r="B48" s="210">
        <v>43647</v>
      </c>
      <c r="C48" s="446" t="e">
        <f>المستودعات!#REF!/51</f>
        <v>#REF!</v>
      </c>
      <c r="D48" s="423"/>
      <c r="E48" s="421"/>
      <c r="F48" s="423"/>
      <c r="G48" s="160" t="e">
        <f>C48+E48</f>
        <v>#REF!</v>
      </c>
      <c r="H48" s="157"/>
    </row>
    <row r="49" spans="2:7" ht="20.100000000000001" customHeight="1" x14ac:dyDescent="0.2"/>
    <row r="50" spans="2:7" ht="20.100000000000001" customHeight="1" x14ac:dyDescent="0.2"/>
    <row r="51" spans="2:7" ht="13.5" customHeight="1" thickBot="1" x14ac:dyDescent="0.25"/>
    <row r="52" spans="2:7" ht="20.100000000000001" customHeight="1" thickBot="1" x14ac:dyDescent="0.25">
      <c r="B52" s="435" t="s">
        <v>175</v>
      </c>
      <c r="C52" s="436"/>
      <c r="D52" s="436"/>
      <c r="E52" s="436"/>
      <c r="F52" s="436"/>
      <c r="G52" s="442"/>
    </row>
    <row r="53" spans="2:7" ht="20.100000000000001" customHeight="1" thickBot="1" x14ac:dyDescent="0.25">
      <c r="B53" s="431" t="s">
        <v>65</v>
      </c>
      <c r="C53" s="427" t="s">
        <v>73</v>
      </c>
      <c r="D53" s="428"/>
      <c r="E53" s="429"/>
      <c r="F53" s="447" t="s">
        <v>50</v>
      </c>
      <c r="G53" s="447" t="s">
        <v>74</v>
      </c>
    </row>
    <row r="54" spans="2:7" ht="20.100000000000001" customHeight="1" thickBot="1" x14ac:dyDescent="0.25">
      <c r="B54" s="432"/>
      <c r="C54" s="145">
        <v>80</v>
      </c>
      <c r="D54" s="145">
        <v>92</v>
      </c>
      <c r="E54" s="145">
        <v>95</v>
      </c>
      <c r="F54" s="448"/>
      <c r="G54" s="448"/>
    </row>
    <row r="55" spans="2:7" ht="19.5" customHeight="1" thickBot="1" x14ac:dyDescent="0.25">
      <c r="B55" s="29" t="s">
        <v>77</v>
      </c>
      <c r="C55" s="140">
        <f>المبيعات!D38</f>
        <v>321557.5</v>
      </c>
      <c r="D55" s="140">
        <f>المبيعات!G38</f>
        <v>3586916.25</v>
      </c>
      <c r="E55" s="149">
        <f>المبيعات!J38</f>
        <v>972919.5</v>
      </c>
      <c r="F55" s="140">
        <f>المبيعات!M38</f>
        <v>1993183.5</v>
      </c>
      <c r="G55" s="35">
        <f>C55+D55+E55+F55</f>
        <v>6874576.75</v>
      </c>
    </row>
    <row r="56" spans="2:7" ht="17.25" customHeight="1" thickBot="1" x14ac:dyDescent="0.25">
      <c r="B56" s="145" t="s">
        <v>78</v>
      </c>
      <c r="C56" s="140">
        <f>المبيعات!E38</f>
        <v>14616.25</v>
      </c>
      <c r="D56" s="140">
        <f>المبيعات!H38</f>
        <v>175360.35000000003</v>
      </c>
      <c r="E56" s="140">
        <f>المبيعات!K38</f>
        <v>56492.1</v>
      </c>
      <c r="F56" s="140">
        <f>المبيعات!N38</f>
        <v>94223.22</v>
      </c>
      <c r="G56" s="35">
        <f>F56+E56+D56+C56</f>
        <v>340691.92000000004</v>
      </c>
    </row>
    <row r="57" spans="2:7" ht="17.25" customHeight="1" thickBot="1" x14ac:dyDescent="0.25">
      <c r="B57" s="145" t="s">
        <v>79</v>
      </c>
      <c r="C57" s="443">
        <f>المبيعات!P38</f>
        <v>66667</v>
      </c>
      <c r="D57" s="444"/>
      <c r="E57" s="444"/>
      <c r="F57" s="445"/>
      <c r="G57" s="36">
        <f>C57</f>
        <v>66667</v>
      </c>
    </row>
  </sheetData>
  <sheetProtection selectLockedCells="1"/>
  <customSheetViews>
    <customSheetView guid="{18C0F7AC-4BB1-46DE-8A01-8E31FE0585FC}" fitToPage="1" hiddenColumns="1" topLeftCell="B13">
      <selection activeCell="H11" sqref="H11"/>
      <pageMargins left="0.25" right="0.25" top="0.75" bottom="0.75" header="0.3" footer="0.3"/>
      <printOptions horizontalCentered="1" verticalCentered="1"/>
      <pageSetup paperSize="9" scale="63" orientation="portrait" r:id="rId1"/>
    </customSheetView>
    <customSheetView guid="{8317B6D8-8A99-4EB0-9DBC-8E9AE0170A4B}" showPageBreaks="1" fitToPage="1" printArea="1" hiddenColumns="1" topLeftCell="B1">
      <selection activeCell="D21" sqref="D21"/>
      <pageMargins left="0.25" right="0.25" top="0.75" bottom="0.75" header="0.3" footer="0.3"/>
      <printOptions horizontalCentered="1" verticalCentered="1"/>
      <pageSetup paperSize="9" scale="63" orientation="portrait" r:id="rId2"/>
    </customSheetView>
  </customSheetViews>
  <mergeCells count="52">
    <mergeCell ref="C57:F57"/>
    <mergeCell ref="E47:F47"/>
    <mergeCell ref="E48:F48"/>
    <mergeCell ref="C48:D48"/>
    <mergeCell ref="C53:E53"/>
    <mergeCell ref="F53:F54"/>
    <mergeCell ref="B52:G52"/>
    <mergeCell ref="G53:G54"/>
    <mergeCell ref="C47:D47"/>
    <mergeCell ref="B53:B54"/>
    <mergeCell ref="B32:E32"/>
    <mergeCell ref="F32:G32"/>
    <mergeCell ref="F46:G46"/>
    <mergeCell ref="C36:G36"/>
    <mergeCell ref="C41:G41"/>
    <mergeCell ref="C42:G42"/>
    <mergeCell ref="C37:G37"/>
    <mergeCell ref="C38:G38"/>
    <mergeCell ref="C39:G39"/>
    <mergeCell ref="C40:G40"/>
    <mergeCell ref="B46:D46"/>
    <mergeCell ref="I25:K25"/>
    <mergeCell ref="L25:N25"/>
    <mergeCell ref="O25:Q25"/>
    <mergeCell ref="H6:K6"/>
    <mergeCell ref="B16:B18"/>
    <mergeCell ref="B25:B26"/>
    <mergeCell ref="C25:E25"/>
    <mergeCell ref="F25:H25"/>
    <mergeCell ref="B24:E24"/>
    <mergeCell ref="P24:Q24"/>
    <mergeCell ref="O1:P1"/>
    <mergeCell ref="A1:D1"/>
    <mergeCell ref="A2:D2"/>
    <mergeCell ref="A3:D3"/>
    <mergeCell ref="A4:D4"/>
    <mergeCell ref="A5:D5"/>
    <mergeCell ref="O16:Q17"/>
    <mergeCell ref="O8:Q9"/>
    <mergeCell ref="B7:E7"/>
    <mergeCell ref="P7:Q7"/>
    <mergeCell ref="B15:E15"/>
    <mergeCell ref="P15:Q15"/>
    <mergeCell ref="B8:B10"/>
    <mergeCell ref="C8:E9"/>
    <mergeCell ref="F8:H9"/>
    <mergeCell ref="I8:K9"/>
    <mergeCell ref="C16:E17"/>
    <mergeCell ref="F16:H17"/>
    <mergeCell ref="I16:K17"/>
    <mergeCell ref="L16:N17"/>
    <mergeCell ref="L8:N9"/>
  </mergeCells>
  <printOptions horizontalCentered="1" verticalCentered="1"/>
  <pageMargins left="0.25" right="0.25" top="0.75" bottom="0.75" header="0.3" footer="0.3"/>
  <pageSetup paperSize="9" scale="63" orientation="portrait" r:id="rId3"/>
  <ignoredErrors>
    <ignoredError sqref="E19 H19 K19 N19:Q19" unlockedFormula="1"/>
  </ignoredErrors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2:T39"/>
  <sheetViews>
    <sheetView rightToLeft="1" topLeftCell="A7" zoomScale="85" zoomScaleNormal="85" workbookViewId="0">
      <selection activeCell="J29" sqref="J29"/>
    </sheetView>
  </sheetViews>
  <sheetFormatPr defaultRowHeight="14.25" x14ac:dyDescent="0.2"/>
  <cols>
    <col min="1" max="1" width="4.625" customWidth="1"/>
    <col min="2" max="2" width="10" customWidth="1"/>
    <col min="3" max="3" width="8.625" customWidth="1"/>
    <col min="15" max="15" width="10.25" customWidth="1"/>
    <col min="16" max="16" width="9.75" customWidth="1"/>
    <col min="18" max="18" width="20.625" customWidth="1"/>
  </cols>
  <sheetData>
    <row r="2" spans="1:20" ht="15.75" thickBot="1" x14ac:dyDescent="0.3">
      <c r="F2" s="44"/>
      <c r="G2" s="44"/>
      <c r="H2" s="44"/>
      <c r="I2" s="44"/>
      <c r="J2" s="44"/>
      <c r="K2" s="44"/>
      <c r="L2" s="44"/>
      <c r="M2" s="44"/>
      <c r="O2" s="30"/>
    </row>
    <row r="3" spans="1:20" ht="15.75" thickBot="1" x14ac:dyDescent="0.25">
      <c r="A3" s="449" t="s">
        <v>14</v>
      </c>
      <c r="B3" s="449" t="s">
        <v>3</v>
      </c>
      <c r="C3" s="399" t="s">
        <v>5</v>
      </c>
      <c r="D3" s="399"/>
      <c r="E3" s="450"/>
      <c r="F3" s="451" t="s">
        <v>11</v>
      </c>
      <c r="G3" s="399"/>
      <c r="H3" s="450"/>
      <c r="I3" s="407" t="s">
        <v>12</v>
      </c>
      <c r="J3" s="399"/>
      <c r="K3" s="406"/>
      <c r="L3" s="451" t="s">
        <v>50</v>
      </c>
      <c r="M3" s="399"/>
      <c r="N3" s="450"/>
      <c r="O3" s="407" t="s">
        <v>45</v>
      </c>
      <c r="P3" s="399"/>
      <c r="Q3" s="399"/>
      <c r="R3" s="415" t="s">
        <v>160</v>
      </c>
    </row>
    <row r="4" spans="1:20" ht="15.75" thickBot="1" x14ac:dyDescent="0.25">
      <c r="A4" s="449"/>
      <c r="B4" s="449"/>
      <c r="C4" s="19" t="s">
        <v>6</v>
      </c>
      <c r="D4" s="19" t="s">
        <v>8</v>
      </c>
      <c r="E4" s="21" t="s">
        <v>76</v>
      </c>
      <c r="F4" s="22" t="s">
        <v>6</v>
      </c>
      <c r="G4" s="19" t="s">
        <v>8</v>
      </c>
      <c r="H4" s="21" t="s">
        <v>76</v>
      </c>
      <c r="I4" s="22" t="s">
        <v>6</v>
      </c>
      <c r="J4" s="19" t="s">
        <v>8</v>
      </c>
      <c r="K4" s="40" t="s">
        <v>76</v>
      </c>
      <c r="L4" s="323" t="s">
        <v>6</v>
      </c>
      <c r="M4" s="19" t="s">
        <v>8</v>
      </c>
      <c r="N4" s="32" t="s">
        <v>76</v>
      </c>
      <c r="O4" s="33" t="s">
        <v>80</v>
      </c>
      <c r="P4" s="28" t="s">
        <v>50</v>
      </c>
      <c r="Q4" s="28" t="s">
        <v>74</v>
      </c>
      <c r="R4" s="416"/>
    </row>
    <row r="5" spans="1:20" ht="16.5" thickBot="1" x14ac:dyDescent="0.3">
      <c r="A5" s="34">
        <v>1</v>
      </c>
      <c r="B5" s="34" t="s">
        <v>15</v>
      </c>
      <c r="C5" s="196"/>
      <c r="D5" s="192"/>
      <c r="E5" s="212"/>
      <c r="F5" s="211">
        <v>85</v>
      </c>
      <c r="G5" s="194">
        <v>34</v>
      </c>
      <c r="H5" s="213">
        <v>22359</v>
      </c>
      <c r="I5" s="211">
        <v>24</v>
      </c>
      <c r="J5" s="5"/>
      <c r="K5" s="213">
        <v>6934</v>
      </c>
      <c r="L5" s="214"/>
      <c r="M5" s="192"/>
      <c r="N5" s="215"/>
      <c r="O5" s="217">
        <v>1950</v>
      </c>
      <c r="P5" s="218"/>
      <c r="Q5" s="294">
        <f t="shared" ref="Q5:Q26" si="0">P5+O5</f>
        <v>1950</v>
      </c>
      <c r="R5" s="220" t="s">
        <v>243</v>
      </c>
      <c r="S5" s="195"/>
      <c r="T5" s="195"/>
    </row>
    <row r="6" spans="1:20" ht="16.5" thickBot="1" x14ac:dyDescent="0.3">
      <c r="A6" s="297">
        <v>2</v>
      </c>
      <c r="B6" s="284" t="s">
        <v>163</v>
      </c>
      <c r="C6" s="196"/>
      <c r="D6" s="192"/>
      <c r="E6" s="212"/>
      <c r="F6" s="211">
        <v>66</v>
      </c>
      <c r="G6" s="194"/>
      <c r="H6" s="213">
        <v>29318</v>
      </c>
      <c r="I6" s="211">
        <v>13</v>
      </c>
      <c r="J6" s="5">
        <v>17</v>
      </c>
      <c r="K6" s="213">
        <v>8457</v>
      </c>
      <c r="L6" s="214"/>
      <c r="M6" s="192"/>
      <c r="N6" s="215"/>
      <c r="O6" s="217">
        <v>2420</v>
      </c>
      <c r="P6" s="218"/>
      <c r="Q6" s="294">
        <f t="shared" si="0"/>
        <v>2420</v>
      </c>
      <c r="R6" s="220" t="s">
        <v>244</v>
      </c>
      <c r="S6" s="195"/>
      <c r="T6" s="195"/>
    </row>
    <row r="7" spans="1:20" ht="16.5" thickBot="1" x14ac:dyDescent="0.3">
      <c r="A7" s="299">
        <v>3</v>
      </c>
      <c r="B7" s="290" t="s">
        <v>158</v>
      </c>
      <c r="C7" s="197">
        <v>61</v>
      </c>
      <c r="D7" s="5">
        <v>51</v>
      </c>
      <c r="E7" s="213">
        <v>40233</v>
      </c>
      <c r="F7" s="211">
        <v>22</v>
      </c>
      <c r="G7" s="194">
        <v>17</v>
      </c>
      <c r="H7" s="213">
        <v>21567</v>
      </c>
      <c r="I7" s="211">
        <v>40.5</v>
      </c>
      <c r="J7" s="5">
        <v>17</v>
      </c>
      <c r="K7" s="213">
        <v>3363</v>
      </c>
      <c r="L7" s="214"/>
      <c r="M7" s="192"/>
      <c r="N7" s="215"/>
      <c r="O7" s="217">
        <v>3573</v>
      </c>
      <c r="P7" s="218"/>
      <c r="Q7" s="294">
        <f t="shared" si="0"/>
        <v>3573</v>
      </c>
      <c r="R7" s="220" t="s">
        <v>235</v>
      </c>
      <c r="S7" s="195"/>
      <c r="T7" s="195"/>
    </row>
    <row r="8" spans="1:20" ht="16.5" thickBot="1" x14ac:dyDescent="0.3">
      <c r="A8" s="299">
        <v>4</v>
      </c>
      <c r="B8" s="34" t="s">
        <v>16</v>
      </c>
      <c r="C8" s="197">
        <v>15</v>
      </c>
      <c r="D8" s="5"/>
      <c r="E8" s="213">
        <v>3084</v>
      </c>
      <c r="F8" s="211">
        <v>35</v>
      </c>
      <c r="G8" s="194">
        <v>17</v>
      </c>
      <c r="H8" s="213">
        <v>24229</v>
      </c>
      <c r="I8" s="211">
        <v>18</v>
      </c>
      <c r="J8" s="5"/>
      <c r="K8" s="213">
        <v>7116</v>
      </c>
      <c r="L8" s="211">
        <v>162</v>
      </c>
      <c r="M8" s="5">
        <v>17</v>
      </c>
      <c r="N8" s="216">
        <v>5677</v>
      </c>
      <c r="O8" s="217">
        <v>3350</v>
      </c>
      <c r="P8" s="219"/>
      <c r="Q8" s="294">
        <f t="shared" si="0"/>
        <v>3350</v>
      </c>
      <c r="R8" s="220" t="s">
        <v>239</v>
      </c>
      <c r="S8" s="195"/>
      <c r="T8" s="195"/>
    </row>
    <row r="9" spans="1:20" ht="16.5" thickBot="1" x14ac:dyDescent="0.3">
      <c r="A9" s="299">
        <v>5</v>
      </c>
      <c r="B9" s="34" t="s">
        <v>17</v>
      </c>
      <c r="C9" s="196"/>
      <c r="D9" s="192"/>
      <c r="E9" s="212"/>
      <c r="F9" s="211">
        <v>61</v>
      </c>
      <c r="G9" s="194">
        <v>17</v>
      </c>
      <c r="H9" s="213">
        <v>36534</v>
      </c>
      <c r="I9" s="211">
        <v>25</v>
      </c>
      <c r="J9" s="5">
        <v>17</v>
      </c>
      <c r="K9" s="213">
        <v>9663</v>
      </c>
      <c r="L9" s="214"/>
      <c r="M9" s="192"/>
      <c r="N9" s="215"/>
      <c r="O9" s="217">
        <v>3020</v>
      </c>
      <c r="P9" s="218"/>
      <c r="Q9" s="294">
        <f t="shared" si="0"/>
        <v>3020</v>
      </c>
      <c r="R9" s="220" t="s">
        <v>236</v>
      </c>
      <c r="S9" s="195"/>
      <c r="T9" s="195"/>
    </row>
    <row r="10" spans="1:20" ht="16.5" thickBot="1" x14ac:dyDescent="0.3">
      <c r="A10" s="299">
        <v>6</v>
      </c>
      <c r="B10" s="34" t="s">
        <v>18</v>
      </c>
      <c r="C10" s="197">
        <v>12</v>
      </c>
      <c r="D10" s="5">
        <v>17</v>
      </c>
      <c r="E10" s="213">
        <v>4137</v>
      </c>
      <c r="F10" s="211">
        <v>58</v>
      </c>
      <c r="G10" s="194">
        <v>34</v>
      </c>
      <c r="H10" s="213">
        <v>25545</v>
      </c>
      <c r="I10" s="214"/>
      <c r="J10" s="192"/>
      <c r="K10" s="212"/>
      <c r="L10" s="211">
        <v>161</v>
      </c>
      <c r="M10" s="5"/>
      <c r="N10" s="216">
        <v>9054</v>
      </c>
      <c r="O10" s="217">
        <v>2800</v>
      </c>
      <c r="P10" s="219"/>
      <c r="Q10" s="294">
        <f t="shared" si="0"/>
        <v>2800</v>
      </c>
      <c r="R10" s="220" t="s">
        <v>234</v>
      </c>
      <c r="S10" s="195"/>
      <c r="T10" s="195"/>
    </row>
    <row r="11" spans="1:20" ht="16.5" thickBot="1" x14ac:dyDescent="0.3">
      <c r="A11" s="299">
        <v>7</v>
      </c>
      <c r="B11" s="34" t="s">
        <v>19</v>
      </c>
      <c r="C11" s="197">
        <v>20</v>
      </c>
      <c r="D11" s="5"/>
      <c r="E11" s="213">
        <v>5831</v>
      </c>
      <c r="F11" s="211">
        <v>75</v>
      </c>
      <c r="G11" s="194"/>
      <c r="H11" s="213">
        <v>18007</v>
      </c>
      <c r="I11" s="214"/>
      <c r="J11" s="192"/>
      <c r="K11" s="212"/>
      <c r="L11" s="211">
        <v>156</v>
      </c>
      <c r="M11" s="5"/>
      <c r="N11" s="216">
        <v>19881</v>
      </c>
      <c r="O11" s="217">
        <v>2860</v>
      </c>
      <c r="P11" s="219"/>
      <c r="Q11" s="294">
        <f t="shared" si="0"/>
        <v>2860</v>
      </c>
      <c r="R11" s="220" t="s">
        <v>219</v>
      </c>
      <c r="S11" s="195"/>
      <c r="T11" s="195"/>
    </row>
    <row r="12" spans="1:20" ht="16.5" thickBot="1" x14ac:dyDescent="0.3">
      <c r="A12" s="299">
        <v>8</v>
      </c>
      <c r="B12" s="34" t="s">
        <v>20</v>
      </c>
      <c r="C12" s="196"/>
      <c r="D12" s="192"/>
      <c r="E12" s="212"/>
      <c r="F12" s="211">
        <v>135</v>
      </c>
      <c r="G12" s="194">
        <v>51</v>
      </c>
      <c r="H12" s="213">
        <v>38169</v>
      </c>
      <c r="I12" s="211">
        <v>47</v>
      </c>
      <c r="J12" s="5"/>
      <c r="K12" s="213">
        <v>10831</v>
      </c>
      <c r="L12" s="214"/>
      <c r="M12" s="192"/>
      <c r="N12" s="215"/>
      <c r="O12" s="217">
        <v>3010</v>
      </c>
      <c r="P12" s="218"/>
      <c r="Q12" s="294">
        <f t="shared" si="0"/>
        <v>3010</v>
      </c>
      <c r="R12" s="220" t="s">
        <v>228</v>
      </c>
      <c r="S12" s="195"/>
      <c r="T12" s="195"/>
    </row>
    <row r="13" spans="1:20" ht="16.5" thickBot="1" x14ac:dyDescent="0.3">
      <c r="A13" s="299">
        <v>9</v>
      </c>
      <c r="B13" s="34" t="s">
        <v>21</v>
      </c>
      <c r="C13" s="196"/>
      <c r="D13" s="192"/>
      <c r="E13" s="212"/>
      <c r="F13" s="211">
        <v>166</v>
      </c>
      <c r="G13" s="194">
        <v>17</v>
      </c>
      <c r="H13" s="213">
        <v>36828</v>
      </c>
      <c r="I13" s="211">
        <v>38</v>
      </c>
      <c r="J13" s="5"/>
      <c r="K13" s="213">
        <v>11550</v>
      </c>
      <c r="L13" s="211">
        <v>90</v>
      </c>
      <c r="M13" s="5">
        <v>34</v>
      </c>
      <c r="N13" s="216">
        <v>35424</v>
      </c>
      <c r="O13" s="217"/>
      <c r="P13" s="219"/>
      <c r="Q13" s="294">
        <f t="shared" si="0"/>
        <v>0</v>
      </c>
      <c r="R13" s="220" t="s">
        <v>217</v>
      </c>
      <c r="S13" s="195"/>
      <c r="T13" s="195"/>
    </row>
    <row r="14" spans="1:20" ht="16.5" thickBot="1" x14ac:dyDescent="0.3">
      <c r="A14" s="299">
        <v>10</v>
      </c>
      <c r="B14" s="34" t="s">
        <v>22</v>
      </c>
      <c r="C14" s="196"/>
      <c r="D14" s="192"/>
      <c r="E14" s="212"/>
      <c r="F14" s="211">
        <v>67</v>
      </c>
      <c r="G14" s="194">
        <v>17</v>
      </c>
      <c r="H14" s="213">
        <v>8804</v>
      </c>
      <c r="I14" s="211">
        <v>13</v>
      </c>
      <c r="J14" s="5">
        <v>17</v>
      </c>
      <c r="K14" s="213">
        <v>4109</v>
      </c>
      <c r="L14" s="211">
        <v>127</v>
      </c>
      <c r="M14" s="5">
        <v>68</v>
      </c>
      <c r="N14" s="216">
        <v>56756</v>
      </c>
      <c r="O14" s="217">
        <v>6234</v>
      </c>
      <c r="P14" s="219"/>
      <c r="Q14" s="294">
        <f t="shared" si="0"/>
        <v>6234</v>
      </c>
      <c r="R14" s="220" t="s">
        <v>231</v>
      </c>
      <c r="S14" s="195"/>
      <c r="T14" s="195"/>
    </row>
    <row r="15" spans="1:20" ht="16.5" thickBot="1" x14ac:dyDescent="0.3">
      <c r="A15" s="299">
        <v>11</v>
      </c>
      <c r="B15" s="34" t="s">
        <v>23</v>
      </c>
      <c r="C15" s="196"/>
      <c r="D15" s="192"/>
      <c r="E15" s="212"/>
      <c r="F15" s="211">
        <v>76</v>
      </c>
      <c r="G15" s="194"/>
      <c r="H15" s="213">
        <v>7384</v>
      </c>
      <c r="I15" s="211">
        <v>12</v>
      </c>
      <c r="J15" s="5"/>
      <c r="K15" s="213">
        <v>1840</v>
      </c>
      <c r="L15" s="211">
        <v>50</v>
      </c>
      <c r="M15" s="5"/>
      <c r="N15" s="216">
        <v>2711</v>
      </c>
      <c r="O15" s="217">
        <v>1181</v>
      </c>
      <c r="P15" s="219"/>
      <c r="Q15" s="294">
        <f t="shared" si="0"/>
        <v>1181</v>
      </c>
      <c r="R15" s="220" t="s">
        <v>221</v>
      </c>
      <c r="S15" s="195"/>
      <c r="T15" s="195"/>
    </row>
    <row r="16" spans="1:20" ht="16.5" thickBot="1" x14ac:dyDescent="0.3">
      <c r="A16" s="299">
        <v>12</v>
      </c>
      <c r="B16" s="34" t="s">
        <v>24</v>
      </c>
      <c r="C16" s="196"/>
      <c r="D16" s="192"/>
      <c r="E16" s="212"/>
      <c r="F16" s="211">
        <v>33</v>
      </c>
      <c r="G16" s="194"/>
      <c r="H16" s="213">
        <v>3022</v>
      </c>
      <c r="I16" s="211">
        <v>17</v>
      </c>
      <c r="J16" s="5"/>
      <c r="K16" s="213">
        <v>1328</v>
      </c>
      <c r="L16" s="214"/>
      <c r="M16" s="192"/>
      <c r="N16" s="215"/>
      <c r="O16" s="217">
        <v>366</v>
      </c>
      <c r="P16" s="218"/>
      <c r="Q16" s="294">
        <f t="shared" si="0"/>
        <v>366</v>
      </c>
      <c r="R16" s="220" t="s">
        <v>218</v>
      </c>
      <c r="S16" s="195"/>
      <c r="T16" s="195"/>
    </row>
    <row r="17" spans="1:20" ht="16.5" thickBot="1" x14ac:dyDescent="0.3">
      <c r="A17" s="299">
        <v>13</v>
      </c>
      <c r="B17" s="34" t="s">
        <v>26</v>
      </c>
      <c r="C17" s="196"/>
      <c r="D17" s="192"/>
      <c r="E17" s="212"/>
      <c r="F17" s="211">
        <v>64</v>
      </c>
      <c r="G17" s="194"/>
      <c r="H17" s="213">
        <v>3845</v>
      </c>
      <c r="I17" s="211">
        <v>15</v>
      </c>
      <c r="J17" s="5"/>
      <c r="K17" s="213">
        <v>1139</v>
      </c>
      <c r="L17" s="211">
        <v>148</v>
      </c>
      <c r="M17" s="5"/>
      <c r="N17" s="216">
        <v>7460</v>
      </c>
      <c r="O17" s="217">
        <v>1421</v>
      </c>
      <c r="P17" s="219"/>
      <c r="Q17" s="294">
        <f t="shared" si="0"/>
        <v>1421</v>
      </c>
      <c r="R17" s="220" t="s">
        <v>226</v>
      </c>
      <c r="S17" s="195"/>
      <c r="T17" s="195"/>
    </row>
    <row r="18" spans="1:20" ht="16.5" thickBot="1" x14ac:dyDescent="0.3">
      <c r="A18" s="299">
        <v>14</v>
      </c>
      <c r="B18" s="34" t="s">
        <v>25</v>
      </c>
      <c r="C18" s="196"/>
      <c r="D18" s="192"/>
      <c r="E18" s="212"/>
      <c r="F18" s="211">
        <v>76</v>
      </c>
      <c r="G18" s="194"/>
      <c r="H18" s="213">
        <v>15877</v>
      </c>
      <c r="I18" s="211">
        <v>21</v>
      </c>
      <c r="J18" s="5"/>
      <c r="K18" s="213">
        <v>3348</v>
      </c>
      <c r="L18" s="211">
        <v>162</v>
      </c>
      <c r="M18" s="5"/>
      <c r="N18" s="216">
        <v>25157</v>
      </c>
      <c r="O18" s="217">
        <v>1353</v>
      </c>
      <c r="P18" s="219">
        <v>2117</v>
      </c>
      <c r="Q18" s="294">
        <f t="shared" si="0"/>
        <v>3470</v>
      </c>
      <c r="R18" s="220" t="s">
        <v>223</v>
      </c>
      <c r="S18" s="195"/>
      <c r="T18" s="195"/>
    </row>
    <row r="19" spans="1:20" ht="16.5" thickBot="1" x14ac:dyDescent="0.3">
      <c r="A19" s="299">
        <v>15</v>
      </c>
      <c r="B19" s="34" t="s">
        <v>27</v>
      </c>
      <c r="C19" s="196"/>
      <c r="D19" s="192"/>
      <c r="E19" s="212"/>
      <c r="F19" s="211">
        <v>48</v>
      </c>
      <c r="G19" s="194"/>
      <c r="H19" s="213">
        <v>7785</v>
      </c>
      <c r="I19" s="211">
        <v>15.6</v>
      </c>
      <c r="J19" s="5"/>
      <c r="K19" s="213">
        <v>1543</v>
      </c>
      <c r="L19" s="214"/>
      <c r="M19" s="192"/>
      <c r="N19" s="215"/>
      <c r="O19" s="217">
        <v>660</v>
      </c>
      <c r="P19" s="218"/>
      <c r="Q19" s="294">
        <f t="shared" si="0"/>
        <v>660</v>
      </c>
      <c r="R19" s="220" t="s">
        <v>240</v>
      </c>
      <c r="S19" s="195"/>
      <c r="T19" s="195"/>
    </row>
    <row r="20" spans="1:20" ht="16.5" thickBot="1" x14ac:dyDescent="0.3">
      <c r="A20" s="299">
        <v>16</v>
      </c>
      <c r="B20" s="34" t="s">
        <v>28</v>
      </c>
      <c r="C20" s="197">
        <v>19</v>
      </c>
      <c r="D20" s="5"/>
      <c r="E20" s="213">
        <v>613</v>
      </c>
      <c r="F20" s="211">
        <v>43</v>
      </c>
      <c r="G20" s="194"/>
      <c r="H20" s="213">
        <v>1282</v>
      </c>
      <c r="I20" s="214"/>
      <c r="J20" s="192"/>
      <c r="K20" s="212"/>
      <c r="L20" s="211">
        <v>82</v>
      </c>
      <c r="M20" s="5">
        <v>17</v>
      </c>
      <c r="N20" s="216">
        <v>9020</v>
      </c>
      <c r="O20" s="217">
        <v>160</v>
      </c>
      <c r="P20" s="219">
        <v>640</v>
      </c>
      <c r="Q20" s="294">
        <f t="shared" si="0"/>
        <v>800</v>
      </c>
      <c r="R20" s="220" t="s">
        <v>225</v>
      </c>
      <c r="S20" s="195"/>
      <c r="T20" s="195"/>
    </row>
    <row r="21" spans="1:20" ht="16.5" thickBot="1" x14ac:dyDescent="0.3">
      <c r="A21" s="299">
        <v>17</v>
      </c>
      <c r="B21" s="34" t="s">
        <v>29</v>
      </c>
      <c r="C21" s="196"/>
      <c r="D21" s="192"/>
      <c r="E21" s="212"/>
      <c r="F21" s="211">
        <v>32</v>
      </c>
      <c r="G21" s="194">
        <v>17</v>
      </c>
      <c r="H21" s="213">
        <v>2645</v>
      </c>
      <c r="I21" s="214"/>
      <c r="J21" s="192"/>
      <c r="K21" s="212"/>
      <c r="L21" s="211">
        <v>98</v>
      </c>
      <c r="M21" s="5">
        <v>17</v>
      </c>
      <c r="N21" s="216">
        <v>4734</v>
      </c>
      <c r="O21" s="217">
        <v>500</v>
      </c>
      <c r="P21" s="219"/>
      <c r="Q21" s="294">
        <f t="shared" si="0"/>
        <v>500</v>
      </c>
      <c r="R21" s="220" t="s">
        <v>238</v>
      </c>
      <c r="S21" s="195"/>
      <c r="T21" s="195"/>
    </row>
    <row r="22" spans="1:20" ht="16.5" thickBot="1" x14ac:dyDescent="0.3">
      <c r="A22" s="299">
        <v>18</v>
      </c>
      <c r="B22" s="34" t="s">
        <v>30</v>
      </c>
      <c r="C22" s="196"/>
      <c r="D22" s="192"/>
      <c r="E22" s="212"/>
      <c r="F22" s="211">
        <v>82</v>
      </c>
      <c r="G22" s="194">
        <v>17</v>
      </c>
      <c r="H22" s="213">
        <v>14052</v>
      </c>
      <c r="I22" s="211">
        <v>21</v>
      </c>
      <c r="J22" s="5"/>
      <c r="K22" s="213">
        <v>2039</v>
      </c>
      <c r="L22" s="211">
        <v>114</v>
      </c>
      <c r="M22" s="5">
        <v>68</v>
      </c>
      <c r="N22" s="216">
        <v>63231</v>
      </c>
      <c r="O22" s="217">
        <v>1570</v>
      </c>
      <c r="P22" s="219">
        <v>4890</v>
      </c>
      <c r="Q22" s="294">
        <f t="shared" si="0"/>
        <v>6460</v>
      </c>
      <c r="R22" s="220" t="s">
        <v>230</v>
      </c>
      <c r="S22" s="195"/>
      <c r="T22" s="195"/>
    </row>
    <row r="23" spans="1:20" ht="16.5" thickBot="1" x14ac:dyDescent="0.3">
      <c r="A23" s="299">
        <v>19</v>
      </c>
      <c r="B23" s="34" t="s">
        <v>31</v>
      </c>
      <c r="C23" s="196"/>
      <c r="D23" s="192"/>
      <c r="E23" s="212"/>
      <c r="F23" s="211">
        <v>68</v>
      </c>
      <c r="G23" s="194">
        <v>17</v>
      </c>
      <c r="H23" s="213">
        <v>14729</v>
      </c>
      <c r="I23" s="211">
        <v>16</v>
      </c>
      <c r="J23" s="5"/>
      <c r="K23" s="213">
        <v>2735</v>
      </c>
      <c r="L23" s="211">
        <v>125</v>
      </c>
      <c r="M23" s="5">
        <v>51</v>
      </c>
      <c r="N23" s="216">
        <v>47146</v>
      </c>
      <c r="O23" s="217">
        <v>1595</v>
      </c>
      <c r="P23" s="219">
        <v>3485</v>
      </c>
      <c r="Q23" s="294">
        <f t="shared" si="0"/>
        <v>5080</v>
      </c>
      <c r="R23" s="220" t="s">
        <v>226</v>
      </c>
      <c r="S23" s="195"/>
      <c r="T23" s="195"/>
    </row>
    <row r="24" spans="1:20" ht="16.5" thickBot="1" x14ac:dyDescent="0.3">
      <c r="A24" s="299">
        <v>20</v>
      </c>
      <c r="B24" s="34" t="s">
        <v>32</v>
      </c>
      <c r="C24" s="196"/>
      <c r="D24" s="192"/>
      <c r="E24" s="212"/>
      <c r="F24" s="211">
        <v>74</v>
      </c>
      <c r="G24" s="194">
        <v>17</v>
      </c>
      <c r="H24" s="213">
        <v>11216</v>
      </c>
      <c r="I24" s="211">
        <v>22</v>
      </c>
      <c r="J24" s="5"/>
      <c r="K24" s="213">
        <v>1874</v>
      </c>
      <c r="L24" s="211">
        <v>146</v>
      </c>
      <c r="M24" s="5">
        <v>34</v>
      </c>
      <c r="N24" s="216">
        <v>32108</v>
      </c>
      <c r="O24" s="217">
        <v>974</v>
      </c>
      <c r="P24" s="219">
        <v>1244</v>
      </c>
      <c r="Q24" s="294">
        <f t="shared" si="0"/>
        <v>2218</v>
      </c>
      <c r="R24" s="220" t="s">
        <v>232</v>
      </c>
      <c r="S24" s="195"/>
      <c r="T24" s="195"/>
    </row>
    <row r="25" spans="1:20" ht="16.5" thickBot="1" x14ac:dyDescent="0.3">
      <c r="A25" s="299">
        <v>21</v>
      </c>
      <c r="B25" s="34" t="s">
        <v>33</v>
      </c>
      <c r="C25" s="196"/>
      <c r="D25" s="192"/>
      <c r="E25" s="212"/>
      <c r="F25" s="211">
        <v>83</v>
      </c>
      <c r="G25" s="194"/>
      <c r="H25" s="213">
        <v>8718</v>
      </c>
      <c r="I25" s="211">
        <v>23</v>
      </c>
      <c r="J25" s="5"/>
      <c r="K25" s="213">
        <v>1515</v>
      </c>
      <c r="L25" s="211">
        <v>149</v>
      </c>
      <c r="M25" s="5"/>
      <c r="N25" s="216">
        <v>27913</v>
      </c>
      <c r="O25" s="217">
        <v>950</v>
      </c>
      <c r="P25" s="219">
        <v>2165</v>
      </c>
      <c r="Q25" s="294">
        <f t="shared" si="0"/>
        <v>3115</v>
      </c>
      <c r="R25" s="220" t="s">
        <v>227</v>
      </c>
    </row>
    <row r="26" spans="1:20" ht="16.5" thickBot="1" x14ac:dyDescent="0.3">
      <c r="A26" s="299">
        <v>77</v>
      </c>
      <c r="B26" s="297" t="s">
        <v>112</v>
      </c>
      <c r="C26" s="197">
        <v>75</v>
      </c>
      <c r="D26" s="194"/>
      <c r="E26" s="213">
        <v>4567</v>
      </c>
      <c r="F26" s="211">
        <v>23</v>
      </c>
      <c r="G26" s="194">
        <v>17</v>
      </c>
      <c r="H26" s="213">
        <v>9440</v>
      </c>
      <c r="I26" s="211">
        <v>35</v>
      </c>
      <c r="J26" s="5"/>
      <c r="K26" s="213">
        <v>1823</v>
      </c>
      <c r="L26" s="211">
        <v>144</v>
      </c>
      <c r="M26" s="5">
        <v>34</v>
      </c>
      <c r="N26" s="216">
        <v>16125</v>
      </c>
      <c r="O26" s="217">
        <v>1300</v>
      </c>
      <c r="P26" s="219"/>
      <c r="Q26" s="294">
        <f t="shared" si="0"/>
        <v>1300</v>
      </c>
      <c r="R26" s="220" t="s">
        <v>233</v>
      </c>
    </row>
    <row r="27" spans="1:20" ht="16.5" thickBot="1" x14ac:dyDescent="0.3">
      <c r="A27" s="310">
        <v>23</v>
      </c>
      <c r="B27" s="310" t="s">
        <v>121</v>
      </c>
      <c r="C27" s="196"/>
      <c r="D27" s="192"/>
      <c r="E27" s="212"/>
      <c r="F27" s="211">
        <v>118</v>
      </c>
      <c r="G27" s="194"/>
      <c r="H27" s="213">
        <v>8360</v>
      </c>
      <c r="I27" s="211">
        <v>38</v>
      </c>
      <c r="J27" s="5"/>
      <c r="K27" s="213">
        <v>1676</v>
      </c>
      <c r="L27" s="214"/>
      <c r="M27" s="192"/>
      <c r="N27" s="215"/>
      <c r="O27" s="217">
        <v>189</v>
      </c>
      <c r="P27" s="218"/>
      <c r="Q27" s="294">
        <f t="shared" ref="Q27:Q30" si="1">P27+O27</f>
        <v>189</v>
      </c>
      <c r="R27" s="220" t="s">
        <v>222</v>
      </c>
    </row>
    <row r="28" spans="1:20" ht="16.5" thickBot="1" x14ac:dyDescent="0.3">
      <c r="A28" s="310">
        <v>24</v>
      </c>
      <c r="B28" s="310" t="s">
        <v>168</v>
      </c>
      <c r="C28" s="196"/>
      <c r="D28" s="192"/>
      <c r="E28" s="212"/>
      <c r="F28" s="211">
        <v>170</v>
      </c>
      <c r="G28" s="194">
        <v>17</v>
      </c>
      <c r="H28" s="213">
        <v>29260</v>
      </c>
      <c r="I28" s="211">
        <v>83</v>
      </c>
      <c r="J28" s="5"/>
      <c r="K28" s="213">
        <v>9267</v>
      </c>
      <c r="L28" s="214"/>
      <c r="M28" s="192"/>
      <c r="N28" s="215"/>
      <c r="O28" s="217">
        <v>1410</v>
      </c>
      <c r="P28" s="218"/>
      <c r="Q28" s="294">
        <f t="shared" si="1"/>
        <v>1410</v>
      </c>
      <c r="R28" s="220" t="s">
        <v>220</v>
      </c>
    </row>
    <row r="29" spans="1:20" ht="16.5" thickBot="1" x14ac:dyDescent="0.3">
      <c r="A29" s="310">
        <v>25</v>
      </c>
      <c r="B29" s="310" t="s">
        <v>169</v>
      </c>
      <c r="C29" s="196"/>
      <c r="D29" s="192"/>
      <c r="E29" s="212"/>
      <c r="F29" s="211">
        <v>141</v>
      </c>
      <c r="G29" s="194">
        <v>51</v>
      </c>
      <c r="H29" s="213">
        <v>29684</v>
      </c>
      <c r="I29" s="211">
        <v>63</v>
      </c>
      <c r="J29" s="5">
        <v>34</v>
      </c>
      <c r="K29" s="213">
        <v>9278</v>
      </c>
      <c r="L29" s="214"/>
      <c r="M29" s="192"/>
      <c r="N29" s="215"/>
      <c r="O29" s="217">
        <v>3200</v>
      </c>
      <c r="P29" s="218"/>
      <c r="Q29" s="294">
        <f t="shared" si="1"/>
        <v>3200</v>
      </c>
      <c r="R29" s="220" t="s">
        <v>237</v>
      </c>
    </row>
    <row r="30" spans="1:20" ht="16.5" thickBot="1" x14ac:dyDescent="0.3">
      <c r="A30" s="310">
        <v>26</v>
      </c>
      <c r="B30" s="318" t="s">
        <v>170</v>
      </c>
      <c r="C30" s="196"/>
      <c r="D30" s="192"/>
      <c r="E30" s="212"/>
      <c r="F30" s="211">
        <v>160</v>
      </c>
      <c r="G30" s="194">
        <v>34</v>
      </c>
      <c r="H30" s="213">
        <v>42358</v>
      </c>
      <c r="I30" s="211">
        <v>70</v>
      </c>
      <c r="J30" s="5">
        <v>17</v>
      </c>
      <c r="K30" s="213">
        <v>10073</v>
      </c>
      <c r="L30" s="214"/>
      <c r="M30" s="192"/>
      <c r="N30" s="215"/>
      <c r="O30" s="217"/>
      <c r="P30" s="218"/>
      <c r="Q30" s="294">
        <f t="shared" si="1"/>
        <v>0</v>
      </c>
      <c r="R30" s="220" t="s">
        <v>224</v>
      </c>
    </row>
    <row r="31" spans="1:20" ht="16.5" thickBot="1" x14ac:dyDescent="0.3">
      <c r="A31" s="310">
        <v>27</v>
      </c>
      <c r="B31" s="318" t="s">
        <v>171</v>
      </c>
      <c r="C31" s="196"/>
      <c r="D31" s="192"/>
      <c r="E31" s="212"/>
      <c r="F31" s="211">
        <v>135</v>
      </c>
      <c r="G31" s="194">
        <v>68</v>
      </c>
      <c r="H31" s="213">
        <v>60378</v>
      </c>
      <c r="I31" s="211">
        <v>56</v>
      </c>
      <c r="J31" s="5">
        <v>34</v>
      </c>
      <c r="K31" s="213">
        <v>14037</v>
      </c>
      <c r="L31" s="214"/>
      <c r="M31" s="192"/>
      <c r="N31" s="215"/>
      <c r="O31" s="217">
        <v>6080</v>
      </c>
      <c r="P31" s="218"/>
      <c r="Q31" s="294">
        <f t="shared" ref="Q31:Q35" si="2">P31+O31</f>
        <v>6080</v>
      </c>
      <c r="R31" s="220" t="s">
        <v>229</v>
      </c>
    </row>
    <row r="32" spans="1:20" ht="16.5" thickBot="1" x14ac:dyDescent="0.3">
      <c r="A32" s="359">
        <v>28</v>
      </c>
      <c r="B32" s="332" t="s">
        <v>197</v>
      </c>
      <c r="C32" s="196"/>
      <c r="D32" s="192"/>
      <c r="E32" s="212"/>
      <c r="F32" s="211"/>
      <c r="G32" s="194"/>
      <c r="H32" s="213"/>
      <c r="I32" s="211"/>
      <c r="J32" s="5"/>
      <c r="K32" s="213"/>
      <c r="L32" s="214"/>
      <c r="M32" s="192"/>
      <c r="N32" s="215"/>
      <c r="O32" s="217"/>
      <c r="P32" s="218"/>
      <c r="Q32" s="294">
        <f t="shared" si="2"/>
        <v>0</v>
      </c>
      <c r="R32" s="220"/>
    </row>
    <row r="33" spans="1:18" ht="16.5" thickBot="1" x14ac:dyDescent="0.3">
      <c r="A33" s="359">
        <v>29</v>
      </c>
      <c r="B33" s="359" t="s">
        <v>198</v>
      </c>
      <c r="C33" s="196"/>
      <c r="D33" s="192"/>
      <c r="E33" s="212"/>
      <c r="F33" s="211"/>
      <c r="G33" s="194"/>
      <c r="H33" s="213"/>
      <c r="I33" s="211"/>
      <c r="J33" s="5"/>
      <c r="K33" s="213"/>
      <c r="L33" s="214"/>
      <c r="M33" s="192"/>
      <c r="N33" s="215"/>
      <c r="O33" s="217"/>
      <c r="P33" s="218"/>
      <c r="Q33" s="294">
        <f t="shared" si="2"/>
        <v>0</v>
      </c>
      <c r="R33" s="220"/>
    </row>
    <row r="34" spans="1:18" ht="16.5" thickBot="1" x14ac:dyDescent="0.3">
      <c r="A34" s="359">
        <v>30</v>
      </c>
      <c r="B34" s="318" t="s">
        <v>199</v>
      </c>
      <c r="C34" s="196"/>
      <c r="D34" s="192"/>
      <c r="E34" s="212"/>
      <c r="F34" s="211"/>
      <c r="G34" s="194"/>
      <c r="H34" s="213"/>
      <c r="I34" s="211"/>
      <c r="J34" s="5"/>
      <c r="K34" s="213"/>
      <c r="L34" s="214"/>
      <c r="M34" s="192"/>
      <c r="N34" s="215"/>
      <c r="O34" s="217"/>
      <c r="P34" s="218"/>
      <c r="Q34" s="294">
        <f t="shared" si="2"/>
        <v>0</v>
      </c>
      <c r="R34" s="220"/>
    </row>
    <row r="35" spans="1:18" ht="16.5" thickBot="1" x14ac:dyDescent="0.3">
      <c r="A35" s="359">
        <v>31</v>
      </c>
      <c r="B35" s="318" t="s">
        <v>200</v>
      </c>
      <c r="C35" s="196"/>
      <c r="D35" s="192"/>
      <c r="E35" s="212"/>
      <c r="F35" s="211"/>
      <c r="G35" s="194"/>
      <c r="H35" s="213"/>
      <c r="I35" s="211"/>
      <c r="J35" s="5"/>
      <c r="K35" s="213"/>
      <c r="L35" s="211"/>
      <c r="M35" s="5"/>
      <c r="N35" s="5"/>
      <c r="O35" s="217"/>
      <c r="P35" s="217"/>
      <c r="Q35" s="294">
        <f t="shared" si="2"/>
        <v>0</v>
      </c>
      <c r="R35" s="220"/>
    </row>
    <row r="39" spans="1:18" ht="15" x14ac:dyDescent="0.2">
      <c r="D39" s="193">
        <f>SUM(D5:D31)</f>
        <v>68</v>
      </c>
      <c r="G39" s="193">
        <f>SUM(G5:G31)</f>
        <v>459</v>
      </c>
      <c r="J39" s="193">
        <f>SUM(J5:J31)</f>
        <v>153</v>
      </c>
      <c r="M39" s="193">
        <f>SUM(M5:M31)</f>
        <v>340</v>
      </c>
    </row>
  </sheetData>
  <sheetProtection selectLockedCells="1"/>
  <customSheetViews>
    <customSheetView guid="{18C0F7AC-4BB1-46DE-8A01-8E31FE0585FC}" scale="85" fitToPage="1">
      <selection activeCell="A7" sqref="A7:XFD7"/>
      <pageMargins left="0.25" right="0.25" top="0.75" bottom="0.75" header="0.3" footer="0.3"/>
      <pageSetup paperSize="9" scale="72" orientation="landscape" r:id="rId1"/>
    </customSheetView>
    <customSheetView guid="{8317B6D8-8A99-4EB0-9DBC-8E9AE0170A4B}" fitToPage="1">
      <selection activeCell="J18" sqref="J18"/>
      <pageMargins left="0.25" right="0.25" top="0.75" bottom="0.75" header="0.3" footer="0.3"/>
      <pageSetup paperSize="9" scale="72" orientation="landscape" r:id="rId2"/>
    </customSheetView>
  </customSheetViews>
  <mergeCells count="8">
    <mergeCell ref="R3:R4"/>
    <mergeCell ref="O3:Q3"/>
    <mergeCell ref="A3:A4"/>
    <mergeCell ref="B3:B4"/>
    <mergeCell ref="C3:E3"/>
    <mergeCell ref="F3:H3"/>
    <mergeCell ref="I3:K3"/>
    <mergeCell ref="L3:N3"/>
  </mergeCells>
  <pageMargins left="0.25" right="0.25" top="0.75" bottom="0.75" header="0.3" footer="0.3"/>
  <pageSetup paperSize="9" scale="72" orientation="landscape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J19"/>
  <sheetViews>
    <sheetView rightToLeft="1" view="pageBreakPreview" topLeftCell="A4" zoomScale="73" zoomScaleNormal="70" zoomScaleSheetLayoutView="73" workbookViewId="0">
      <selection activeCell="H17" sqref="H17"/>
    </sheetView>
  </sheetViews>
  <sheetFormatPr defaultRowHeight="14.25" x14ac:dyDescent="0.2"/>
  <cols>
    <col min="1" max="1" width="4.5" style="348" customWidth="1"/>
    <col min="2" max="2" width="5.125" style="348" customWidth="1"/>
    <col min="3" max="3" width="39.125" style="348" customWidth="1"/>
    <col min="4" max="5" width="12.375" style="348" customWidth="1"/>
    <col min="6" max="6" width="11.5" style="348" customWidth="1"/>
    <col min="7" max="7" width="11.625" style="348" customWidth="1"/>
    <col min="8" max="8" width="20.375" style="348" customWidth="1"/>
    <col min="9" max="9" width="9.5" style="348" customWidth="1"/>
    <col min="10" max="10" width="14.625" style="348" customWidth="1"/>
    <col min="11" max="12" width="13.375" style="348" customWidth="1"/>
    <col min="13" max="16384" width="9" style="348"/>
  </cols>
  <sheetData>
    <row r="7" spans="2:10" s="346" customFormat="1" ht="24.95" customHeight="1" thickBot="1" x14ac:dyDescent="0.3">
      <c r="B7" s="458" t="s">
        <v>193</v>
      </c>
      <c r="C7" s="458"/>
      <c r="D7" s="458"/>
      <c r="E7" s="458"/>
      <c r="F7" s="458"/>
      <c r="G7" s="458"/>
      <c r="H7" s="458"/>
      <c r="I7" s="345"/>
      <c r="J7" s="345"/>
    </row>
    <row r="8" spans="2:10" ht="17.25" thickTop="1" thickBot="1" x14ac:dyDescent="0.25">
      <c r="B8" s="459" t="s">
        <v>14</v>
      </c>
      <c r="C8" s="452" t="s">
        <v>180</v>
      </c>
      <c r="D8" s="461" t="s">
        <v>181</v>
      </c>
      <c r="E8" s="462"/>
      <c r="F8" s="463"/>
      <c r="G8" s="452" t="s">
        <v>182</v>
      </c>
      <c r="H8" s="454" t="s">
        <v>183</v>
      </c>
      <c r="I8" s="347"/>
      <c r="J8" s="347"/>
    </row>
    <row r="9" spans="2:10" ht="16.5" thickBot="1" x14ac:dyDescent="0.25">
      <c r="B9" s="460"/>
      <c r="C9" s="453"/>
      <c r="D9" s="340">
        <v>80</v>
      </c>
      <c r="E9" s="340">
        <v>92</v>
      </c>
      <c r="F9" s="340">
        <v>95</v>
      </c>
      <c r="G9" s="453"/>
      <c r="H9" s="455"/>
    </row>
    <row r="10" spans="2:10" ht="54.95" customHeight="1" thickBot="1" x14ac:dyDescent="0.25">
      <c r="B10" s="341">
        <v>1</v>
      </c>
      <c r="C10" s="342" t="s">
        <v>184</v>
      </c>
      <c r="D10" s="342"/>
      <c r="E10" s="350">
        <f>'أخذ التمام الصباحي'!$H$28</f>
        <v>29260</v>
      </c>
      <c r="F10" s="350">
        <f>'أخذ التمام الصباحي'!$K$28</f>
        <v>9267</v>
      </c>
      <c r="G10" s="342"/>
      <c r="H10" s="343">
        <f>SUM(D10:G10)</f>
        <v>38527</v>
      </c>
    </row>
    <row r="11" spans="2:10" ht="54.95" customHeight="1" thickBot="1" x14ac:dyDescent="0.25">
      <c r="B11" s="341">
        <v>2</v>
      </c>
      <c r="C11" s="342" t="s">
        <v>185</v>
      </c>
      <c r="D11" s="342"/>
      <c r="E11" s="350">
        <f>'أخذ التمام الصباحي'!$H$29</f>
        <v>29684</v>
      </c>
      <c r="F11" s="350">
        <f>'أخذ التمام الصباحي'!$K$29</f>
        <v>9278</v>
      </c>
      <c r="G11" s="342"/>
      <c r="H11" s="343">
        <f t="shared" ref="H11" si="0">SUM(D11:G11)</f>
        <v>38962</v>
      </c>
    </row>
    <row r="12" spans="2:10" ht="54.95" customHeight="1" thickBot="1" x14ac:dyDescent="0.25">
      <c r="B12" s="341">
        <v>3</v>
      </c>
      <c r="C12" s="344" t="s">
        <v>186</v>
      </c>
      <c r="D12" s="342"/>
      <c r="E12" s="350">
        <f>'أخذ التمام الصباحي'!$H$30</f>
        <v>42358</v>
      </c>
      <c r="F12" s="350">
        <f>'أخذ التمام الصباحي'!$K$30</f>
        <v>10073</v>
      </c>
      <c r="G12" s="342"/>
      <c r="H12" s="343">
        <f>SUM(D12:G12)</f>
        <v>52431</v>
      </c>
    </row>
    <row r="13" spans="2:10" ht="54.95" customHeight="1" thickBot="1" x14ac:dyDescent="0.25">
      <c r="B13" s="341">
        <v>4</v>
      </c>
      <c r="C13" s="344" t="s">
        <v>187</v>
      </c>
      <c r="D13" s="342"/>
      <c r="E13" s="350">
        <f>'أخذ التمام الصباحي'!$H$31</f>
        <v>60378</v>
      </c>
      <c r="F13" s="350">
        <f>'أخذ التمام الصباحي'!$K$31</f>
        <v>14037</v>
      </c>
      <c r="G13" s="342"/>
      <c r="H13" s="343">
        <f>SUM(D13:G13)</f>
        <v>74415</v>
      </c>
    </row>
    <row r="14" spans="2:10" ht="54.95" customHeight="1" thickBot="1" x14ac:dyDescent="0.25">
      <c r="B14" s="341">
        <v>5</v>
      </c>
      <c r="C14" s="342" t="s">
        <v>188</v>
      </c>
      <c r="D14" s="342"/>
      <c r="E14" s="350">
        <f>'أخذ التمام الصباحي'!$H$6</f>
        <v>29318</v>
      </c>
      <c r="F14" s="350">
        <f>'أخذ التمام الصباحي'!$K$6</f>
        <v>8457</v>
      </c>
      <c r="G14" s="342"/>
      <c r="H14" s="343">
        <f>SUM(D14:G14)</f>
        <v>37775</v>
      </c>
    </row>
    <row r="15" spans="2:10" ht="54.95" customHeight="1" thickBot="1" x14ac:dyDescent="0.25">
      <c r="B15" s="341">
        <v>6</v>
      </c>
      <c r="C15" s="342" t="s">
        <v>189</v>
      </c>
      <c r="D15" s="350">
        <f>'أخذ التمام الصباحي'!$E$7</f>
        <v>40233</v>
      </c>
      <c r="E15" s="350">
        <f>'أخذ التمام الصباحي'!$H$7</f>
        <v>21567</v>
      </c>
      <c r="F15" s="350">
        <f>'أخذ التمام الصباحي'!$K$7</f>
        <v>3363</v>
      </c>
      <c r="G15" s="342"/>
      <c r="H15" s="343">
        <f t="shared" ref="H15:H17" si="1">SUM(D15:G15)</f>
        <v>65163</v>
      </c>
    </row>
    <row r="16" spans="2:10" ht="54.95" customHeight="1" thickBot="1" x14ac:dyDescent="0.25">
      <c r="B16" s="341">
        <v>7</v>
      </c>
      <c r="C16" s="342" t="s">
        <v>190</v>
      </c>
      <c r="D16" s="350">
        <f>'أخذ التمام الصباحي'!$E$26</f>
        <v>4567</v>
      </c>
      <c r="E16" s="350">
        <f>'أخذ التمام الصباحي'!$H$26</f>
        <v>9440</v>
      </c>
      <c r="F16" s="350">
        <f>'أخذ التمام الصباحي'!$K$26</f>
        <v>1823</v>
      </c>
      <c r="G16" s="350">
        <f>'أخذ التمام الصباحي'!$N$26</f>
        <v>16125</v>
      </c>
      <c r="H16" s="343">
        <f t="shared" si="1"/>
        <v>31955</v>
      </c>
    </row>
    <row r="17" spans="2:8" ht="54.95" customHeight="1" thickBot="1" x14ac:dyDescent="0.25">
      <c r="B17" s="341">
        <v>8</v>
      </c>
      <c r="C17" s="342" t="s">
        <v>191</v>
      </c>
      <c r="D17" s="342"/>
      <c r="E17" s="350">
        <f>'أخذ التمام الصباحي'!$H$27</f>
        <v>8360</v>
      </c>
      <c r="F17" s="350">
        <f>'أخذ التمام الصباحي'!$K$27</f>
        <v>1676</v>
      </c>
      <c r="G17" s="342"/>
      <c r="H17" s="343">
        <f t="shared" si="1"/>
        <v>10036</v>
      </c>
    </row>
    <row r="18" spans="2:8" ht="54.95" customHeight="1" thickTop="1" thickBot="1" x14ac:dyDescent="0.25">
      <c r="B18" s="456" t="s">
        <v>192</v>
      </c>
      <c r="C18" s="457"/>
      <c r="D18" s="351">
        <f t="shared" ref="D18:G18" si="2">SUM(D10:D17)</f>
        <v>44800</v>
      </c>
      <c r="E18" s="351">
        <f t="shared" si="2"/>
        <v>230365</v>
      </c>
      <c r="F18" s="351">
        <f t="shared" si="2"/>
        <v>57974</v>
      </c>
      <c r="G18" s="351">
        <f t="shared" si="2"/>
        <v>16125</v>
      </c>
      <c r="H18" s="351">
        <f>SUM(H10:H17)</f>
        <v>349264</v>
      </c>
    </row>
    <row r="19" spans="2:8" ht="15" thickTop="1" x14ac:dyDescent="0.2"/>
  </sheetData>
  <customSheetViews>
    <customSheetView guid="{18C0F7AC-4BB1-46DE-8A01-8E31FE0585FC}" scale="73" showPageBreaks="1" view="pageBreakPreview">
      <selection activeCell="H17" sqref="H17"/>
      <pageMargins left="0.70866141732283472" right="0.70866141732283472" top="0.19685039370078741" bottom="0.19685039370078741" header="0.31496062992125984" footer="0.31496062992125984"/>
      <printOptions horizontalCentered="1" verticalCentered="1"/>
      <pageSetup paperSize="9" scale="85" orientation="landscape" r:id="rId1"/>
    </customSheetView>
  </customSheetViews>
  <mergeCells count="7">
    <mergeCell ref="G8:G9"/>
    <mergeCell ref="H8:H9"/>
    <mergeCell ref="B18:C18"/>
    <mergeCell ref="B7:H7"/>
    <mergeCell ref="B8:B9"/>
    <mergeCell ref="C8:C9"/>
    <mergeCell ref="D8:F8"/>
  </mergeCells>
  <printOptions horizontalCentered="1" verticalCentered="1"/>
  <pageMargins left="0.70866141732283472" right="0.70866141732283472" top="0.19685039370078741" bottom="0.19685039370078741" header="0.31496062992125984" footer="0.31496062992125984"/>
  <pageSetup paperSize="9" scale="85" orientation="landscape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L25"/>
  <sheetViews>
    <sheetView rightToLeft="1" view="pageBreakPreview" zoomScale="60" zoomScaleNormal="100" workbookViewId="0">
      <selection activeCell="C28" sqref="C28"/>
    </sheetView>
  </sheetViews>
  <sheetFormatPr defaultRowHeight="14.25" x14ac:dyDescent="0.2"/>
  <cols>
    <col min="2" max="2" width="3.5" customWidth="1"/>
    <col min="3" max="3" width="23.375" customWidth="1"/>
    <col min="4" max="4" width="19.75" customWidth="1"/>
    <col min="5" max="5" width="9.5" customWidth="1"/>
    <col min="6" max="6" width="12.125" customWidth="1"/>
    <col min="7" max="8" width="9.5" customWidth="1"/>
    <col min="9" max="9" width="14.625" customWidth="1"/>
    <col min="10" max="11" width="13.375" customWidth="1"/>
  </cols>
  <sheetData>
    <row r="6" spans="2:12" x14ac:dyDescent="0.2">
      <c r="B6" s="471" t="s">
        <v>241</v>
      </c>
      <c r="C6" s="471"/>
      <c r="D6" s="471"/>
      <c r="E6" s="471"/>
      <c r="F6" s="471"/>
      <c r="G6" s="471"/>
      <c r="H6" s="471"/>
      <c r="I6" s="471"/>
      <c r="J6" s="471"/>
      <c r="K6" s="471"/>
    </row>
    <row r="7" spans="2:12" ht="15.75" x14ac:dyDescent="0.25">
      <c r="B7" s="471"/>
      <c r="C7" s="471"/>
      <c r="D7" s="471"/>
      <c r="E7" s="471"/>
      <c r="F7" s="471"/>
      <c r="G7" s="471"/>
      <c r="H7" s="471"/>
      <c r="I7" s="471"/>
      <c r="J7" s="471"/>
      <c r="K7" s="471"/>
      <c r="L7" s="365"/>
    </row>
    <row r="8" spans="2:12" ht="15.75" hidden="1" x14ac:dyDescent="0.25">
      <c r="B8" s="366"/>
      <c r="C8" s="366"/>
      <c r="D8" s="366"/>
      <c r="E8" s="366"/>
      <c r="F8" s="366"/>
      <c r="G8" s="366"/>
      <c r="H8" s="366"/>
      <c r="I8" s="366"/>
      <c r="J8" s="366"/>
      <c r="K8" s="366"/>
      <c r="L8" s="365"/>
    </row>
    <row r="9" spans="2:12" hidden="1" x14ac:dyDescent="0.2"/>
    <row r="10" spans="2:12" ht="16.5" thickBot="1" x14ac:dyDescent="0.3">
      <c r="B10" s="367"/>
      <c r="C10" s="366"/>
      <c r="D10" s="366"/>
      <c r="E10" s="367"/>
      <c r="F10" s="367"/>
      <c r="G10" s="367"/>
      <c r="H10" s="367"/>
      <c r="I10" s="367"/>
    </row>
    <row r="11" spans="2:12" ht="15.75" thickBot="1" x14ac:dyDescent="0.25">
      <c r="B11" s="472" t="s">
        <v>14</v>
      </c>
      <c r="C11" s="474" t="s">
        <v>3</v>
      </c>
      <c r="D11" s="474" t="s">
        <v>202</v>
      </c>
      <c r="E11" s="476" t="s">
        <v>203</v>
      </c>
      <c r="F11" s="477"/>
      <c r="G11" s="477"/>
      <c r="H11" s="478" t="s">
        <v>50</v>
      </c>
      <c r="I11" s="480" t="s">
        <v>183</v>
      </c>
      <c r="J11" s="476" t="s">
        <v>206</v>
      </c>
      <c r="K11" s="482"/>
    </row>
    <row r="12" spans="2:12" ht="15.75" customHeight="1" thickBot="1" x14ac:dyDescent="0.25">
      <c r="B12" s="473"/>
      <c r="C12" s="475"/>
      <c r="D12" s="475"/>
      <c r="E12" s="368">
        <v>80</v>
      </c>
      <c r="F12" s="368">
        <v>92</v>
      </c>
      <c r="G12" s="369">
        <v>95</v>
      </c>
      <c r="H12" s="479"/>
      <c r="I12" s="481"/>
      <c r="J12" s="368" t="s">
        <v>204</v>
      </c>
      <c r="K12" s="368" t="s">
        <v>202</v>
      </c>
    </row>
    <row r="13" spans="2:12" ht="30" customHeight="1" thickBot="1" x14ac:dyDescent="0.25">
      <c r="B13" s="370">
        <v>1</v>
      </c>
      <c r="C13" s="342" t="s">
        <v>163</v>
      </c>
      <c r="D13" s="483" t="s">
        <v>207</v>
      </c>
      <c r="E13" s="371" t="s">
        <v>208</v>
      </c>
      <c r="F13" s="371">
        <f>'تمام محطات الوكلاء'!E14</f>
        <v>29318</v>
      </c>
      <c r="G13" s="371">
        <f>'تمام محطات الوكلاء'!F14</f>
        <v>8457</v>
      </c>
      <c r="H13" s="371" t="s">
        <v>208</v>
      </c>
      <c r="I13" s="374">
        <f>SUM(E13:H13)</f>
        <v>37775</v>
      </c>
      <c r="J13" s="372">
        <f>F13*0.2525+G13*0.355</f>
        <v>10405.029999999999</v>
      </c>
      <c r="K13" s="372">
        <f>F13*0.1075+G13*0.145</f>
        <v>4377.95</v>
      </c>
    </row>
    <row r="14" spans="2:12" ht="30" customHeight="1" thickBot="1" x14ac:dyDescent="0.25">
      <c r="B14" s="370">
        <v>2</v>
      </c>
      <c r="C14" s="342" t="s">
        <v>112</v>
      </c>
      <c r="D14" s="484"/>
      <c r="E14" s="373">
        <f>'تمام محطات الوكلاء'!D16</f>
        <v>4567</v>
      </c>
      <c r="F14" s="371">
        <f>'تمام محطات الوكلاء'!E16</f>
        <v>9440</v>
      </c>
      <c r="G14" s="371">
        <f>'تمام محطات الوكلاء'!F16</f>
        <v>1823</v>
      </c>
      <c r="H14" s="371">
        <f>'تمام محطات الوكلاء'!G16</f>
        <v>16125</v>
      </c>
      <c r="I14" s="374">
        <f t="shared" ref="I14:I22" si="0">SUM(E14:H14)</f>
        <v>31955</v>
      </c>
      <c r="J14" s="372">
        <f>E14*0.2105+F14*0.2525+H14*0.195+G14*0.355</f>
        <v>7136.4934999999996</v>
      </c>
      <c r="K14" s="372">
        <f>E14*0.0695+F14*0.1075+G14*0.145+H14*0.085</f>
        <v>2967.1665000000003</v>
      </c>
    </row>
    <row r="15" spans="2:12" ht="30" customHeight="1" thickBot="1" x14ac:dyDescent="0.25">
      <c r="B15" s="370">
        <v>3</v>
      </c>
      <c r="C15" s="342" t="s">
        <v>158</v>
      </c>
      <c r="D15" s="485"/>
      <c r="E15" s="373">
        <f>'تمام محطات الوكلاء'!D15</f>
        <v>40233</v>
      </c>
      <c r="F15" s="373">
        <f>'تمام محطات الوكلاء'!E15</f>
        <v>21567</v>
      </c>
      <c r="G15" s="373">
        <f>'تمام محطات الوكلاء'!F15</f>
        <v>3363</v>
      </c>
      <c r="H15" s="371" t="s">
        <v>208</v>
      </c>
      <c r="I15" s="374">
        <f t="shared" si="0"/>
        <v>65163</v>
      </c>
      <c r="J15" s="372">
        <f>E15*0.2105+F15*0.2525+G15*0.355</f>
        <v>15108.579</v>
      </c>
      <c r="K15" s="372">
        <f>E15*0.0695+F15*0.1075+G15*0.145</f>
        <v>5602.2810000000009</v>
      </c>
    </row>
    <row r="16" spans="2:12" ht="30" customHeight="1" thickBot="1" x14ac:dyDescent="0.25">
      <c r="B16" s="486" t="s">
        <v>209</v>
      </c>
      <c r="C16" s="487"/>
      <c r="D16" s="488"/>
      <c r="E16" s="375">
        <f>SUM(E13:E15)</f>
        <v>44800</v>
      </c>
      <c r="F16" s="375">
        <f t="shared" ref="F16:K16" si="1">SUM(F13:F15)</f>
        <v>60325</v>
      </c>
      <c r="G16" s="375">
        <f t="shared" si="1"/>
        <v>13643</v>
      </c>
      <c r="H16" s="375">
        <f t="shared" si="1"/>
        <v>16125</v>
      </c>
      <c r="I16" s="376">
        <f t="shared" si="1"/>
        <v>134893</v>
      </c>
      <c r="J16" s="375">
        <f t="shared" si="1"/>
        <v>32650.102500000001</v>
      </c>
      <c r="K16" s="377">
        <f t="shared" si="1"/>
        <v>12947.397500000001</v>
      </c>
    </row>
    <row r="17" spans="2:11" ht="30" customHeight="1" thickBot="1" x14ac:dyDescent="0.25">
      <c r="B17" s="370">
        <v>4</v>
      </c>
      <c r="C17" s="342" t="s">
        <v>121</v>
      </c>
      <c r="D17" s="489" t="s">
        <v>210</v>
      </c>
      <c r="E17" s="371" t="s">
        <v>208</v>
      </c>
      <c r="F17" s="371">
        <f>'تمام محطات الوكلاء'!E17</f>
        <v>8360</v>
      </c>
      <c r="G17" s="371">
        <f>'تمام محطات الوكلاء'!F17</f>
        <v>1676</v>
      </c>
      <c r="H17" s="371" t="s">
        <v>208</v>
      </c>
      <c r="I17" s="374">
        <f t="shared" si="0"/>
        <v>10036</v>
      </c>
      <c r="J17" s="372">
        <f>F17*0.2525+G17*0.355</f>
        <v>2705.88</v>
      </c>
      <c r="K17" s="372">
        <f>F17*0.1075+G17*0.145</f>
        <v>1141.7199999999998</v>
      </c>
    </row>
    <row r="18" spans="2:11" ht="30" customHeight="1" thickBot="1" x14ac:dyDescent="0.25">
      <c r="B18" s="370">
        <v>5</v>
      </c>
      <c r="C18" s="344" t="s">
        <v>211</v>
      </c>
      <c r="D18" s="490"/>
      <c r="E18" s="371" t="s">
        <v>208</v>
      </c>
      <c r="F18" s="371">
        <f>'تمام محطات الوكلاء'!E12</f>
        <v>42358</v>
      </c>
      <c r="G18" s="371">
        <f>'تمام محطات الوكلاء'!F12</f>
        <v>10073</v>
      </c>
      <c r="H18" s="371" t="s">
        <v>208</v>
      </c>
      <c r="I18" s="374">
        <f t="shared" si="0"/>
        <v>52431</v>
      </c>
      <c r="J18" s="372">
        <f>F18*0.2525+G18*0.355</f>
        <v>14271.310000000001</v>
      </c>
      <c r="K18" s="372">
        <f>F18*0.1075+G18*0.145</f>
        <v>6014.07</v>
      </c>
    </row>
    <row r="19" spans="2:11" ht="30" customHeight="1" thickBot="1" x14ac:dyDescent="0.25">
      <c r="B19" s="370">
        <v>6</v>
      </c>
      <c r="C19" s="344" t="s">
        <v>242</v>
      </c>
      <c r="D19" s="491"/>
      <c r="E19" s="371" t="s">
        <v>208</v>
      </c>
      <c r="F19" s="371">
        <f>'تمام محطات الوكلاء'!E10</f>
        <v>29260</v>
      </c>
      <c r="G19" s="371">
        <f>'تمام محطات الوكلاء'!F10</f>
        <v>9267</v>
      </c>
      <c r="H19" s="371" t="s">
        <v>208</v>
      </c>
      <c r="I19" s="374">
        <f t="shared" si="0"/>
        <v>38527</v>
      </c>
      <c r="J19" s="372">
        <f>F19*0.2525+G19*0.355</f>
        <v>10677.934999999999</v>
      </c>
      <c r="K19" s="372">
        <f>F19*0.1075+G19*0.145</f>
        <v>4489.165</v>
      </c>
    </row>
    <row r="20" spans="2:11" ht="30" customHeight="1" thickBot="1" x14ac:dyDescent="0.25">
      <c r="B20" s="492" t="s">
        <v>212</v>
      </c>
      <c r="C20" s="493"/>
      <c r="D20" s="494"/>
      <c r="E20" s="378"/>
      <c r="F20" s="379">
        <f t="shared" ref="F20:K20" si="2">SUM(F17:F19)</f>
        <v>79978</v>
      </c>
      <c r="G20" s="379">
        <f t="shared" si="2"/>
        <v>21016</v>
      </c>
      <c r="H20" s="379"/>
      <c r="I20" s="380">
        <f t="shared" si="2"/>
        <v>100994</v>
      </c>
      <c r="J20" s="379">
        <f t="shared" si="2"/>
        <v>27655.125</v>
      </c>
      <c r="K20" s="379">
        <f t="shared" si="2"/>
        <v>11644.954999999998</v>
      </c>
    </row>
    <row r="21" spans="2:11" ht="30" customHeight="1" thickBot="1" x14ac:dyDescent="0.25">
      <c r="B21" s="370">
        <v>7</v>
      </c>
      <c r="C21" s="342" t="s">
        <v>213</v>
      </c>
      <c r="D21" s="489" t="s">
        <v>214</v>
      </c>
      <c r="E21" s="371" t="s">
        <v>208</v>
      </c>
      <c r="F21" s="371">
        <f>'تمام محطات الوكلاء'!E13</f>
        <v>60378</v>
      </c>
      <c r="G21" s="371">
        <f>'تمام محطات الوكلاء'!F13</f>
        <v>14037</v>
      </c>
      <c r="H21" s="371" t="s">
        <v>208</v>
      </c>
      <c r="I21" s="374">
        <f t="shared" si="0"/>
        <v>74415</v>
      </c>
      <c r="J21" s="372">
        <f>F21*0.2525+G21*0.355</f>
        <v>20228.579999999998</v>
      </c>
      <c r="K21" s="372">
        <f>F21*0.1075+G21*0.145</f>
        <v>8526</v>
      </c>
    </row>
    <row r="22" spans="2:11" ht="30" customHeight="1" thickBot="1" x14ac:dyDescent="0.25">
      <c r="B22" s="370">
        <v>8</v>
      </c>
      <c r="C22" s="342" t="s">
        <v>215</v>
      </c>
      <c r="D22" s="490"/>
      <c r="E22" s="371" t="s">
        <v>208</v>
      </c>
      <c r="F22" s="371">
        <f>'تمام محطات الوكلاء'!E11</f>
        <v>29684</v>
      </c>
      <c r="G22" s="371">
        <f>'تمام محطات الوكلاء'!F11</f>
        <v>9278</v>
      </c>
      <c r="H22" s="371" t="s">
        <v>208</v>
      </c>
      <c r="I22" s="374">
        <f t="shared" si="0"/>
        <v>38962</v>
      </c>
      <c r="J22" s="372">
        <f>F22*0.2525+G22*0.355</f>
        <v>10788.9</v>
      </c>
      <c r="K22" s="372">
        <f>F22*0.1075+G22*0.145</f>
        <v>4536.34</v>
      </c>
    </row>
    <row r="23" spans="2:11" ht="21" thickBot="1" x14ac:dyDescent="0.25">
      <c r="B23" s="468" t="s">
        <v>216</v>
      </c>
      <c r="C23" s="469"/>
      <c r="D23" s="470"/>
      <c r="E23" s="381"/>
      <c r="F23" s="381">
        <f t="shared" ref="F23:K23" si="3">SUM(F21:F22)</f>
        <v>90062</v>
      </c>
      <c r="G23" s="381">
        <f t="shared" si="3"/>
        <v>23315</v>
      </c>
      <c r="H23" s="381"/>
      <c r="I23" s="382">
        <f t="shared" si="3"/>
        <v>113377</v>
      </c>
      <c r="J23" s="381">
        <f t="shared" si="3"/>
        <v>31017.479999999996</v>
      </c>
      <c r="K23" s="383">
        <f t="shared" si="3"/>
        <v>13062.34</v>
      </c>
    </row>
    <row r="24" spans="2:11" x14ac:dyDescent="0.2">
      <c r="B24" s="466" t="s">
        <v>205</v>
      </c>
      <c r="C24" s="466"/>
      <c r="D24" s="466"/>
      <c r="E24" s="464">
        <f>SUM(E16,E20,E23)</f>
        <v>44800</v>
      </c>
      <c r="F24" s="464">
        <f t="shared" ref="F24:K24" si="4">SUM(F16,F20,F23)</f>
        <v>230365</v>
      </c>
      <c r="G24" s="464">
        <f t="shared" si="4"/>
        <v>57974</v>
      </c>
      <c r="H24" s="464">
        <f t="shared" si="4"/>
        <v>16125</v>
      </c>
      <c r="I24" s="464">
        <f t="shared" si="4"/>
        <v>349264</v>
      </c>
      <c r="J24" s="464">
        <f t="shared" si="4"/>
        <v>91322.70749999999</v>
      </c>
      <c r="K24" s="464">
        <f t="shared" si="4"/>
        <v>37654.692500000005</v>
      </c>
    </row>
    <row r="25" spans="2:11" ht="15" customHeight="1" thickBot="1" x14ac:dyDescent="0.25">
      <c r="B25" s="467"/>
      <c r="C25" s="467"/>
      <c r="D25" s="467"/>
      <c r="E25" s="465"/>
      <c r="F25" s="465"/>
      <c r="G25" s="465"/>
      <c r="H25" s="465"/>
      <c r="I25" s="465"/>
      <c r="J25" s="465"/>
      <c r="K25" s="465"/>
    </row>
  </sheetData>
  <customSheetViews>
    <customSheetView guid="{18C0F7AC-4BB1-46DE-8A01-8E31FE0585FC}" scale="60" showPageBreaks="1" hiddenRows="1" view="pageBreakPreview">
      <selection activeCell="C28" sqref="C28"/>
      <pageMargins left="0.7" right="0.7" top="0.75" bottom="0.75" header="0.3" footer="0.3"/>
      <pageSetup paperSize="9" scale="82" orientation="landscape" r:id="rId1"/>
    </customSheetView>
  </customSheetViews>
  <mergeCells count="22">
    <mergeCell ref="B23:D23"/>
    <mergeCell ref="B6:K7"/>
    <mergeCell ref="B11:B12"/>
    <mergeCell ref="C11:C12"/>
    <mergeCell ref="D11:D12"/>
    <mergeCell ref="E11:G11"/>
    <mergeCell ref="H11:H12"/>
    <mergeCell ref="I11:I12"/>
    <mergeCell ref="J11:K11"/>
    <mergeCell ref="D13:D15"/>
    <mergeCell ref="B16:D16"/>
    <mergeCell ref="D17:D19"/>
    <mergeCell ref="B20:D20"/>
    <mergeCell ref="D21:D22"/>
    <mergeCell ref="J24:J25"/>
    <mergeCell ref="K24:K25"/>
    <mergeCell ref="B24:D25"/>
    <mergeCell ref="E24:E25"/>
    <mergeCell ref="F24:F25"/>
    <mergeCell ref="G24:G25"/>
    <mergeCell ref="H24:H25"/>
    <mergeCell ref="I24:I25"/>
  </mergeCells>
  <pageMargins left="0.7" right="0.7" top="0.75" bottom="0.75" header="0.3" footer="0.3"/>
  <pageSetup paperSize="9" scale="82" orientation="landscape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W44"/>
  <sheetViews>
    <sheetView rightToLeft="1" tabSelected="1" zoomScale="70" zoomScaleNormal="70" workbookViewId="0">
      <selection activeCell="K16" sqref="K15:K16"/>
    </sheetView>
  </sheetViews>
  <sheetFormatPr defaultColWidth="9" defaultRowHeight="14.25" x14ac:dyDescent="0.2"/>
  <cols>
    <col min="1" max="1" width="9" style="46"/>
    <col min="2" max="2" width="13.25" style="46" customWidth="1"/>
    <col min="3" max="5" width="6.875" style="46" bestFit="1" customWidth="1"/>
    <col min="6" max="6" width="6.25" style="46" customWidth="1"/>
    <col min="7" max="10" width="6.875" style="46" bestFit="1" customWidth="1"/>
    <col min="11" max="11" width="6.875" style="46" customWidth="1"/>
    <col min="12" max="12" width="5.25" style="46" customWidth="1"/>
    <col min="13" max="14" width="9" style="46"/>
    <col min="15" max="15" width="8.25" style="46" customWidth="1"/>
    <col min="16" max="16" width="9.375" style="46" customWidth="1"/>
    <col min="17" max="17" width="8.75" style="46" bestFit="1" customWidth="1"/>
    <col min="18" max="18" width="7.875" style="46" customWidth="1"/>
    <col min="19" max="19" width="7.25" style="46" customWidth="1"/>
    <col min="20" max="20" width="6.625" style="46" bestFit="1" customWidth="1"/>
    <col min="21" max="21" width="4.75" style="46" customWidth="1"/>
    <col min="22" max="22" width="8.375" style="46" bestFit="1" customWidth="1"/>
    <col min="23" max="23" width="6.625" style="46" bestFit="1" customWidth="1"/>
    <col min="24" max="26" width="5.375" style="46" customWidth="1"/>
    <col min="27" max="16384" width="9" style="46"/>
  </cols>
  <sheetData>
    <row r="1" spans="1:23" ht="15" thickBot="1" x14ac:dyDescent="0.25"/>
    <row r="2" spans="1:23" ht="15.75" thickBot="1" x14ac:dyDescent="0.25">
      <c r="B2" s="418" t="s">
        <v>3</v>
      </c>
      <c r="C2" s="508" t="s">
        <v>84</v>
      </c>
      <c r="D2" s="508"/>
      <c r="E2" s="508"/>
      <c r="F2" s="508"/>
      <c r="G2" s="508" t="s">
        <v>88</v>
      </c>
      <c r="H2" s="508"/>
      <c r="I2" s="508"/>
      <c r="N2" s="501" t="s">
        <v>3</v>
      </c>
      <c r="O2" s="495" t="s">
        <v>85</v>
      </c>
      <c r="P2" s="496"/>
      <c r="Q2" s="496"/>
      <c r="R2" s="496"/>
      <c r="S2" s="496"/>
      <c r="T2" s="497"/>
    </row>
    <row r="3" spans="1:23" ht="15.75" thickBot="1" x14ac:dyDescent="0.25">
      <c r="B3" s="418"/>
      <c r="C3" s="507" t="s">
        <v>82</v>
      </c>
      <c r="D3" s="507"/>
      <c r="E3" s="507"/>
      <c r="F3" s="188" t="s">
        <v>81</v>
      </c>
      <c r="G3" s="507" t="s">
        <v>81</v>
      </c>
      <c r="H3" s="507"/>
      <c r="I3" s="507"/>
      <c r="N3" s="502"/>
      <c r="O3" s="504" t="s">
        <v>87</v>
      </c>
      <c r="P3" s="505"/>
      <c r="Q3" s="506"/>
      <c r="R3" s="504" t="s">
        <v>164</v>
      </c>
      <c r="S3" s="505"/>
      <c r="T3" s="506"/>
    </row>
    <row r="4" spans="1:23" ht="15.75" thickBot="1" x14ac:dyDescent="0.25">
      <c r="A4" s="509"/>
      <c r="B4" s="418"/>
      <c r="C4" s="163" t="s">
        <v>11</v>
      </c>
      <c r="D4" s="163" t="s">
        <v>12</v>
      </c>
      <c r="E4" s="163" t="s">
        <v>50</v>
      </c>
      <c r="F4" s="163" t="s">
        <v>89</v>
      </c>
      <c r="G4" s="163" t="s">
        <v>5</v>
      </c>
      <c r="H4" s="163" t="s">
        <v>11</v>
      </c>
      <c r="I4" s="163" t="s">
        <v>12</v>
      </c>
      <c r="N4" s="503"/>
      <c r="O4" s="163" t="s">
        <v>11</v>
      </c>
      <c r="P4" s="163" t="s">
        <v>12</v>
      </c>
      <c r="Q4" s="163" t="s">
        <v>50</v>
      </c>
      <c r="R4" s="163" t="s">
        <v>11</v>
      </c>
      <c r="S4" s="163" t="s">
        <v>12</v>
      </c>
      <c r="T4" s="163" t="s">
        <v>50</v>
      </c>
    </row>
    <row r="5" spans="1:23" ht="16.5" thickBot="1" x14ac:dyDescent="0.25">
      <c r="A5" s="509"/>
      <c r="B5" s="186" t="s">
        <v>15</v>
      </c>
      <c r="C5" s="184"/>
      <c r="D5" s="184"/>
      <c r="E5" s="161"/>
      <c r="F5" s="161"/>
      <c r="G5" s="161"/>
      <c r="H5" s="322">
        <v>34</v>
      </c>
      <c r="I5" s="322"/>
      <c r="N5" s="191" t="s">
        <v>22</v>
      </c>
      <c r="O5" s="330"/>
      <c r="P5" s="189"/>
      <c r="Q5" s="330"/>
      <c r="R5" s="189">
        <v>17</v>
      </c>
      <c r="S5" s="293">
        <v>17</v>
      </c>
      <c r="T5" s="293">
        <v>68</v>
      </c>
    </row>
    <row r="6" spans="1:23" ht="16.5" thickBot="1" x14ac:dyDescent="0.25">
      <c r="A6" s="187"/>
      <c r="B6" s="327" t="s">
        <v>121</v>
      </c>
      <c r="C6" s="330"/>
      <c r="D6" s="330"/>
      <c r="E6" s="161"/>
      <c r="F6" s="161"/>
      <c r="G6" s="161"/>
      <c r="H6" s="322"/>
      <c r="I6" s="322"/>
      <c r="N6" s="191" t="s">
        <v>23</v>
      </c>
      <c r="O6" s="189"/>
      <c r="P6" s="189"/>
      <c r="Q6" s="189"/>
      <c r="R6" s="189"/>
      <c r="S6" s="293"/>
      <c r="T6" s="293"/>
    </row>
    <row r="7" spans="1:23" ht="16.5" thickBot="1" x14ac:dyDescent="0.25">
      <c r="A7" s="187"/>
      <c r="B7" s="284" t="s">
        <v>163</v>
      </c>
      <c r="C7" s="287"/>
      <c r="D7" s="287"/>
      <c r="E7" s="161"/>
      <c r="F7" s="161"/>
      <c r="G7" s="161"/>
      <c r="H7" s="322"/>
      <c r="I7" s="287">
        <v>17</v>
      </c>
      <c r="N7" s="191" t="s">
        <v>24</v>
      </c>
      <c r="O7" s="189"/>
      <c r="P7" s="189"/>
      <c r="Q7" s="189"/>
      <c r="R7" s="189"/>
      <c r="S7" s="293"/>
      <c r="T7" s="293"/>
    </row>
    <row r="8" spans="1:23" ht="16.5" thickBot="1" x14ac:dyDescent="0.25">
      <c r="A8" s="187"/>
      <c r="B8" s="290" t="s">
        <v>158</v>
      </c>
      <c r="C8" s="292"/>
      <c r="D8" s="292"/>
      <c r="E8" s="292"/>
      <c r="F8" s="161"/>
      <c r="G8" s="302">
        <v>51</v>
      </c>
      <c r="H8" s="292">
        <v>17</v>
      </c>
      <c r="I8" s="292">
        <v>17</v>
      </c>
      <c r="N8" s="191" t="s">
        <v>26</v>
      </c>
      <c r="O8" s="228"/>
      <c r="P8" s="228"/>
      <c r="Q8" s="228"/>
      <c r="R8" s="228"/>
      <c r="S8" s="293"/>
      <c r="T8" s="293"/>
    </row>
    <row r="9" spans="1:23" ht="16.5" thickBot="1" x14ac:dyDescent="0.25">
      <c r="A9" s="187"/>
      <c r="B9" s="186" t="s">
        <v>16</v>
      </c>
      <c r="C9" s="322">
        <v>17</v>
      </c>
      <c r="D9" s="184"/>
      <c r="E9" s="184">
        <v>17</v>
      </c>
      <c r="F9" s="184"/>
      <c r="G9" s="184"/>
      <c r="H9" s="184"/>
      <c r="I9" s="226"/>
      <c r="N9" s="190" t="s">
        <v>74</v>
      </c>
      <c r="O9" s="5">
        <f>SUM(O5:O8)</f>
        <v>0</v>
      </c>
      <c r="P9" s="5">
        <f t="shared" ref="P9:T9" si="0">SUM(P5:P8)</f>
        <v>0</v>
      </c>
      <c r="Q9" s="5">
        <f t="shared" si="0"/>
        <v>0</v>
      </c>
      <c r="R9" s="5">
        <f t="shared" si="0"/>
        <v>17</v>
      </c>
      <c r="S9" s="5">
        <f t="shared" si="0"/>
        <v>17</v>
      </c>
      <c r="T9" s="5">
        <f t="shared" si="0"/>
        <v>68</v>
      </c>
    </row>
    <row r="10" spans="1:23" ht="16.5" thickBot="1" x14ac:dyDescent="0.25">
      <c r="A10" s="187"/>
      <c r="B10" s="186" t="s">
        <v>17</v>
      </c>
      <c r="C10" s="322">
        <v>17</v>
      </c>
      <c r="D10" s="184"/>
      <c r="E10" s="161"/>
      <c r="F10" s="161"/>
      <c r="G10" s="184"/>
      <c r="H10" s="184"/>
      <c r="I10" s="184">
        <v>17</v>
      </c>
    </row>
    <row r="11" spans="1:23" ht="16.5" thickBot="1" x14ac:dyDescent="0.25">
      <c r="B11" s="186" t="s">
        <v>18</v>
      </c>
      <c r="C11" s="184"/>
      <c r="D11" s="161"/>
      <c r="E11" s="184"/>
      <c r="F11" s="184"/>
      <c r="G11" s="184">
        <v>17</v>
      </c>
      <c r="H11" s="184">
        <v>34</v>
      </c>
      <c r="I11" s="161"/>
      <c r="R11" s="260"/>
    </row>
    <row r="12" spans="1:23" ht="16.5" thickBot="1" x14ac:dyDescent="0.25">
      <c r="B12" s="186" t="s">
        <v>19</v>
      </c>
      <c r="C12" s="184"/>
      <c r="D12" s="161"/>
      <c r="E12" s="184"/>
      <c r="F12" s="184"/>
      <c r="G12" s="184"/>
      <c r="H12" s="184"/>
      <c r="I12" s="161"/>
      <c r="J12" s="285"/>
      <c r="K12" s="325"/>
      <c r="L12" s="187"/>
      <c r="P12" s="501" t="s">
        <v>3</v>
      </c>
      <c r="Q12" s="324" t="s">
        <v>165</v>
      </c>
    </row>
    <row r="13" spans="1:23" ht="16.5" thickBot="1" x14ac:dyDescent="0.25">
      <c r="B13" s="186" t="s">
        <v>20</v>
      </c>
      <c r="C13" s="322">
        <v>51</v>
      </c>
      <c r="D13" s="184"/>
      <c r="E13" s="161"/>
      <c r="F13" s="161"/>
      <c r="G13" s="161"/>
      <c r="H13" s="184"/>
      <c r="I13" s="184"/>
      <c r="P13" s="502"/>
      <c r="Q13" s="304" t="s">
        <v>81</v>
      </c>
      <c r="S13" s="328" t="s">
        <v>157</v>
      </c>
      <c r="T13" s="328">
        <v>80</v>
      </c>
      <c r="U13" s="328">
        <v>92</v>
      </c>
      <c r="V13" s="328">
        <v>95</v>
      </c>
      <c r="W13" s="328" t="s">
        <v>50</v>
      </c>
    </row>
    <row r="14" spans="1:23" ht="16.5" thickBot="1" x14ac:dyDescent="0.25">
      <c r="B14" s="186" t="s">
        <v>21</v>
      </c>
      <c r="C14" s="184">
        <v>17</v>
      </c>
      <c r="D14" s="184"/>
      <c r="E14" s="184">
        <v>34</v>
      </c>
      <c r="F14" s="184"/>
      <c r="G14" s="161"/>
      <c r="H14" s="184"/>
      <c r="I14" s="184"/>
      <c r="P14" s="503"/>
      <c r="Q14" s="163" t="s">
        <v>50</v>
      </c>
      <c r="S14" s="163" t="s">
        <v>93</v>
      </c>
      <c r="T14" s="162">
        <f>G22+C34</f>
        <v>68</v>
      </c>
      <c r="U14" s="162">
        <f>H22+D34</f>
        <v>85</v>
      </c>
      <c r="V14" s="162">
        <f>I22</f>
        <v>51</v>
      </c>
      <c r="W14" s="162">
        <f>F22+E34</f>
        <v>0</v>
      </c>
    </row>
    <row r="15" spans="1:23" ht="16.5" thickBot="1" x14ac:dyDescent="0.25">
      <c r="A15" s="47"/>
      <c r="B15" s="332" t="s">
        <v>176</v>
      </c>
      <c r="C15" s="330">
        <v>34</v>
      </c>
      <c r="D15" s="330">
        <v>17</v>
      </c>
      <c r="E15" s="161"/>
      <c r="F15" s="161"/>
      <c r="G15" s="161"/>
      <c r="H15" s="330"/>
      <c r="I15" s="330"/>
      <c r="L15" s="227"/>
      <c r="P15" s="191" t="s">
        <v>30</v>
      </c>
      <c r="Q15" s="305">
        <v>51</v>
      </c>
      <c r="S15" s="163" t="s">
        <v>87</v>
      </c>
      <c r="T15" s="162">
        <f>H34</f>
        <v>0</v>
      </c>
      <c r="U15" s="162">
        <f>C22+O9+F34</f>
        <v>357</v>
      </c>
      <c r="V15" s="162">
        <f>D22+P9+G34</f>
        <v>85</v>
      </c>
      <c r="W15" s="162">
        <f>E22+I34+Q9</f>
        <v>170</v>
      </c>
    </row>
    <row r="16" spans="1:23" ht="16.5" thickBot="1" x14ac:dyDescent="0.25">
      <c r="A16" s="47"/>
      <c r="B16" s="327" t="s">
        <v>177</v>
      </c>
      <c r="C16" s="330">
        <v>68</v>
      </c>
      <c r="D16" s="330">
        <v>34</v>
      </c>
      <c r="E16" s="161"/>
      <c r="F16" s="161"/>
      <c r="G16" s="161"/>
      <c r="H16" s="330"/>
      <c r="I16" s="330"/>
      <c r="P16" s="191" t="s">
        <v>31</v>
      </c>
      <c r="Q16" s="305">
        <v>51</v>
      </c>
      <c r="S16" s="163" t="s">
        <v>164</v>
      </c>
      <c r="T16" s="288"/>
      <c r="U16" s="162">
        <f>R9</f>
        <v>17</v>
      </c>
      <c r="V16" s="162">
        <f>S9</f>
        <v>17</v>
      </c>
      <c r="W16" s="162">
        <f>T9</f>
        <v>68</v>
      </c>
    </row>
    <row r="17" spans="1:23" ht="16.5" thickBot="1" x14ac:dyDescent="0.25">
      <c r="A17" s="47"/>
      <c r="B17" s="327" t="s">
        <v>178</v>
      </c>
      <c r="C17" s="330">
        <v>17</v>
      </c>
      <c r="D17" s="330"/>
      <c r="E17" s="161"/>
      <c r="F17" s="161"/>
      <c r="G17" s="161"/>
      <c r="H17" s="330"/>
      <c r="I17" s="330"/>
      <c r="P17" s="191" t="s">
        <v>32</v>
      </c>
      <c r="Q17" s="305"/>
    </row>
    <row r="18" spans="1:23" ht="16.5" thickBot="1" x14ac:dyDescent="0.25">
      <c r="A18" s="47"/>
      <c r="B18" s="327" t="s">
        <v>179</v>
      </c>
      <c r="C18" s="330">
        <v>51</v>
      </c>
      <c r="D18" s="330">
        <v>34</v>
      </c>
      <c r="E18" s="161"/>
      <c r="F18" s="161"/>
      <c r="G18" s="161"/>
      <c r="H18" s="330"/>
      <c r="I18" s="330"/>
      <c r="P18" s="191" t="s">
        <v>33</v>
      </c>
      <c r="Q18" s="305"/>
      <c r="S18" s="328" t="s">
        <v>157</v>
      </c>
      <c r="T18" s="328">
        <v>80</v>
      </c>
      <c r="U18" s="328">
        <v>92</v>
      </c>
      <c r="V18" s="328">
        <v>95</v>
      </c>
      <c r="W18" s="328" t="s">
        <v>50</v>
      </c>
    </row>
    <row r="19" spans="1:23" ht="16.5" thickBot="1" x14ac:dyDescent="0.25">
      <c r="A19" s="47"/>
      <c r="B19" s="362" t="s">
        <v>197</v>
      </c>
      <c r="C19" s="363"/>
      <c r="D19" s="363"/>
      <c r="E19" s="161"/>
      <c r="F19" s="161"/>
      <c r="G19" s="161"/>
      <c r="H19" s="363"/>
      <c r="I19" s="363"/>
      <c r="P19" s="190" t="s">
        <v>74</v>
      </c>
      <c r="Q19" s="305">
        <f>SUM(Q15:Q18)</f>
        <v>102</v>
      </c>
      <c r="S19" s="163" t="s">
        <v>155</v>
      </c>
      <c r="T19" s="162">
        <f>'التمام الصباحي'!F39</f>
        <v>68</v>
      </c>
      <c r="U19" s="162">
        <f>'التمام الصباحي'!L39</f>
        <v>459</v>
      </c>
      <c r="V19" s="162">
        <f>'التمام الصباحي'!R39</f>
        <v>153</v>
      </c>
      <c r="W19" s="162">
        <f>'التمام الصباحي'!X39</f>
        <v>340</v>
      </c>
    </row>
    <row r="20" spans="1:23" ht="16.5" thickBot="1" x14ac:dyDescent="0.25">
      <c r="A20" s="47"/>
      <c r="B20" s="362" t="s">
        <v>198</v>
      </c>
      <c r="C20" s="363"/>
      <c r="D20" s="363"/>
      <c r="E20" s="161"/>
      <c r="F20" s="161"/>
      <c r="G20" s="161"/>
      <c r="H20" s="363"/>
      <c r="I20" s="363"/>
      <c r="N20" s="260"/>
      <c r="O20" s="260"/>
      <c r="P20" s="260"/>
      <c r="Q20" s="260"/>
      <c r="R20" s="260"/>
      <c r="S20" s="163" t="s">
        <v>156</v>
      </c>
      <c r="T20" s="162">
        <f>G22+C34+H34</f>
        <v>68</v>
      </c>
      <c r="U20" s="162">
        <f>C22+H22+D34+F34+O9+R9</f>
        <v>459</v>
      </c>
      <c r="V20" s="162">
        <f>D22+I22+G34+P9+S9</f>
        <v>153</v>
      </c>
      <c r="W20" s="162">
        <f>E22+F22+Q9+T9+E34+I34+Q19</f>
        <v>340</v>
      </c>
    </row>
    <row r="21" spans="1:23" ht="16.5" thickBot="1" x14ac:dyDescent="0.25">
      <c r="A21" s="47"/>
      <c r="B21" s="362" t="s">
        <v>201</v>
      </c>
      <c r="C21" s="363"/>
      <c r="D21" s="363"/>
      <c r="E21" s="161"/>
      <c r="F21" s="161"/>
      <c r="G21" s="161"/>
      <c r="H21" s="363"/>
      <c r="I21" s="363"/>
      <c r="S21" s="163" t="s">
        <v>49</v>
      </c>
      <c r="T21" s="162">
        <f>T19-T20</f>
        <v>0</v>
      </c>
      <c r="U21" s="162">
        <f t="shared" ref="U21:V21" si="1">U19-U20</f>
        <v>0</v>
      </c>
      <c r="V21" s="162">
        <f t="shared" si="1"/>
        <v>0</v>
      </c>
      <c r="W21" s="162">
        <f>W19-W20</f>
        <v>0</v>
      </c>
    </row>
    <row r="22" spans="1:23" ht="15.75" thickBot="1" x14ac:dyDescent="0.25">
      <c r="A22" s="47"/>
      <c r="B22" s="185" t="s">
        <v>74</v>
      </c>
      <c r="C22" s="184">
        <f>SUM(C5:C21)+E44</f>
        <v>323</v>
      </c>
      <c r="D22" s="330">
        <f>SUM(D5:D21)+F44</f>
        <v>85</v>
      </c>
      <c r="E22" s="330">
        <f>SUM(E5:E18)+G44</f>
        <v>102</v>
      </c>
      <c r="F22" s="330">
        <f>SUM(F5:F18)+D44</f>
        <v>0</v>
      </c>
      <c r="G22" s="330">
        <f>SUM(G5:G18)</f>
        <v>68</v>
      </c>
      <c r="H22" s="330">
        <f>SUM(H5:H21)+B44</f>
        <v>85</v>
      </c>
      <c r="I22" s="330">
        <f>SUM(I5:I21)+C44</f>
        <v>51</v>
      </c>
    </row>
    <row r="23" spans="1:23" x14ac:dyDescent="0.2">
      <c r="A23" s="47"/>
    </row>
    <row r="24" spans="1:23" ht="15" thickBot="1" x14ac:dyDescent="0.25"/>
    <row r="25" spans="1:23" ht="15.75" customHeight="1" thickBot="1" x14ac:dyDescent="0.25">
      <c r="B25" s="501" t="s">
        <v>3</v>
      </c>
      <c r="C25" s="495" t="s">
        <v>86</v>
      </c>
      <c r="D25" s="496"/>
      <c r="E25" s="496"/>
      <c r="F25" s="496"/>
      <c r="G25" s="496"/>
      <c r="H25" s="496"/>
      <c r="I25" s="497"/>
      <c r="J25" s="300"/>
    </row>
    <row r="26" spans="1:23" ht="17.25" customHeight="1" thickBot="1" x14ac:dyDescent="0.25">
      <c r="B26" s="502"/>
      <c r="C26" s="507" t="s">
        <v>81</v>
      </c>
      <c r="D26" s="507"/>
      <c r="E26" s="507"/>
      <c r="F26" s="507" t="s">
        <v>87</v>
      </c>
      <c r="G26" s="507"/>
      <c r="H26" s="507"/>
      <c r="I26" s="507"/>
      <c r="J26" s="300"/>
    </row>
    <row r="27" spans="1:23" ht="15.75" thickBot="1" x14ac:dyDescent="0.25">
      <c r="B27" s="503"/>
      <c r="C27" s="163" t="s">
        <v>5</v>
      </c>
      <c r="D27" s="163" t="s">
        <v>11</v>
      </c>
      <c r="E27" s="163" t="s">
        <v>50</v>
      </c>
      <c r="F27" s="163" t="s">
        <v>11</v>
      </c>
      <c r="G27" s="163" t="s">
        <v>12</v>
      </c>
      <c r="H27" s="333" t="s">
        <v>5</v>
      </c>
      <c r="I27" s="163" t="s">
        <v>50</v>
      </c>
      <c r="J27" s="300"/>
      <c r="K27" s="259"/>
      <c r="L27" s="259"/>
    </row>
    <row r="28" spans="1:23" ht="16.5" thickBot="1" x14ac:dyDescent="0.25">
      <c r="B28" s="327" t="s">
        <v>25</v>
      </c>
      <c r="C28" s="161"/>
      <c r="D28" s="330"/>
      <c r="E28" s="330"/>
      <c r="F28" s="330"/>
      <c r="G28" s="330"/>
      <c r="H28" s="334"/>
      <c r="I28" s="330"/>
      <c r="J28" s="300"/>
      <c r="K28" s="259"/>
      <c r="L28" s="259"/>
    </row>
    <row r="29" spans="1:23" ht="15.75" customHeight="1" thickBot="1" x14ac:dyDescent="0.25">
      <c r="B29" s="327" t="s">
        <v>27</v>
      </c>
      <c r="C29" s="161"/>
      <c r="D29" s="330"/>
      <c r="E29" s="330"/>
      <c r="F29" s="330"/>
      <c r="G29" s="330"/>
      <c r="H29" s="331"/>
      <c r="I29" s="330"/>
      <c r="K29" s="259"/>
      <c r="L29" s="259"/>
    </row>
    <row r="30" spans="1:23" ht="16.5" thickBot="1" x14ac:dyDescent="0.25">
      <c r="B30" s="327" t="s">
        <v>28</v>
      </c>
      <c r="C30" s="330"/>
      <c r="D30" s="330"/>
      <c r="E30" s="330"/>
      <c r="F30" s="330"/>
      <c r="G30" s="161"/>
      <c r="H30" s="331"/>
      <c r="I30" s="330">
        <v>17</v>
      </c>
    </row>
    <row r="31" spans="1:23" ht="16.5" thickBot="1" x14ac:dyDescent="0.25">
      <c r="B31" s="327" t="s">
        <v>29</v>
      </c>
      <c r="C31" s="161"/>
      <c r="D31" s="330"/>
      <c r="E31" s="330"/>
      <c r="F31" s="330">
        <v>17</v>
      </c>
      <c r="G31" s="161"/>
      <c r="H31" s="334"/>
      <c r="I31" s="330">
        <v>17</v>
      </c>
    </row>
    <row r="32" spans="1:23" ht="16.5" thickBot="1" x14ac:dyDescent="0.25">
      <c r="B32" s="327" t="s">
        <v>112</v>
      </c>
      <c r="C32" s="331"/>
      <c r="D32" s="330"/>
      <c r="E32" s="330"/>
      <c r="F32" s="330">
        <v>17</v>
      </c>
      <c r="G32" s="331"/>
      <c r="H32" s="331"/>
      <c r="I32" s="330">
        <v>34</v>
      </c>
    </row>
    <row r="33" spans="1:14" ht="16.5" thickBot="1" x14ac:dyDescent="0.25">
      <c r="B33" s="362" t="s">
        <v>200</v>
      </c>
      <c r="C33" s="161"/>
      <c r="D33" s="363"/>
      <c r="E33" s="363"/>
      <c r="F33" s="363"/>
      <c r="G33" s="364"/>
      <c r="H33" s="161"/>
      <c r="I33" s="363"/>
    </row>
    <row r="34" spans="1:14" ht="15.75" thickBot="1" x14ac:dyDescent="0.25">
      <c r="B34" s="326" t="s">
        <v>74</v>
      </c>
      <c r="C34" s="330">
        <f>SUM(C28:C33)+L44</f>
        <v>0</v>
      </c>
      <c r="D34" s="330">
        <f>SUM(D28:D33)+M44</f>
        <v>0</v>
      </c>
      <c r="E34" s="330">
        <f>SUM(E28:E33)+N44</f>
        <v>0</v>
      </c>
      <c r="F34" s="330">
        <f>SUM(F28:F33)+H44</f>
        <v>34</v>
      </c>
      <c r="G34" s="330">
        <f>SUM(G28:G33)+I44</f>
        <v>0</v>
      </c>
      <c r="H34" s="330">
        <f>SUM(H28:H32)+K44</f>
        <v>0</v>
      </c>
      <c r="I34" s="330">
        <f>SUM(I28:I33)+J44</f>
        <v>68</v>
      </c>
    </row>
    <row r="36" spans="1:14" ht="15" thickBot="1" x14ac:dyDescent="0.25"/>
    <row r="37" spans="1:14" ht="15.75" thickBot="1" x14ac:dyDescent="0.25">
      <c r="A37" s="501" t="s">
        <v>3</v>
      </c>
      <c r="B37" s="498" t="s">
        <v>88</v>
      </c>
      <c r="C37" s="499"/>
      <c r="D37" s="498" t="s">
        <v>84</v>
      </c>
      <c r="E37" s="500"/>
      <c r="F37" s="500"/>
      <c r="G37" s="499"/>
      <c r="H37" s="498" t="s">
        <v>86</v>
      </c>
      <c r="I37" s="500"/>
      <c r="J37" s="500"/>
      <c r="K37" s="500"/>
      <c r="L37" s="500"/>
      <c r="M37" s="500"/>
      <c r="N37" s="499"/>
    </row>
    <row r="38" spans="1:14" ht="15.75" thickBot="1" x14ac:dyDescent="0.25">
      <c r="A38" s="502"/>
      <c r="B38" s="498" t="s">
        <v>81</v>
      </c>
      <c r="C38" s="499"/>
      <c r="D38" s="329" t="s">
        <v>81</v>
      </c>
      <c r="E38" s="498" t="s">
        <v>87</v>
      </c>
      <c r="F38" s="500"/>
      <c r="G38" s="499"/>
      <c r="H38" s="498" t="s">
        <v>87</v>
      </c>
      <c r="I38" s="500"/>
      <c r="J38" s="500"/>
      <c r="K38" s="499"/>
      <c r="L38" s="498" t="s">
        <v>81</v>
      </c>
      <c r="M38" s="500"/>
      <c r="N38" s="499"/>
    </row>
    <row r="39" spans="1:14" ht="15.75" thickBot="1" x14ac:dyDescent="0.25">
      <c r="A39" s="503"/>
      <c r="B39" s="163">
        <v>92</v>
      </c>
      <c r="C39" s="163">
        <v>95</v>
      </c>
      <c r="D39" s="163" t="s">
        <v>50</v>
      </c>
      <c r="E39" s="163">
        <v>92</v>
      </c>
      <c r="F39" s="163">
        <v>95</v>
      </c>
      <c r="G39" s="163" t="s">
        <v>50</v>
      </c>
      <c r="H39" s="163">
        <v>92</v>
      </c>
      <c r="I39" s="163">
        <v>95</v>
      </c>
      <c r="J39" s="163" t="s">
        <v>50</v>
      </c>
      <c r="K39" s="163">
        <v>80</v>
      </c>
      <c r="L39" s="163">
        <v>80</v>
      </c>
      <c r="M39" s="163">
        <v>92</v>
      </c>
      <c r="N39" s="163" t="s">
        <v>50</v>
      </c>
    </row>
    <row r="40" spans="1:14" ht="16.5" thickBot="1" x14ac:dyDescent="0.25">
      <c r="A40" s="362" t="s">
        <v>166</v>
      </c>
      <c r="B40" s="330"/>
      <c r="C40" s="330"/>
      <c r="D40" s="330"/>
      <c r="E40" s="330">
        <v>17</v>
      </c>
      <c r="F40" s="330"/>
      <c r="G40" s="330">
        <v>17</v>
      </c>
      <c r="H40" s="330"/>
      <c r="I40" s="229"/>
      <c r="J40" s="229"/>
      <c r="K40" s="229"/>
      <c r="L40" s="229"/>
      <c r="M40" s="229"/>
      <c r="N40" s="229"/>
    </row>
    <row r="41" spans="1:14" ht="16.5" thickBot="1" x14ac:dyDescent="0.25">
      <c r="A41" s="362" t="s">
        <v>167</v>
      </c>
      <c r="B41" s="330"/>
      <c r="C41" s="330"/>
      <c r="D41" s="330"/>
      <c r="E41" s="330">
        <v>17</v>
      </c>
      <c r="F41" s="330"/>
      <c r="G41" s="330"/>
      <c r="H41" s="330"/>
      <c r="I41" s="229"/>
      <c r="J41" s="229"/>
      <c r="K41" s="229"/>
      <c r="L41" s="229"/>
      <c r="M41" s="229"/>
      <c r="N41" s="229"/>
    </row>
    <row r="42" spans="1:14" ht="16.5" thickBot="1" x14ac:dyDescent="0.25">
      <c r="A42" s="362" t="s">
        <v>32</v>
      </c>
      <c r="B42" s="301"/>
      <c r="C42" s="301"/>
      <c r="D42" s="301"/>
      <c r="E42" s="301">
        <v>17</v>
      </c>
      <c r="F42" s="301"/>
      <c r="G42" s="301">
        <v>34</v>
      </c>
      <c r="H42" s="301"/>
      <c r="I42" s="229"/>
      <c r="J42" s="229"/>
      <c r="K42" s="229"/>
      <c r="L42" s="229"/>
      <c r="M42" s="229"/>
      <c r="N42" s="229"/>
    </row>
    <row r="43" spans="1:14" ht="16.5" thickBot="1" x14ac:dyDescent="0.25">
      <c r="A43" s="362" t="s">
        <v>33</v>
      </c>
      <c r="B43" s="230"/>
      <c r="C43" s="230"/>
      <c r="D43" s="230"/>
      <c r="E43" s="230"/>
      <c r="F43" s="230"/>
      <c r="G43" s="230"/>
      <c r="H43" s="230"/>
      <c r="I43" s="229"/>
      <c r="J43" s="229"/>
      <c r="K43" s="229"/>
      <c r="L43" s="229"/>
      <c r="M43" s="229"/>
      <c r="N43" s="229"/>
    </row>
    <row r="44" spans="1:14" ht="15.75" thickBot="1" x14ac:dyDescent="0.25">
      <c r="A44" s="319" t="s">
        <v>172</v>
      </c>
      <c r="B44" s="313">
        <f t="shared" ref="B44:I44" si="2">SUM(B40:B43)</f>
        <v>0</v>
      </c>
      <c r="C44" s="313">
        <f t="shared" si="2"/>
        <v>0</v>
      </c>
      <c r="D44" s="313">
        <f t="shared" si="2"/>
        <v>0</v>
      </c>
      <c r="E44" s="313">
        <f t="shared" si="2"/>
        <v>51</v>
      </c>
      <c r="F44" s="313">
        <f t="shared" si="2"/>
        <v>0</v>
      </c>
      <c r="G44" s="313">
        <f t="shared" si="2"/>
        <v>51</v>
      </c>
      <c r="H44" s="313">
        <f t="shared" si="2"/>
        <v>0</v>
      </c>
      <c r="I44" s="313">
        <f t="shared" si="2"/>
        <v>0</v>
      </c>
      <c r="J44" s="363">
        <f>SUM(J40:J43)</f>
        <v>0</v>
      </c>
      <c r="K44" s="363">
        <f>SUM(K40:K43)</f>
        <v>0</v>
      </c>
      <c r="L44" s="363">
        <f>SUM(L40:L43)</f>
        <v>0</v>
      </c>
      <c r="M44" s="363">
        <f>SUM(M40:M43)</f>
        <v>0</v>
      </c>
      <c r="N44" s="363">
        <f>SUM(N40:N43)</f>
        <v>0</v>
      </c>
    </row>
  </sheetData>
  <customSheetViews>
    <customSheetView guid="{18C0F7AC-4BB1-46DE-8A01-8E31FE0585FC}" scale="70">
      <selection activeCell="N11" sqref="N11"/>
      <pageMargins left="0.7" right="0.7" top="0.75" bottom="0.75" header="0.3" footer="0.3"/>
      <pageSetup paperSize="9" orientation="portrait" r:id="rId1"/>
    </customSheetView>
    <customSheetView guid="{8317B6D8-8A99-4EB0-9DBC-8E9AE0170A4B}">
      <selection activeCell="O15" sqref="O15"/>
      <pageMargins left="0.7" right="0.7" top="0.75" bottom="0.75" header="0.3" footer="0.3"/>
      <pageSetup paperSize="9" orientation="portrait" r:id="rId2"/>
    </customSheetView>
  </customSheetViews>
  <mergeCells count="23">
    <mergeCell ref="A37:A39"/>
    <mergeCell ref="F26:I26"/>
    <mergeCell ref="A4:A5"/>
    <mergeCell ref="B2:B4"/>
    <mergeCell ref="G2:I2"/>
    <mergeCell ref="C25:I25"/>
    <mergeCell ref="C3:E3"/>
    <mergeCell ref="G3:I3"/>
    <mergeCell ref="O2:T2"/>
    <mergeCell ref="B38:C38"/>
    <mergeCell ref="D37:G37"/>
    <mergeCell ref="E38:G38"/>
    <mergeCell ref="B37:C37"/>
    <mergeCell ref="N2:N4"/>
    <mergeCell ref="O3:Q3"/>
    <mergeCell ref="B25:B27"/>
    <mergeCell ref="C26:E26"/>
    <mergeCell ref="R3:T3"/>
    <mergeCell ref="P12:P14"/>
    <mergeCell ref="C2:F2"/>
    <mergeCell ref="H37:N37"/>
    <mergeCell ref="L38:N38"/>
    <mergeCell ref="H38:K38"/>
  </mergeCells>
  <conditionalFormatting sqref="T21:W21">
    <cfRule type="cellIs" dxfId="22" priority="1" operator="lessThan">
      <formula>0</formula>
    </cfRule>
    <cfRule type="cellIs" dxfId="21" priority="2" operator="greaterThan">
      <formula>0</formula>
    </cfRule>
    <cfRule type="cellIs" dxfId="20" priority="3" operator="equal">
      <formula>0</formula>
    </cfRule>
  </conditionalFormatting>
  <pageMargins left="0.7" right="0.7" top="0.75" bottom="0.75" header="0.3" footer="0.3"/>
  <pageSetup paperSize="9" orientation="portrait"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0"/>
  </sheetPr>
  <dimension ref="B1:X58"/>
  <sheetViews>
    <sheetView rightToLeft="1" topLeftCell="A29" workbookViewId="0">
      <selection activeCell="S53" sqref="S53"/>
    </sheetView>
  </sheetViews>
  <sheetFormatPr defaultRowHeight="14.25" x14ac:dyDescent="0.2"/>
  <cols>
    <col min="1" max="1" width="6.375" customWidth="1"/>
    <col min="2" max="2" width="6.375" hidden="1" customWidth="1"/>
    <col min="3" max="3" width="7.75" hidden="1" customWidth="1"/>
    <col min="4" max="4" width="9.375" style="195" bestFit="1" customWidth="1"/>
    <col min="5" max="5" width="6.375" style="195" customWidth="1"/>
    <col min="6" max="6" width="6" style="195" customWidth="1"/>
    <col min="7" max="7" width="6.375" style="195" customWidth="1"/>
    <col min="8" max="8" width="5.625" style="195" customWidth="1"/>
    <col min="9" max="9" width="9" hidden="1" customWidth="1"/>
    <col min="10" max="10" width="5" customWidth="1"/>
    <col min="11" max="11" width="9" style="198" customWidth="1"/>
    <col min="12" max="12" width="6.375" style="198" customWidth="1"/>
    <col min="13" max="13" width="6.625" style="198" customWidth="1"/>
    <col min="14" max="15" width="9" style="198"/>
    <col min="16" max="16" width="4.375" style="198" customWidth="1"/>
    <col min="17" max="17" width="8.75" style="198" customWidth="1"/>
    <col min="18" max="18" width="6.875" style="198" customWidth="1"/>
    <col min="19" max="19" width="6.125" style="198" customWidth="1"/>
    <col min="20" max="20" width="7.625" style="198" customWidth="1"/>
    <col min="21" max="24" width="9" style="198"/>
  </cols>
  <sheetData>
    <row r="1" spans="4:24" ht="14.25" hidden="1" customHeight="1" x14ac:dyDescent="0.2"/>
    <row r="2" spans="4:24" ht="14.25" hidden="1" customHeight="1" x14ac:dyDescent="0.2"/>
    <row r="3" spans="4:24" ht="14.25" hidden="1" customHeight="1" x14ac:dyDescent="0.2"/>
    <row r="4" spans="4:24" ht="14.25" hidden="1" customHeight="1" x14ac:dyDescent="0.2"/>
    <row r="5" spans="4:24" ht="21" hidden="1" customHeight="1" thickBot="1" x14ac:dyDescent="0.35">
      <c r="D5" s="530" t="s">
        <v>159</v>
      </c>
      <c r="E5" s="530"/>
      <c r="F5" s="530"/>
      <c r="G5" s="530"/>
      <c r="H5" s="530"/>
      <c r="Q5" s="524" t="s">
        <v>118</v>
      </c>
      <c r="R5" s="524"/>
      <c r="S5" s="524"/>
      <c r="T5" s="524"/>
      <c r="U5" s="524"/>
    </row>
    <row r="6" spans="4:24" ht="15.75" hidden="1" customHeight="1" thickBot="1" x14ac:dyDescent="0.25">
      <c r="D6" s="525" t="s">
        <v>3</v>
      </c>
      <c r="E6" s="258">
        <v>80</v>
      </c>
      <c r="F6" s="232">
        <v>92</v>
      </c>
      <c r="G6" s="232">
        <v>95</v>
      </c>
      <c r="H6" s="232" t="s">
        <v>50</v>
      </c>
      <c r="K6" s="386" t="s">
        <v>3</v>
      </c>
      <c r="L6" s="231">
        <v>80</v>
      </c>
      <c r="M6" s="231">
        <v>92</v>
      </c>
      <c r="N6" s="231">
        <v>95</v>
      </c>
      <c r="O6" s="231" t="s">
        <v>50</v>
      </c>
      <c r="Q6" s="386" t="s">
        <v>3</v>
      </c>
      <c r="R6" s="527" t="s">
        <v>95</v>
      </c>
      <c r="S6" s="527" t="s">
        <v>96</v>
      </c>
      <c r="T6" s="527" t="s">
        <v>97</v>
      </c>
      <c r="U6" s="529" t="s">
        <v>98</v>
      </c>
      <c r="W6" s="386" t="s">
        <v>99</v>
      </c>
      <c r="X6" s="386" t="s">
        <v>100</v>
      </c>
    </row>
    <row r="7" spans="4:24" ht="15.75" hidden="1" customHeight="1" thickBot="1" x14ac:dyDescent="0.25">
      <c r="D7" s="526"/>
      <c r="E7" s="258" t="s">
        <v>7</v>
      </c>
      <c r="F7" s="232" t="s">
        <v>7</v>
      </c>
      <c r="G7" s="232" t="s">
        <v>7</v>
      </c>
      <c r="H7" s="232" t="s">
        <v>7</v>
      </c>
      <c r="K7" s="386"/>
      <c r="L7" s="201" t="s">
        <v>7</v>
      </c>
      <c r="M7" s="201" t="s">
        <v>7</v>
      </c>
      <c r="N7" s="201" t="s">
        <v>7</v>
      </c>
      <c r="O7" s="201" t="s">
        <v>7</v>
      </c>
      <c r="Q7" s="386"/>
      <c r="R7" s="528"/>
      <c r="S7" s="528"/>
      <c r="T7" s="528"/>
      <c r="U7" s="529"/>
      <c r="W7" s="386"/>
      <c r="X7" s="386"/>
    </row>
    <row r="8" spans="4:24" ht="16.5" hidden="1" customHeight="1" thickBot="1" x14ac:dyDescent="0.3">
      <c r="D8" s="233" t="s">
        <v>15</v>
      </c>
      <c r="E8" s="212"/>
      <c r="F8" s="197"/>
      <c r="G8" s="197"/>
      <c r="H8" s="196"/>
      <c r="K8" s="202" t="s">
        <v>15</v>
      </c>
      <c r="L8" s="234"/>
      <c r="M8" s="235">
        <f>IF(F8&gt;101,102,IF(F8&gt;84,85,IF(F8&gt;67,68,IF(F8&gt;50,51,IF(F8&gt;33,34,IF(F8&gt;16,17,0))))))</f>
        <v>0</v>
      </c>
      <c r="N8" s="235">
        <f>IF(G8&gt;101,102,IF(G8&gt;84,85,IF(G8&gt;67,68,IF(G8&gt;50,51,IF(G8&gt;33,34,IF(G8&gt;16,17,0))))))</f>
        <v>0</v>
      </c>
      <c r="O8" s="234"/>
      <c r="P8" s="236"/>
      <c r="Q8" s="237" t="s">
        <v>15</v>
      </c>
      <c r="R8" s="238">
        <f t="shared" ref="R8:R27" si="0">ROUNDDOWN((SUM(L8:O8)/51),0.9)</f>
        <v>0</v>
      </c>
      <c r="S8" s="239"/>
      <c r="T8" s="240"/>
      <c r="U8" s="241"/>
      <c r="W8" s="518" t="s">
        <v>101</v>
      </c>
      <c r="X8" s="521">
        <f>SUM(R8:U15)/2</f>
        <v>0</v>
      </c>
    </row>
    <row r="9" spans="4:24" ht="16.5" hidden="1" customHeight="1" thickBot="1" x14ac:dyDescent="0.3">
      <c r="D9" s="233" t="s">
        <v>163</v>
      </c>
      <c r="E9" s="212"/>
      <c r="F9" s="197"/>
      <c r="G9" s="197"/>
      <c r="H9" s="196"/>
      <c r="K9" s="202" t="s">
        <v>163</v>
      </c>
      <c r="L9" s="234"/>
      <c r="M9" s="235"/>
      <c r="N9" s="235"/>
      <c r="O9" s="234"/>
      <c r="P9" s="236"/>
      <c r="Q9" s="250" t="s">
        <v>163</v>
      </c>
      <c r="R9" s="238">
        <f t="shared" si="0"/>
        <v>0</v>
      </c>
      <c r="S9" s="252"/>
      <c r="T9" s="253"/>
      <c r="U9" s="254"/>
      <c r="W9" s="519"/>
      <c r="X9" s="522"/>
    </row>
    <row r="10" spans="4:24" ht="17.25" hidden="1" customHeight="1" thickTop="1" thickBot="1" x14ac:dyDescent="0.3">
      <c r="D10" s="233" t="s">
        <v>16</v>
      </c>
      <c r="E10" s="213"/>
      <c r="F10" s="197"/>
      <c r="G10" s="197"/>
      <c r="H10" s="197"/>
      <c r="K10" s="202" t="s">
        <v>16</v>
      </c>
      <c r="L10" s="235">
        <f t="shared" ref="L10:N25" si="1">IF(E10&gt;101,102,IF(E10&gt;84,85,IF(E10&gt;67,68,IF(E10&gt;50,51,IF(E10&gt;33,34,IF(E10&gt;16,17,0))))))</f>
        <v>0</v>
      </c>
      <c r="M10" s="235">
        <f t="shared" si="1"/>
        <v>0</v>
      </c>
      <c r="N10" s="235">
        <f>IF(G10&gt;101,102,IF(G10&gt;84,85,IF(G10&gt;67,68,IF(G10&gt;50,51,IF(G10&gt;33,34,IF(G10&gt;16,17,0))))))</f>
        <v>0</v>
      </c>
      <c r="O10" s="235">
        <f t="shared" ref="O10:O27" si="2">IF(H10&gt;101,102,IF(H10&gt;84,85,IF(H10&gt;67,68,IF(H10&gt;50,51,IF(H10&gt;33,34,IF(H10&gt;16,17,0))))))</f>
        <v>0</v>
      </c>
      <c r="P10" s="236"/>
      <c r="Q10" s="242" t="s">
        <v>16</v>
      </c>
      <c r="R10" s="243">
        <f t="shared" si="0"/>
        <v>0</v>
      </c>
      <c r="S10" s="510">
        <f>IF((ROUNDDOWN((SUM(M10:M11)/51)-(R10+R11),0.9))&lt;0,0,(ROUNDDOWN((SUM(M10:M11)/51)-(R10+R11),0.9)))</f>
        <v>0</v>
      </c>
      <c r="T10" s="510">
        <f>IF((ROUNDDOWN((SUM(O10:O11)/51)-(R10+R11),0.9))&lt;0,0,(ROUNDDOWN((SUM(O10:O11)/51)-(R10+R11),0.9)))</f>
        <v>0</v>
      </c>
      <c r="U10" s="510">
        <f>IF((ROUNDDOWN((SUM(L10:O11)/51)-(R10+R11+S10+T10),0.9))&lt;0,0,ROUNDDOWN((SUM(L10:O11)/51)-(R10+R11+S10+T10),0.9))</f>
        <v>0</v>
      </c>
      <c r="W10" s="519"/>
      <c r="X10" s="522"/>
    </row>
    <row r="11" spans="4:24" ht="16.5" hidden="1" customHeight="1" thickBot="1" x14ac:dyDescent="0.3">
      <c r="D11" s="233" t="s">
        <v>17</v>
      </c>
      <c r="E11" s="213"/>
      <c r="F11" s="197"/>
      <c r="G11" s="197"/>
      <c r="H11" s="196"/>
      <c r="K11" s="202" t="s">
        <v>17</v>
      </c>
      <c r="L11" s="235">
        <f t="shared" si="1"/>
        <v>0</v>
      </c>
      <c r="M11" s="235">
        <f t="shared" si="1"/>
        <v>0</v>
      </c>
      <c r="N11" s="235">
        <f>IF(G11&gt;101,102,IF(G11&gt;84,85,IF(G11&gt;67,68,IF(G11&gt;50,51,IF(G11&gt;33,34,IF(G11&gt;16,17,0))))))</f>
        <v>0</v>
      </c>
      <c r="O11" s="234"/>
      <c r="P11" s="236"/>
      <c r="Q11" s="244" t="s">
        <v>17</v>
      </c>
      <c r="R11" s="245">
        <f t="shared" si="0"/>
        <v>0</v>
      </c>
      <c r="S11" s="511"/>
      <c r="T11" s="511"/>
      <c r="U11" s="511"/>
      <c r="W11" s="519"/>
      <c r="X11" s="522"/>
    </row>
    <row r="12" spans="4:24" ht="17.25" hidden="1" customHeight="1" thickTop="1" thickBot="1" x14ac:dyDescent="0.3">
      <c r="D12" s="233" t="s">
        <v>18</v>
      </c>
      <c r="E12" s="213"/>
      <c r="F12" s="197"/>
      <c r="G12" s="196"/>
      <c r="H12" s="197"/>
      <c r="K12" s="202" t="s">
        <v>18</v>
      </c>
      <c r="L12" s="235">
        <f t="shared" si="1"/>
        <v>0</v>
      </c>
      <c r="M12" s="235">
        <f t="shared" si="1"/>
        <v>0</v>
      </c>
      <c r="N12" s="234"/>
      <c r="O12" s="235">
        <f t="shared" si="2"/>
        <v>0</v>
      </c>
      <c r="P12" s="236"/>
      <c r="Q12" s="246" t="s">
        <v>18</v>
      </c>
      <c r="R12" s="247">
        <f t="shared" si="0"/>
        <v>0</v>
      </c>
      <c r="S12" s="514">
        <f>IF((ROUNDDOWN((SUM(M12:M13)/51)-(R12+R13),0.9))&lt;0,0,(ROUNDDOWN((SUM(M12:M13)/51)-(R12+R13),0.9)))</f>
        <v>0</v>
      </c>
      <c r="T12" s="514">
        <f t="shared" ref="T12" si="3">IF((ROUNDDOWN((SUM(O12:O13)/51)-(R12+R13),0.9))&lt;0,0,(ROUNDDOWN((SUM(O12:O13)/51)-(R12+R13),0.9)))</f>
        <v>0</v>
      </c>
      <c r="U12" s="514">
        <f t="shared" ref="U12" si="4">IF((ROUNDDOWN((SUM(L12:O13)/51)-(R12+R13+S12+T12),0.9))&lt;0,0,ROUNDDOWN((SUM(L12:O13)/51)-(R12+R13+S12+T12),0.9))</f>
        <v>0</v>
      </c>
      <c r="W12" s="519"/>
      <c r="X12" s="522"/>
    </row>
    <row r="13" spans="4:24" ht="16.5" hidden="1" customHeight="1" thickBot="1" x14ac:dyDescent="0.3">
      <c r="D13" s="233" t="s">
        <v>19</v>
      </c>
      <c r="E13" s="213"/>
      <c r="F13" s="197"/>
      <c r="G13" s="196"/>
      <c r="H13" s="197"/>
      <c r="K13" s="202" t="s">
        <v>19</v>
      </c>
      <c r="L13" s="235">
        <f t="shared" si="1"/>
        <v>0</v>
      </c>
      <c r="M13" s="235">
        <f t="shared" si="1"/>
        <v>0</v>
      </c>
      <c r="N13" s="234"/>
      <c r="O13" s="235">
        <f t="shared" si="2"/>
        <v>0</v>
      </c>
      <c r="P13" s="236"/>
      <c r="Q13" s="248" t="s">
        <v>19</v>
      </c>
      <c r="R13" s="249">
        <f t="shared" si="0"/>
        <v>0</v>
      </c>
      <c r="S13" s="514"/>
      <c r="T13" s="514"/>
      <c r="U13" s="514"/>
      <c r="W13" s="519"/>
      <c r="X13" s="522"/>
    </row>
    <row r="14" spans="4:24" ht="17.25" hidden="1" customHeight="1" thickTop="1" thickBot="1" x14ac:dyDescent="0.3">
      <c r="D14" s="233" t="s">
        <v>20</v>
      </c>
      <c r="E14" s="212"/>
      <c r="F14" s="197"/>
      <c r="G14" s="197"/>
      <c r="H14" s="196"/>
      <c r="K14" s="202" t="s">
        <v>20</v>
      </c>
      <c r="L14" s="234"/>
      <c r="M14" s="235">
        <f t="shared" si="1"/>
        <v>0</v>
      </c>
      <c r="N14" s="235">
        <f t="shared" si="1"/>
        <v>0</v>
      </c>
      <c r="O14" s="234"/>
      <c r="P14" s="236"/>
      <c r="Q14" s="242" t="s">
        <v>20</v>
      </c>
      <c r="R14" s="243">
        <f t="shared" si="0"/>
        <v>0</v>
      </c>
      <c r="S14" s="510">
        <f>IF((ROUNDDOWN((SUM(M14:M15)/51)-(R14+R15),0.9))&lt;0,0,(ROUNDDOWN((SUM(M14:M15)/51)-(R14+R15),0.9)))</f>
        <v>0</v>
      </c>
      <c r="T14" s="510">
        <f t="shared" ref="T14" si="5">IF((ROUNDDOWN((SUM(O14:O15)/51)-(R14+R15),0.9))&lt;0,0,(ROUNDDOWN((SUM(O14:O15)/51)-(R14+R15),0.9)))</f>
        <v>0</v>
      </c>
      <c r="U14" s="510">
        <f t="shared" ref="U14" si="6">IF((ROUNDDOWN((SUM(L14:O15)/51)-(R14+R15+S14+T14),0.9))&lt;0,0,ROUNDDOWN((SUM(L14:O15)/51)-(R14+R15+S14+T14),0.9))</f>
        <v>0</v>
      </c>
      <c r="W14" s="519"/>
      <c r="X14" s="522"/>
    </row>
    <row r="15" spans="4:24" ht="16.5" hidden="1" customHeight="1" thickBot="1" x14ac:dyDescent="0.3">
      <c r="D15" s="233" t="s">
        <v>21</v>
      </c>
      <c r="E15" s="212"/>
      <c r="F15" s="197"/>
      <c r="G15" s="197"/>
      <c r="H15" s="197"/>
      <c r="K15" s="202" t="s">
        <v>21</v>
      </c>
      <c r="L15" s="234"/>
      <c r="M15" s="235">
        <f t="shared" si="1"/>
        <v>0</v>
      </c>
      <c r="N15" s="235">
        <f t="shared" si="1"/>
        <v>0</v>
      </c>
      <c r="O15" s="235">
        <f t="shared" si="2"/>
        <v>0</v>
      </c>
      <c r="P15" s="236"/>
      <c r="Q15" s="244" t="s">
        <v>21</v>
      </c>
      <c r="R15" s="245">
        <f t="shared" si="0"/>
        <v>0</v>
      </c>
      <c r="S15" s="511"/>
      <c r="T15" s="511"/>
      <c r="U15" s="511"/>
      <c r="W15" s="520"/>
      <c r="X15" s="523"/>
    </row>
    <row r="16" spans="4:24" ht="16.5" hidden="1" customHeight="1" thickBot="1" x14ac:dyDescent="0.3">
      <c r="D16" s="233" t="s">
        <v>22</v>
      </c>
      <c r="E16" s="212"/>
      <c r="F16" s="197"/>
      <c r="G16" s="197"/>
      <c r="H16" s="197"/>
      <c r="K16" s="202" t="s">
        <v>22</v>
      </c>
      <c r="L16" s="234"/>
      <c r="M16" s="235">
        <f t="shared" si="1"/>
        <v>0</v>
      </c>
      <c r="N16" s="235">
        <f t="shared" si="1"/>
        <v>0</v>
      </c>
      <c r="O16" s="235">
        <f t="shared" si="2"/>
        <v>0</v>
      </c>
      <c r="P16" s="236"/>
      <c r="Q16" s="250" t="s">
        <v>22</v>
      </c>
      <c r="R16" s="251">
        <f t="shared" si="0"/>
        <v>0</v>
      </c>
      <c r="S16" s="252"/>
      <c r="T16" s="253"/>
      <c r="U16" s="254"/>
      <c r="W16" s="512" t="s">
        <v>85</v>
      </c>
      <c r="X16" s="513">
        <f>SUM(R16:U19)/2</f>
        <v>0</v>
      </c>
    </row>
    <row r="17" spans="4:24" ht="17.25" hidden="1" customHeight="1" thickTop="1" thickBot="1" x14ac:dyDescent="0.3">
      <c r="D17" s="233" t="s">
        <v>23</v>
      </c>
      <c r="E17" s="212"/>
      <c r="F17" s="197"/>
      <c r="G17" s="197"/>
      <c r="H17" s="197"/>
      <c r="K17" s="202" t="s">
        <v>23</v>
      </c>
      <c r="L17" s="234"/>
      <c r="M17" s="235">
        <f t="shared" si="1"/>
        <v>0</v>
      </c>
      <c r="N17" s="235">
        <f t="shared" si="1"/>
        <v>0</v>
      </c>
      <c r="O17" s="235">
        <f t="shared" si="2"/>
        <v>0</v>
      </c>
      <c r="P17" s="236"/>
      <c r="Q17" s="246" t="s">
        <v>23</v>
      </c>
      <c r="R17" s="247">
        <f t="shared" si="0"/>
        <v>0</v>
      </c>
      <c r="S17" s="516">
        <f>IF((ROUNDDOWN((SUM(M17:M18)/51)-(R17+R18),0.9))&lt;0,0,(ROUNDDOWN((SUM(M17:M18)/51)-(R17+R18),0.9)))</f>
        <v>0</v>
      </c>
      <c r="T17" s="516">
        <f>IF((ROUNDDOWN((SUM(O17:O18)/51)-(R17+R18),0.9))&lt;0,0,(ROUNDDOWN((SUM(O17:O18)/51)-(R17+R18),0.9)))</f>
        <v>0</v>
      </c>
      <c r="U17" s="516">
        <f>IF((ROUNDDOWN((SUM(L17:O18)/51)-(R17+R18+S17+T17),0.9))&lt;0,0,ROUNDDOWN((SUM(L17:O18)/51)-(R17+R18+S17+T17),0.9))</f>
        <v>0</v>
      </c>
      <c r="W17" s="512"/>
      <c r="X17" s="513"/>
    </row>
    <row r="18" spans="4:24" ht="16.5" hidden="1" customHeight="1" thickBot="1" x14ac:dyDescent="0.3">
      <c r="D18" s="233" t="s">
        <v>24</v>
      </c>
      <c r="E18" s="212"/>
      <c r="F18" s="197"/>
      <c r="G18" s="197"/>
      <c r="H18" s="196"/>
      <c r="K18" s="202" t="s">
        <v>24</v>
      </c>
      <c r="L18" s="234"/>
      <c r="M18" s="235">
        <f t="shared" si="1"/>
        <v>0</v>
      </c>
      <c r="N18" s="235">
        <f t="shared" si="1"/>
        <v>0</v>
      </c>
      <c r="O18" s="234"/>
      <c r="P18" s="236"/>
      <c r="Q18" s="248" t="s">
        <v>24</v>
      </c>
      <c r="R18" s="249">
        <f t="shared" si="0"/>
        <v>0</v>
      </c>
      <c r="S18" s="517"/>
      <c r="T18" s="517"/>
      <c r="U18" s="517"/>
      <c r="W18" s="512"/>
      <c r="X18" s="513"/>
    </row>
    <row r="19" spans="4:24" ht="16.5" hidden="1" customHeight="1" thickBot="1" x14ac:dyDescent="0.3">
      <c r="D19" s="233" t="s">
        <v>26</v>
      </c>
      <c r="E19" s="212"/>
      <c r="F19" s="197"/>
      <c r="G19" s="197"/>
      <c r="H19" s="197"/>
      <c r="K19" s="202" t="s">
        <v>26</v>
      </c>
      <c r="L19" s="234"/>
      <c r="M19" s="235">
        <f t="shared" si="1"/>
        <v>0</v>
      </c>
      <c r="N19" s="235">
        <f t="shared" si="1"/>
        <v>0</v>
      </c>
      <c r="O19" s="235">
        <f t="shared" si="2"/>
        <v>0</v>
      </c>
      <c r="P19" s="236"/>
      <c r="Q19" s="250" t="s">
        <v>26</v>
      </c>
      <c r="R19" s="251">
        <f t="shared" si="0"/>
        <v>0</v>
      </c>
      <c r="S19" s="252"/>
      <c r="T19" s="253"/>
      <c r="U19" s="255"/>
      <c r="W19" s="512"/>
      <c r="X19" s="513"/>
    </row>
    <row r="20" spans="4:24" ht="17.25" hidden="1" customHeight="1" thickTop="1" thickBot="1" x14ac:dyDescent="0.3">
      <c r="D20" s="233" t="s">
        <v>25</v>
      </c>
      <c r="E20" s="212"/>
      <c r="F20" s="197"/>
      <c r="G20" s="197"/>
      <c r="H20" s="197"/>
      <c r="K20" s="202" t="s">
        <v>25</v>
      </c>
      <c r="L20" s="234"/>
      <c r="M20" s="235">
        <f t="shared" si="1"/>
        <v>0</v>
      </c>
      <c r="N20" s="235">
        <f t="shared" si="1"/>
        <v>0</v>
      </c>
      <c r="O20" s="235">
        <f t="shared" si="2"/>
        <v>0</v>
      </c>
      <c r="P20" s="236"/>
      <c r="Q20" s="242" t="s">
        <v>25</v>
      </c>
      <c r="R20" s="243">
        <f t="shared" si="0"/>
        <v>0</v>
      </c>
      <c r="S20" s="510">
        <f>IF((ROUNDDOWN((SUM(M20:M21)/51)-(R20+R21),0.9))&lt;0,0,(ROUNDDOWN((SUM(M20:M21)/51)-(R20+R21),0.9)))</f>
        <v>0</v>
      </c>
      <c r="T20" s="510">
        <f>IF((ROUNDDOWN((SUM(O20:O21)/51)-(R20+R21),0.9))&lt;0,0,(ROUNDDOWN((SUM(O20:O21)/51)-(R20+R21),0.9)))</f>
        <v>0</v>
      </c>
      <c r="U20" s="510">
        <f>IF((ROUNDDOWN((SUM(L20:O21)/51)-(R20+R21+S20+T20),0.9))&lt;0,0,ROUNDDOWN((SUM(L20:O21)/51)-(R20+R21+S20+T20),0.9))</f>
        <v>0</v>
      </c>
      <c r="W20" s="512" t="s">
        <v>102</v>
      </c>
      <c r="X20" s="513">
        <f>SUM(R20:U23)/2</f>
        <v>0</v>
      </c>
    </row>
    <row r="21" spans="4:24" ht="16.5" hidden="1" customHeight="1" thickBot="1" x14ac:dyDescent="0.3">
      <c r="D21" s="233" t="s">
        <v>27</v>
      </c>
      <c r="E21" s="212"/>
      <c r="F21" s="197"/>
      <c r="G21" s="197"/>
      <c r="H21" s="196"/>
      <c r="K21" s="202" t="s">
        <v>27</v>
      </c>
      <c r="L21" s="234"/>
      <c r="M21" s="235">
        <f t="shared" si="1"/>
        <v>0</v>
      </c>
      <c r="N21" s="235">
        <f t="shared" si="1"/>
        <v>0</v>
      </c>
      <c r="O21" s="234"/>
      <c r="P21" s="236"/>
      <c r="Q21" s="244" t="s">
        <v>27</v>
      </c>
      <c r="R21" s="245">
        <f t="shared" si="0"/>
        <v>0</v>
      </c>
      <c r="S21" s="511"/>
      <c r="T21" s="511"/>
      <c r="U21" s="511"/>
      <c r="W21" s="512"/>
      <c r="X21" s="513"/>
    </row>
    <row r="22" spans="4:24" ht="17.25" hidden="1" customHeight="1" thickTop="1" thickBot="1" x14ac:dyDescent="0.3">
      <c r="D22" s="233" t="s">
        <v>28</v>
      </c>
      <c r="E22" s="213"/>
      <c r="F22" s="197"/>
      <c r="G22" s="196"/>
      <c r="H22" s="197"/>
      <c r="K22" s="202" t="s">
        <v>28</v>
      </c>
      <c r="L22" s="235">
        <f t="shared" si="1"/>
        <v>0</v>
      </c>
      <c r="M22" s="235">
        <f t="shared" si="1"/>
        <v>0</v>
      </c>
      <c r="N22" s="234"/>
      <c r="O22" s="235">
        <f t="shared" si="2"/>
        <v>0</v>
      </c>
      <c r="P22" s="236"/>
      <c r="Q22" s="246" t="s">
        <v>28</v>
      </c>
      <c r="R22" s="247">
        <f t="shared" si="0"/>
        <v>0</v>
      </c>
      <c r="S22" s="514">
        <f>IF((ROUNDDOWN((SUM(M22:M23)/51)-(R22+R23),0.9))&lt;0,0,(ROUNDDOWN((SUM(M22:M23)/51)-(R22+R23),0.9)))</f>
        <v>0</v>
      </c>
      <c r="T22" s="516">
        <f>IF((ROUNDDOWN((SUM(O22:O23)/51)-(R22+R23),0.9))&lt;0,0,(ROUNDDOWN((SUM(O22:O23)/51)-(R22+R23),0.9)))</f>
        <v>0</v>
      </c>
      <c r="U22" s="516">
        <f t="shared" ref="U22" si="7">IF((ROUNDDOWN((SUM(L22:O23)/51)-(R22+R23+S22+T22),0.9))&lt;0,0,ROUNDDOWN((SUM(L22:O23)/51)-(R22+R23+S22+T22),0.9))</f>
        <v>0</v>
      </c>
      <c r="W22" s="512"/>
      <c r="X22" s="513"/>
    </row>
    <row r="23" spans="4:24" ht="16.5" hidden="1" customHeight="1" thickBot="1" x14ac:dyDescent="0.3">
      <c r="D23" s="233" t="s">
        <v>29</v>
      </c>
      <c r="E23" s="212"/>
      <c r="F23" s="197"/>
      <c r="G23" s="196"/>
      <c r="H23" s="197"/>
      <c r="K23" s="202" t="s">
        <v>29</v>
      </c>
      <c r="L23" s="234"/>
      <c r="M23" s="235">
        <f t="shared" si="1"/>
        <v>0</v>
      </c>
      <c r="N23" s="234"/>
      <c r="O23" s="235">
        <f t="shared" si="2"/>
        <v>0</v>
      </c>
      <c r="P23" s="236"/>
      <c r="Q23" s="248" t="s">
        <v>29</v>
      </c>
      <c r="R23" s="249">
        <f t="shared" si="0"/>
        <v>0</v>
      </c>
      <c r="S23" s="514"/>
      <c r="T23" s="517"/>
      <c r="U23" s="517"/>
      <c r="W23" s="512"/>
      <c r="X23" s="513"/>
    </row>
    <row r="24" spans="4:24" ht="17.25" hidden="1" customHeight="1" thickTop="1" thickBot="1" x14ac:dyDescent="0.3">
      <c r="D24" s="233" t="s">
        <v>30</v>
      </c>
      <c r="E24" s="212"/>
      <c r="F24" s="197"/>
      <c r="G24" s="197"/>
      <c r="H24" s="197"/>
      <c r="K24" s="202" t="s">
        <v>30</v>
      </c>
      <c r="L24" s="234"/>
      <c r="M24" s="235">
        <f t="shared" si="1"/>
        <v>0</v>
      </c>
      <c r="N24" s="235">
        <f>IF(G24&gt;101,102,IF(G24&gt;84,85,IF(G24&gt;67,68,IF(G24&gt;50,51,IF(G24&gt;33,34,IF(G24&gt;16,17,0))))))</f>
        <v>0</v>
      </c>
      <c r="O24" s="235">
        <f t="shared" si="2"/>
        <v>0</v>
      </c>
      <c r="P24" s="236"/>
      <c r="Q24" s="242" t="s">
        <v>30</v>
      </c>
      <c r="R24" s="243">
        <f t="shared" si="0"/>
        <v>0</v>
      </c>
      <c r="S24" s="510">
        <f>IF((ROUNDDOWN((SUM(M24:M25)/51)-(R24+R25),0.9))&lt;0,0,(ROUNDDOWN((SUM(M24:M25)/51)-(R24+R25),0.9)))</f>
        <v>0</v>
      </c>
      <c r="T24" s="510">
        <f>IF((ROUNDDOWN((SUM(O24:O25)/51)-(R24+R25),0.9))&lt;0,0,(ROUNDDOWN((SUM(O24:O25)/51)-(R24+R25),0.9)))</f>
        <v>0</v>
      </c>
      <c r="U24" s="510">
        <f t="shared" ref="U24" si="8">IF((ROUNDDOWN((SUM(L24:O25)/51)-(R24+R25+S24+T24),0.9))&lt;0,0,ROUNDDOWN((SUM(L24:O25)/51)-(R24+R25+S24+T24),0.9))</f>
        <v>0</v>
      </c>
      <c r="W24" s="512" t="s">
        <v>90</v>
      </c>
      <c r="X24" s="513">
        <f>SUM(R24:U27)/2</f>
        <v>0</v>
      </c>
    </row>
    <row r="25" spans="4:24" ht="16.5" hidden="1" customHeight="1" thickBot="1" x14ac:dyDescent="0.3">
      <c r="D25" s="233" t="s">
        <v>31</v>
      </c>
      <c r="E25" s="212"/>
      <c r="F25" s="197"/>
      <c r="G25" s="197"/>
      <c r="H25" s="197"/>
      <c r="K25" s="202" t="s">
        <v>31</v>
      </c>
      <c r="L25" s="234"/>
      <c r="M25" s="235">
        <f t="shared" si="1"/>
        <v>0</v>
      </c>
      <c r="N25" s="235">
        <f>IF(G25&gt;101,102,IF(G25&gt;84,85,IF(G25&gt;67,68,IF(G25&gt;50,51,IF(G25&gt;33,34,IF(G25&gt;16,17,0))))))</f>
        <v>0</v>
      </c>
      <c r="O25" s="235">
        <f t="shared" si="2"/>
        <v>0</v>
      </c>
      <c r="P25" s="236"/>
      <c r="Q25" s="244" t="s">
        <v>31</v>
      </c>
      <c r="R25" s="245">
        <f t="shared" si="0"/>
        <v>0</v>
      </c>
      <c r="S25" s="511"/>
      <c r="T25" s="511"/>
      <c r="U25" s="511"/>
      <c r="W25" s="512"/>
      <c r="X25" s="513"/>
    </row>
    <row r="26" spans="4:24" ht="17.25" hidden="1" customHeight="1" thickTop="1" thickBot="1" x14ac:dyDescent="0.3">
      <c r="D26" s="233" t="s">
        <v>32</v>
      </c>
      <c r="E26" s="212"/>
      <c r="F26" s="197"/>
      <c r="G26" s="197"/>
      <c r="H26" s="197"/>
      <c r="K26" s="202" t="s">
        <v>32</v>
      </c>
      <c r="L26" s="234"/>
      <c r="M26" s="235">
        <f t="shared" ref="M26:M27" si="9">IF(F26&gt;101,102,IF(F26&gt;84,85,IF(F26&gt;67,68,IF(F26&gt;50,51,IF(F26&gt;33,34,IF(F26&gt;16,17,0))))))</f>
        <v>0</v>
      </c>
      <c r="N26" s="235">
        <f>IF(G26&gt;101,102,IF(G26&gt;84,85,IF(G26&gt;67,68,IF(G26&gt;50,51,IF(G26&gt;33,34,IF(G26&gt;16,17,0))))))</f>
        <v>0</v>
      </c>
      <c r="O26" s="235">
        <f t="shared" si="2"/>
        <v>0</v>
      </c>
      <c r="P26" s="236"/>
      <c r="Q26" s="246" t="s">
        <v>32</v>
      </c>
      <c r="R26" s="247">
        <f t="shared" si="0"/>
        <v>0</v>
      </c>
      <c r="S26" s="514">
        <f>IF((ROUNDDOWN((SUM(M26:M27)/51)-(R26+R27),0.9))&lt;0,0,(ROUNDDOWN((SUM(M26:M27)/51)-(R26+R27),0.9)))</f>
        <v>0</v>
      </c>
      <c r="T26" s="514">
        <f>IF((ROUNDDOWN((SUM(O26:O27)/51)-(R26+R27),0.9))&lt;0,0,(ROUNDDOWN((SUM(O26:O27)/51)-(R26+R27),0.9)))</f>
        <v>0</v>
      </c>
      <c r="U26" s="514">
        <f t="shared" ref="U26" si="10">IF((ROUNDDOWN((SUM(L26:O27)/51)-(R26+R27+S26+T26),0.9))&lt;0,0,ROUNDDOWN((SUM(L26:O27)/51)-(R26+R27+S26+T26),0.9))</f>
        <v>0</v>
      </c>
      <c r="W26" s="512"/>
      <c r="X26" s="513"/>
    </row>
    <row r="27" spans="4:24" ht="16.5" hidden="1" customHeight="1" thickBot="1" x14ac:dyDescent="0.3">
      <c r="D27" s="233" t="s">
        <v>33</v>
      </c>
      <c r="E27" s="212"/>
      <c r="F27" s="197"/>
      <c r="G27" s="197"/>
      <c r="H27" s="197"/>
      <c r="K27" s="202" t="s">
        <v>33</v>
      </c>
      <c r="L27" s="234"/>
      <c r="M27" s="235">
        <f t="shared" si="9"/>
        <v>0</v>
      </c>
      <c r="N27" s="235">
        <f>IF(G27&gt;101,102,IF(G27&gt;84,85,IF(G27&gt;67,68,IF(G27&gt;50,51,IF(G27&gt;33,34,IF(G27&gt;16,17,0))))))</f>
        <v>0</v>
      </c>
      <c r="O27" s="235">
        <f t="shared" si="2"/>
        <v>0</v>
      </c>
      <c r="P27" s="236"/>
      <c r="Q27" s="256" t="s">
        <v>33</v>
      </c>
      <c r="R27" s="257">
        <f t="shared" si="0"/>
        <v>0</v>
      </c>
      <c r="S27" s="515"/>
      <c r="T27" s="515"/>
      <c r="U27" s="515"/>
      <c r="W27" s="512"/>
      <c r="X27" s="513"/>
    </row>
    <row r="28" spans="4:24" ht="14.25" hidden="1" customHeight="1" x14ac:dyDescent="0.2"/>
    <row r="29" spans="4:24" ht="21" thickBot="1" x14ac:dyDescent="0.35">
      <c r="D29" s="530"/>
      <c r="E29" s="530"/>
      <c r="F29" s="530"/>
      <c r="G29" s="530"/>
      <c r="H29" s="530"/>
      <c r="Q29" s="524" t="s">
        <v>118</v>
      </c>
      <c r="R29" s="524"/>
      <c r="S29" s="524"/>
      <c r="T29" s="524"/>
      <c r="U29" s="524"/>
    </row>
    <row r="30" spans="4:24" ht="15.75" thickBot="1" x14ac:dyDescent="0.25">
      <c r="D30" s="525" t="s">
        <v>3</v>
      </c>
      <c r="E30" s="258">
        <v>80</v>
      </c>
      <c r="F30" s="232">
        <v>92</v>
      </c>
      <c r="G30" s="232">
        <v>95</v>
      </c>
      <c r="H30" s="232" t="s">
        <v>50</v>
      </c>
      <c r="K30" s="386" t="s">
        <v>3</v>
      </c>
      <c r="L30" s="231">
        <v>80</v>
      </c>
      <c r="M30" s="231">
        <v>92</v>
      </c>
      <c r="N30" s="231">
        <v>95</v>
      </c>
      <c r="O30" s="231" t="s">
        <v>50</v>
      </c>
      <c r="Q30" s="386" t="s">
        <v>3</v>
      </c>
      <c r="R30" s="527" t="s">
        <v>95</v>
      </c>
      <c r="S30" s="527" t="s">
        <v>96</v>
      </c>
      <c r="T30" s="527" t="s">
        <v>97</v>
      </c>
      <c r="U30" s="529" t="s">
        <v>98</v>
      </c>
      <c r="W30" s="386" t="s">
        <v>99</v>
      </c>
      <c r="X30" s="386" t="s">
        <v>100</v>
      </c>
    </row>
    <row r="31" spans="4:24" ht="15.75" thickBot="1" x14ac:dyDescent="0.25">
      <c r="D31" s="526"/>
      <c r="E31" s="258" t="s">
        <v>7</v>
      </c>
      <c r="F31" s="232" t="s">
        <v>7</v>
      </c>
      <c r="G31" s="232" t="s">
        <v>7</v>
      </c>
      <c r="H31" s="232" t="s">
        <v>7</v>
      </c>
      <c r="K31" s="386"/>
      <c r="L31" s="201" t="s">
        <v>7</v>
      </c>
      <c r="M31" s="201" t="s">
        <v>7</v>
      </c>
      <c r="N31" s="201" t="s">
        <v>7</v>
      </c>
      <c r="O31" s="201" t="s">
        <v>7</v>
      </c>
      <c r="Q31" s="386"/>
      <c r="R31" s="528"/>
      <c r="S31" s="528"/>
      <c r="T31" s="528"/>
      <c r="U31" s="529"/>
      <c r="W31" s="386"/>
      <c r="X31" s="386"/>
    </row>
    <row r="32" spans="4:24" ht="16.5" thickBot="1" x14ac:dyDescent="0.3">
      <c r="D32" s="233" t="s">
        <v>15</v>
      </c>
      <c r="E32" s="295"/>
      <c r="F32" s="194">
        <f>'التمام الصباحي'!K8+'التمام الصباحي'!M8</f>
        <v>30</v>
      </c>
      <c r="G32" s="194">
        <f>'التمام الصباحي'!Q8+'التمام الصباحي'!S8</f>
        <v>14</v>
      </c>
      <c r="H32" s="291"/>
      <c r="K32" s="233" t="s">
        <v>15</v>
      </c>
      <c r="L32" s="234"/>
      <c r="M32" s="235">
        <f>IF(F32&gt;101,102,IF(F32&gt;84,85,IF(F32&gt;67,68,IF(F32&gt;50,51,IF(F32&gt;33,34,IF(F32&gt;16,17,0))))))</f>
        <v>17</v>
      </c>
      <c r="N32" s="235">
        <f>IF(G32&gt;101,102,IF(G32&gt;84,85,IF(G32&gt;67,68,IF(G32&gt;50,51,IF(G32&gt;33,34,IF(G32&gt;16,17,0))))))</f>
        <v>0</v>
      </c>
      <c r="O32" s="234"/>
      <c r="P32" s="236"/>
      <c r="Q32" s="237" t="s">
        <v>15</v>
      </c>
      <c r="R32" s="238">
        <f t="shared" ref="R32:R51" si="11">ROUNDDOWN((SUM(L32:O32)/51),0.9)</f>
        <v>0</v>
      </c>
      <c r="S32" s="239"/>
      <c r="T32" s="240"/>
      <c r="U32" s="241"/>
      <c r="W32" s="518" t="s">
        <v>101</v>
      </c>
      <c r="X32" s="521">
        <f>SUM(R32:U39)/3</f>
        <v>3.3333333333333335</v>
      </c>
    </row>
    <row r="33" spans="3:24" ht="16.5" thickBot="1" x14ac:dyDescent="0.3">
      <c r="D33" s="233" t="s">
        <v>163</v>
      </c>
      <c r="E33" s="295"/>
      <c r="F33" s="194">
        <f>'التمام الصباحي'!K9+'التمام الصباحي'!M9</f>
        <v>53</v>
      </c>
      <c r="G33" s="194">
        <f>'التمام الصباحي'!Q9+'التمام الصباحي'!S9</f>
        <v>26</v>
      </c>
      <c r="H33" s="291"/>
      <c r="K33" s="233" t="s">
        <v>163</v>
      </c>
      <c r="L33" s="234"/>
      <c r="M33" s="235">
        <f t="shared" ref="M33:M58" si="12">IF(F33&gt;101,102,IF(F33&gt;84,85,IF(F33&gt;67,68,IF(F33&gt;50,51,IF(F33&gt;33,34,IF(F33&gt;16,17,0))))))</f>
        <v>51</v>
      </c>
      <c r="N33" s="235">
        <f t="shared" ref="N33:O58" si="13">IF(G33&gt;101,102,IF(G33&gt;84,85,IF(G33&gt;67,68,IF(G33&gt;50,51,IF(G33&gt;33,34,IF(G33&gt;16,17,0))))))</f>
        <v>17</v>
      </c>
      <c r="O33" s="234"/>
      <c r="P33" s="236"/>
      <c r="Q33" s="250" t="s">
        <v>163</v>
      </c>
      <c r="R33" s="238">
        <f t="shared" si="11"/>
        <v>1</v>
      </c>
      <c r="S33" s="252"/>
      <c r="T33" s="253"/>
      <c r="U33" s="254"/>
      <c r="W33" s="519"/>
      <c r="X33" s="522"/>
    </row>
    <row r="34" spans="3:24" ht="17.25" thickTop="1" thickBot="1" x14ac:dyDescent="0.3">
      <c r="D34" s="233" t="s">
        <v>158</v>
      </c>
      <c r="E34" s="194">
        <f>'التمام الصباحي'!E10+'التمام الصباحي'!G10</f>
        <v>65</v>
      </c>
      <c r="F34" s="194">
        <f>'التمام الصباحي'!K10+'التمام الصباحي'!M10</f>
        <v>47</v>
      </c>
      <c r="G34" s="194">
        <f>'التمام الصباحي'!Q10+'التمام الصباحي'!S10</f>
        <v>8.5</v>
      </c>
      <c r="H34" s="354"/>
      <c r="K34" s="233" t="s">
        <v>158</v>
      </c>
      <c r="L34" s="235">
        <f>IF(E34&gt;101,102,IF(E34&gt;84,85,IF(E34&gt;67,68,IF(E34&gt;50,51,IF(E34&gt;33,34,IF(E34&gt;16,17,0))))))</f>
        <v>51</v>
      </c>
      <c r="M34" s="235">
        <f t="shared" si="12"/>
        <v>34</v>
      </c>
      <c r="N34" s="235">
        <f t="shared" si="13"/>
        <v>0</v>
      </c>
      <c r="O34" s="234"/>
      <c r="P34" s="236"/>
      <c r="Q34" s="242" t="s">
        <v>16</v>
      </c>
      <c r="R34" s="243">
        <f t="shared" si="11"/>
        <v>1</v>
      </c>
      <c r="S34" s="510">
        <f>IF((ROUNDDOWN((SUM(M34:M35)/51)-(R34+R35),0.9))&lt;0,0,(ROUNDDOWN((SUM(M34:M35)/51)-(R34+R35),0.9)))</f>
        <v>0</v>
      </c>
      <c r="T34" s="510">
        <f>IF((ROUNDDOWN((SUM(O34:O35)/51)-(R34+R35),0.9))&lt;0,0,(ROUNDDOWN((SUM(O34:O35)/51)-(R34+R35),0.9)))</f>
        <v>0</v>
      </c>
      <c r="U34" s="510">
        <f>IF((ROUNDDOWN((SUM(L34:O35)/51)-(R34+R35+S34+T34),0.9))&lt;0,0,ROUNDDOWN((SUM(L34:O35)/51)-(R34+R35+S34+T34),0.9))</f>
        <v>1</v>
      </c>
      <c r="W34" s="519"/>
      <c r="X34" s="522"/>
    </row>
    <row r="35" spans="3:24" ht="16.5" thickBot="1" x14ac:dyDescent="0.3">
      <c r="C35">
        <f>C36</f>
        <v>0</v>
      </c>
      <c r="D35" s="233" t="s">
        <v>16</v>
      </c>
      <c r="E35" s="194">
        <f>'التمام الصباحي'!E11+'التمام الصباحي'!G11</f>
        <v>20</v>
      </c>
      <c r="F35" s="194">
        <f>'التمام الصباحي'!K11+'التمام الصباحي'!M11</f>
        <v>50</v>
      </c>
      <c r="G35" s="194">
        <f>'التمام الصباحي'!Q11+'التمام الصباحي'!S11</f>
        <v>20</v>
      </c>
      <c r="H35" s="194">
        <f>'التمام الصباحي'!W11+'التمام الصباحي'!Y11</f>
        <v>24</v>
      </c>
      <c r="K35" s="233" t="s">
        <v>16</v>
      </c>
      <c r="L35" s="235">
        <f t="shared" ref="L35:L53" si="14">IF(E35&gt;101,102,IF(E35&gt;84,85,IF(E35&gt;67,68,IF(E35&gt;50,51,IF(E35&gt;33,34,IF(E35&gt;16,17,0))))))</f>
        <v>17</v>
      </c>
      <c r="M35" s="235">
        <f t="shared" si="12"/>
        <v>34</v>
      </c>
      <c r="N35" s="235">
        <f t="shared" si="13"/>
        <v>17</v>
      </c>
      <c r="O35" s="235">
        <f t="shared" si="13"/>
        <v>17</v>
      </c>
      <c r="P35" s="236"/>
      <c r="Q35" s="244" t="s">
        <v>17</v>
      </c>
      <c r="R35" s="245">
        <f t="shared" si="11"/>
        <v>1</v>
      </c>
      <c r="S35" s="511"/>
      <c r="T35" s="511"/>
      <c r="U35" s="511"/>
      <c r="W35" s="519"/>
      <c r="X35" s="522"/>
    </row>
    <row r="36" spans="3:24" ht="17.25" thickTop="1" thickBot="1" x14ac:dyDescent="0.3">
      <c r="D36" s="233" t="s">
        <v>17</v>
      </c>
      <c r="E36" s="295"/>
      <c r="F36" s="194">
        <f>'التمام الصباحي'!K12+'التمام الصباحي'!M12</f>
        <v>71</v>
      </c>
      <c r="G36" s="194">
        <f>'التمام الصباحي'!Q12+'التمام الصباحي'!S12</f>
        <v>17</v>
      </c>
      <c r="H36" s="354"/>
      <c r="K36" s="233" t="s">
        <v>17</v>
      </c>
      <c r="L36" s="234"/>
      <c r="M36" s="235">
        <f t="shared" si="12"/>
        <v>68</v>
      </c>
      <c r="N36" s="235">
        <f t="shared" si="13"/>
        <v>17</v>
      </c>
      <c r="O36" s="234"/>
      <c r="P36" s="236"/>
      <c r="Q36" s="246" t="s">
        <v>18</v>
      </c>
      <c r="R36" s="247">
        <f t="shared" si="11"/>
        <v>1</v>
      </c>
      <c r="S36" s="514">
        <f>IF((ROUNDDOWN((SUM(M36:M37)/51)-(R36+R37),0.9))&lt;0,0,(ROUNDDOWN((SUM(M36:M37)/51)-(R36+R37),0.9)))</f>
        <v>0</v>
      </c>
      <c r="T36" s="514">
        <f t="shared" ref="T36" si="15">IF((ROUNDDOWN((SUM(O36:O37)/51)-(R36+R37),0.9))&lt;0,0,(ROUNDDOWN((SUM(O36:O37)/51)-(R36+R37),0.9)))</f>
        <v>0</v>
      </c>
      <c r="U36" s="514">
        <f t="shared" ref="U36" si="16">IF((ROUNDDOWN((SUM(L36:O37)/51)-(R36+R37+S36+T36),0.9))&lt;0,0,ROUNDDOWN((SUM(L36:O37)/51)-(R36+R37+S36+T36),0.9))</f>
        <v>1</v>
      </c>
      <c r="W36" s="519"/>
      <c r="X36" s="522"/>
    </row>
    <row r="37" spans="3:24" ht="16.5" thickBot="1" x14ac:dyDescent="0.3">
      <c r="D37" s="233" t="s">
        <v>18</v>
      </c>
      <c r="E37" s="194">
        <f>'التمام الصباحي'!E13+'التمام الصباحي'!G13</f>
        <v>22</v>
      </c>
      <c r="F37" s="194">
        <f>'التمام الصباحي'!K13+'التمام الصباحي'!M13</f>
        <v>59</v>
      </c>
      <c r="G37" s="295"/>
      <c r="H37" s="194">
        <f>'التمام الصباحي'!W13+'التمام الصباحي'!Y13</f>
        <v>27</v>
      </c>
      <c r="K37" s="233" t="s">
        <v>18</v>
      </c>
      <c r="L37" s="235">
        <f t="shared" si="14"/>
        <v>17</v>
      </c>
      <c r="M37" s="235">
        <f t="shared" si="12"/>
        <v>51</v>
      </c>
      <c r="N37" s="234"/>
      <c r="O37" s="235">
        <f t="shared" ref="O37:O38" si="17">IF(H37&gt;101,102,IF(H37&gt;84,85,IF(H37&gt;67,68,IF(H37&gt;50,51,IF(H37&gt;33,34,IF(H37&gt;16,17,0))))))</f>
        <v>17</v>
      </c>
      <c r="P37" s="236"/>
      <c r="Q37" s="248" t="s">
        <v>19</v>
      </c>
      <c r="R37" s="249">
        <f t="shared" si="11"/>
        <v>1</v>
      </c>
      <c r="S37" s="514"/>
      <c r="T37" s="514"/>
      <c r="U37" s="514"/>
      <c r="W37" s="519"/>
      <c r="X37" s="522"/>
    </row>
    <row r="38" spans="3:24" ht="17.25" thickTop="1" thickBot="1" x14ac:dyDescent="0.3">
      <c r="D38" s="233" t="s">
        <v>19</v>
      </c>
      <c r="E38" s="194">
        <f>'التمام الصباحي'!E14+'التمام الصباحي'!G14</f>
        <v>17</v>
      </c>
      <c r="F38" s="194">
        <f>'التمام الصباحي'!K14+'التمام الصباحي'!M14</f>
        <v>37</v>
      </c>
      <c r="G38" s="295"/>
      <c r="H38" s="194">
        <f>'التمام الصباحي'!W14+'التمام الصباحي'!Y14</f>
        <v>44</v>
      </c>
      <c r="K38" s="233" t="s">
        <v>19</v>
      </c>
      <c r="L38" s="235">
        <f t="shared" si="14"/>
        <v>17</v>
      </c>
      <c r="M38" s="235">
        <f t="shared" si="12"/>
        <v>34</v>
      </c>
      <c r="N38" s="234"/>
      <c r="O38" s="235">
        <f t="shared" si="17"/>
        <v>34</v>
      </c>
      <c r="P38" s="236"/>
      <c r="Q38" s="242" t="s">
        <v>20</v>
      </c>
      <c r="R38" s="243">
        <f t="shared" si="11"/>
        <v>1</v>
      </c>
      <c r="S38" s="510">
        <f>IF((ROUNDDOWN((SUM(M38:M39)/51)-(R38+R39),0.9))&lt;0,0,(ROUNDDOWN((SUM(M38:M39)/51)-(R38+R39),0.9)))</f>
        <v>0</v>
      </c>
      <c r="T38" s="510">
        <f t="shared" ref="T38" si="18">IF((ROUNDDOWN((SUM(O38:O39)/51)-(R38+R39),0.9))&lt;0,0,(ROUNDDOWN((SUM(O38:O39)/51)-(R38+R39),0.9)))</f>
        <v>0</v>
      </c>
      <c r="U38" s="510">
        <f t="shared" ref="U38" si="19">IF((ROUNDDOWN((SUM(L38:O39)/51)-(R38+R39+S38+T38),0.9))&lt;0,0,ROUNDDOWN((SUM(L38:O39)/51)-(R38+R39+S38+T38),0.9))</f>
        <v>0</v>
      </c>
      <c r="W38" s="519"/>
      <c r="X38" s="522"/>
    </row>
    <row r="39" spans="3:24" ht="16.5" thickBot="1" x14ac:dyDescent="0.3">
      <c r="D39" s="233" t="s">
        <v>20</v>
      </c>
      <c r="E39" s="295"/>
      <c r="F39" s="194">
        <f>'التمام الصباحي'!K15+'التمام الصباحي'!M15</f>
        <v>97</v>
      </c>
      <c r="G39" s="194">
        <f>'التمام الصباحي'!Q15+'التمام الصباحي'!S15</f>
        <v>28</v>
      </c>
      <c r="H39" s="354"/>
      <c r="K39" s="233" t="s">
        <v>20</v>
      </c>
      <c r="L39" s="234"/>
      <c r="M39" s="235">
        <f t="shared" si="12"/>
        <v>85</v>
      </c>
      <c r="N39" s="235">
        <f t="shared" si="13"/>
        <v>17</v>
      </c>
      <c r="O39" s="234"/>
      <c r="P39" s="236"/>
      <c r="Q39" s="244" t="s">
        <v>21</v>
      </c>
      <c r="R39" s="245">
        <f t="shared" si="11"/>
        <v>2</v>
      </c>
      <c r="S39" s="511"/>
      <c r="T39" s="511"/>
      <c r="U39" s="511"/>
      <c r="W39" s="520"/>
      <c r="X39" s="523"/>
    </row>
    <row r="40" spans="3:24" ht="16.5" thickBot="1" x14ac:dyDescent="0.3">
      <c r="D40" s="233" t="s">
        <v>21</v>
      </c>
      <c r="E40" s="295"/>
      <c r="F40" s="194">
        <f>'التمام الصباحي'!K16+'التمام الصباحي'!M16</f>
        <v>49</v>
      </c>
      <c r="G40" s="194">
        <f>'التمام الصباحي'!Q16+'التمام الصباحي'!S16</f>
        <v>18</v>
      </c>
      <c r="H40" s="194">
        <f>'التمام الصباحي'!W16+'التمام الصباحي'!Y16</f>
        <v>55</v>
      </c>
      <c r="K40" s="233" t="s">
        <v>21</v>
      </c>
      <c r="L40" s="234"/>
      <c r="M40" s="235">
        <f t="shared" si="12"/>
        <v>34</v>
      </c>
      <c r="N40" s="235">
        <f t="shared" si="13"/>
        <v>17</v>
      </c>
      <c r="O40" s="235">
        <f t="shared" si="13"/>
        <v>51</v>
      </c>
      <c r="P40" s="236"/>
      <c r="Q40" s="250" t="s">
        <v>22</v>
      </c>
      <c r="R40" s="251">
        <f t="shared" si="11"/>
        <v>2</v>
      </c>
      <c r="S40" s="252"/>
      <c r="T40" s="253"/>
      <c r="U40" s="254"/>
      <c r="W40" s="512" t="s">
        <v>85</v>
      </c>
      <c r="X40" s="521">
        <f>SUM(R40:U43)/3</f>
        <v>1.6666666666666667</v>
      </c>
    </row>
    <row r="41" spans="3:24" ht="17.25" thickTop="1" thickBot="1" x14ac:dyDescent="0.3">
      <c r="D41" s="233" t="s">
        <v>22</v>
      </c>
      <c r="E41" s="295"/>
      <c r="F41" s="194">
        <f>'التمام الصباحي'!K17+'التمام الصباحي'!M17</f>
        <v>35</v>
      </c>
      <c r="G41" s="194">
        <f>'التمام الصباحي'!Q17+'التمام الصباحي'!S17</f>
        <v>23</v>
      </c>
      <c r="H41" s="194">
        <f>'التمام الصباحي'!W17+'التمام الصباحي'!Y17</f>
        <v>84</v>
      </c>
      <c r="K41" s="233" t="s">
        <v>22</v>
      </c>
      <c r="L41" s="234"/>
      <c r="M41" s="235">
        <f t="shared" si="12"/>
        <v>34</v>
      </c>
      <c r="N41" s="235">
        <f t="shared" si="13"/>
        <v>17</v>
      </c>
      <c r="O41" s="235">
        <f t="shared" si="13"/>
        <v>68</v>
      </c>
      <c r="P41" s="236"/>
      <c r="Q41" s="246" t="s">
        <v>23</v>
      </c>
      <c r="R41" s="247">
        <f t="shared" si="11"/>
        <v>2</v>
      </c>
      <c r="S41" s="516">
        <f>IF((ROUNDDOWN((SUM(M41:M42)/51)-(R41+R42),0.9))&lt;0,0,(ROUNDDOWN((SUM(M41:M42)/51)-(R41+R42),0.9)))</f>
        <v>0</v>
      </c>
      <c r="T41" s="516">
        <f>IF((ROUNDDOWN((SUM(O41:O42)/51)-(R41+R42),0.9))&lt;0,0,(ROUNDDOWN((SUM(O41:O42)/51)-(R41+R42),0.9)))</f>
        <v>0</v>
      </c>
      <c r="U41" s="516">
        <f>IF((ROUNDDOWN((SUM(L41:O42)/51)-(R41+R42+S41+T41),0.9))&lt;0,0,ROUNDDOWN((SUM(L41:O42)/51)-(R41+R42+S41+T41),0.9))</f>
        <v>1</v>
      </c>
      <c r="W41" s="512"/>
      <c r="X41" s="522"/>
    </row>
    <row r="42" spans="3:24" ht="16.5" thickBot="1" x14ac:dyDescent="0.3">
      <c r="D42" s="233" t="s">
        <v>23</v>
      </c>
      <c r="E42" s="295"/>
      <c r="F42" s="194">
        <f>'التمام الصباحي'!K18+'التمام الصباحي'!M18</f>
        <v>26</v>
      </c>
      <c r="G42" s="194">
        <f>'التمام الصباحي'!Q18+'التمام الصباحي'!S18</f>
        <v>22</v>
      </c>
      <c r="H42" s="194">
        <f>'التمام الصباحي'!W18+'التمام الصباحي'!Y18</f>
        <v>15</v>
      </c>
      <c r="K42" s="233" t="s">
        <v>23</v>
      </c>
      <c r="L42" s="234"/>
      <c r="M42" s="235">
        <f t="shared" si="12"/>
        <v>17</v>
      </c>
      <c r="N42" s="235">
        <f t="shared" si="13"/>
        <v>17</v>
      </c>
      <c r="O42" s="235">
        <f t="shared" si="13"/>
        <v>0</v>
      </c>
      <c r="P42" s="236"/>
      <c r="Q42" s="248" t="s">
        <v>24</v>
      </c>
      <c r="R42" s="249">
        <f t="shared" si="11"/>
        <v>0</v>
      </c>
      <c r="S42" s="517"/>
      <c r="T42" s="517"/>
      <c r="U42" s="517"/>
      <c r="W42" s="512"/>
      <c r="X42" s="522"/>
    </row>
    <row r="43" spans="3:24" ht="16.5" thickBot="1" x14ac:dyDescent="0.3">
      <c r="D43" s="233" t="s">
        <v>24</v>
      </c>
      <c r="E43" s="295"/>
      <c r="F43" s="194">
        <f>'التمام الصباحي'!K19+'التمام الصباحي'!M19</f>
        <v>32</v>
      </c>
      <c r="G43" s="194">
        <f>'التمام الصباحي'!Q19+'التمام الصباحي'!S19</f>
        <v>15</v>
      </c>
      <c r="H43" s="354"/>
      <c r="K43" s="233" t="s">
        <v>24</v>
      </c>
      <c r="L43" s="234"/>
      <c r="M43" s="235">
        <f t="shared" si="12"/>
        <v>17</v>
      </c>
      <c r="N43" s="235">
        <f t="shared" si="13"/>
        <v>0</v>
      </c>
      <c r="O43" s="234"/>
      <c r="P43" s="236"/>
      <c r="Q43" s="250" t="s">
        <v>26</v>
      </c>
      <c r="R43" s="251">
        <f t="shared" si="11"/>
        <v>0</v>
      </c>
      <c r="S43" s="252"/>
      <c r="T43" s="253"/>
      <c r="U43" s="255"/>
      <c r="W43" s="512"/>
      <c r="X43" s="523"/>
    </row>
    <row r="44" spans="3:24" ht="17.25" thickTop="1" thickBot="1" x14ac:dyDescent="0.3">
      <c r="D44" s="233" t="s">
        <v>26</v>
      </c>
      <c r="E44" s="295"/>
      <c r="F44" s="194">
        <f>'التمام الصباحي'!K20+'التمام الصباحي'!M20</f>
        <v>30</v>
      </c>
      <c r="G44" s="194">
        <f>'التمام الصباحي'!Q20+'التمام الصباحي'!S20</f>
        <v>17</v>
      </c>
      <c r="H44" s="194">
        <f>'التمام الصباحي'!W20+'التمام الصباحي'!Y20</f>
        <v>39</v>
      </c>
      <c r="K44" s="233" t="s">
        <v>26</v>
      </c>
      <c r="L44" s="234"/>
      <c r="M44" s="235">
        <f t="shared" si="12"/>
        <v>17</v>
      </c>
      <c r="N44" s="235">
        <f t="shared" si="13"/>
        <v>17</v>
      </c>
      <c r="O44" s="235">
        <f t="shared" si="13"/>
        <v>34</v>
      </c>
      <c r="P44" s="236"/>
      <c r="Q44" s="242" t="s">
        <v>25</v>
      </c>
      <c r="R44" s="243">
        <f t="shared" si="11"/>
        <v>1</v>
      </c>
      <c r="S44" s="510">
        <f>IF((ROUNDDOWN((SUM(M44:M45)/51)-(R44+R45),0.9))&lt;0,0,(ROUNDDOWN((SUM(M44:M45)/51)-(R44+R45),0.9)))</f>
        <v>0</v>
      </c>
      <c r="T44" s="510">
        <f>IF((ROUNDDOWN((SUM(O44:O45)/51)-(R44+R45),0.9))&lt;0,0,(ROUNDDOWN((SUM(O44:O45)/51)-(R44+R45),0.9)))</f>
        <v>0</v>
      </c>
      <c r="U44" s="510">
        <f>IF((ROUNDDOWN((SUM(L44:O45)/51)-(R44+R45+S44+T44),0.9))&lt;0,0,ROUNDDOWN((SUM(L44:O45)/51)-(R44+R45+S44+T44),0.9))</f>
        <v>1</v>
      </c>
      <c r="W44" s="512" t="s">
        <v>102</v>
      </c>
      <c r="X44" s="521">
        <f>SUM(R44:U47)/3</f>
        <v>1.6666666666666667</v>
      </c>
    </row>
    <row r="45" spans="3:24" ht="16.5" thickBot="1" x14ac:dyDescent="0.3">
      <c r="D45" s="233" t="s">
        <v>25</v>
      </c>
      <c r="E45" s="295"/>
      <c r="F45" s="194">
        <f>'التمام الصباحي'!K21+'التمام الصباحي'!M21</f>
        <v>48</v>
      </c>
      <c r="G45" s="194">
        <f>'التمام الصباحي'!Q21+'التمام الصباحي'!S21</f>
        <v>22</v>
      </c>
      <c r="H45" s="194">
        <f>'التمام الصباحي'!W21+'التمام الصباحي'!Y21</f>
        <v>40</v>
      </c>
      <c r="K45" s="233" t="s">
        <v>25</v>
      </c>
      <c r="L45" s="234"/>
      <c r="M45" s="235">
        <f t="shared" si="12"/>
        <v>34</v>
      </c>
      <c r="N45" s="235">
        <f t="shared" si="13"/>
        <v>17</v>
      </c>
      <c r="O45" s="235">
        <f t="shared" si="13"/>
        <v>34</v>
      </c>
      <c r="P45" s="236"/>
      <c r="Q45" s="244" t="s">
        <v>27</v>
      </c>
      <c r="R45" s="245">
        <f t="shared" si="11"/>
        <v>1</v>
      </c>
      <c r="S45" s="511"/>
      <c r="T45" s="511"/>
      <c r="U45" s="511"/>
      <c r="W45" s="512"/>
      <c r="X45" s="522"/>
    </row>
    <row r="46" spans="3:24" ht="17.25" thickTop="1" thickBot="1" x14ac:dyDescent="0.3">
      <c r="D46" s="233" t="s">
        <v>27</v>
      </c>
      <c r="E46" s="295"/>
      <c r="F46" s="194">
        <f>'التمام الصباحي'!K22+'التمام الصباحي'!M22</f>
        <v>50</v>
      </c>
      <c r="G46" s="194">
        <f>'التمام الصباحي'!Q22+'التمام الصباحي'!S22</f>
        <v>16.399999999999999</v>
      </c>
      <c r="H46" s="354"/>
      <c r="K46" s="233" t="s">
        <v>27</v>
      </c>
      <c r="L46" s="234"/>
      <c r="M46" s="235">
        <f t="shared" si="12"/>
        <v>34</v>
      </c>
      <c r="N46" s="235">
        <f t="shared" si="13"/>
        <v>17</v>
      </c>
      <c r="O46" s="234"/>
      <c r="P46" s="236"/>
      <c r="Q46" s="246" t="s">
        <v>28</v>
      </c>
      <c r="R46" s="247">
        <f t="shared" si="11"/>
        <v>1</v>
      </c>
      <c r="S46" s="514">
        <f>IF((ROUNDDOWN((SUM(M46:M47)/51)-(R46+R47),0.9))&lt;0,0,(ROUNDDOWN((SUM(M46:M47)/51)-(R46+R47),0.9)))</f>
        <v>0</v>
      </c>
      <c r="T46" s="516">
        <f>IF((ROUNDDOWN((SUM(O46:O47)/51)-(R46+R47),0.9))&lt;0,0,(ROUNDDOWN((SUM(O46:O47)/51)-(R46+R47),0.9)))</f>
        <v>0</v>
      </c>
      <c r="U46" s="516">
        <f t="shared" ref="U46" si="20">IF((ROUNDDOWN((SUM(L46:O47)/51)-(R46+R47+S46+T46),0.9))&lt;0,0,ROUNDDOWN((SUM(L46:O47)/51)-(R46+R47+S46+T46),0.9))</f>
        <v>0</v>
      </c>
      <c r="W46" s="512"/>
      <c r="X46" s="522"/>
    </row>
    <row r="47" spans="3:24" ht="16.5" thickBot="1" x14ac:dyDescent="0.3">
      <c r="D47" s="233" t="s">
        <v>28</v>
      </c>
      <c r="E47" s="194">
        <f>'التمام الصباحي'!E23+'التمام الصباحي'!G23</f>
        <v>11.6</v>
      </c>
      <c r="F47" s="194">
        <f>'التمام الصباحي'!K23+'التمام الصباحي'!M23</f>
        <v>20</v>
      </c>
      <c r="G47" s="295"/>
      <c r="H47" s="194">
        <f>'التمام الصباحي'!W23+'التمام الصباحي'!Y23</f>
        <v>45</v>
      </c>
      <c r="K47" s="233" t="s">
        <v>28</v>
      </c>
      <c r="L47" s="235">
        <f t="shared" si="14"/>
        <v>0</v>
      </c>
      <c r="M47" s="235">
        <f t="shared" si="12"/>
        <v>17</v>
      </c>
      <c r="N47" s="234"/>
      <c r="O47" s="235">
        <f t="shared" ref="O47:O53" si="21">IF(H47&gt;101,102,IF(H47&gt;84,85,IF(H47&gt;67,68,IF(H47&gt;50,51,IF(H47&gt;33,34,IF(H47&gt;16,17,0))))))</f>
        <v>34</v>
      </c>
      <c r="P47" s="236"/>
      <c r="Q47" s="248" t="s">
        <v>29</v>
      </c>
      <c r="R47" s="249">
        <f t="shared" si="11"/>
        <v>1</v>
      </c>
      <c r="S47" s="514"/>
      <c r="T47" s="517"/>
      <c r="U47" s="517"/>
      <c r="W47" s="512"/>
      <c r="X47" s="523"/>
    </row>
    <row r="48" spans="3:24" ht="17.25" thickTop="1" thickBot="1" x14ac:dyDescent="0.3">
      <c r="D48" s="233" t="s">
        <v>29</v>
      </c>
      <c r="E48" s="295"/>
      <c r="F48" s="194">
        <f>'التمام الصباحي'!K24+'التمام الصباحي'!M24</f>
        <v>34</v>
      </c>
      <c r="G48" s="295"/>
      <c r="H48" s="194">
        <f>'التمام الصباحي'!W24+'التمام الصباحي'!Y24</f>
        <v>27</v>
      </c>
      <c r="K48" s="233" t="s">
        <v>29</v>
      </c>
      <c r="L48" s="234"/>
      <c r="M48" s="235">
        <f t="shared" si="12"/>
        <v>34</v>
      </c>
      <c r="N48" s="234"/>
      <c r="O48" s="235">
        <f t="shared" si="21"/>
        <v>17</v>
      </c>
      <c r="P48" s="236"/>
      <c r="Q48" s="242" t="s">
        <v>30</v>
      </c>
      <c r="R48" s="243">
        <f t="shared" si="11"/>
        <v>1</v>
      </c>
      <c r="S48" s="510">
        <f>IF((ROUNDDOWN((SUM(M48:M49)/51)-(R48+R49),0.9))&lt;0,0,(ROUNDDOWN((SUM(M48:M49)/51)-(R48+R49),0.9)))</f>
        <v>0</v>
      </c>
      <c r="T48" s="510">
        <f>IF((ROUNDDOWN((SUM(O48:O49)/51)-(R48+R49),0.9))&lt;0,0,(ROUNDDOWN((SUM(O48:O49)/51)-(R48+R49),0.9)))</f>
        <v>0</v>
      </c>
      <c r="U48" s="510">
        <f t="shared" ref="U48" si="22">IF((ROUNDDOWN((SUM(L48:O49)/51)-(R48+R49+S48+T48),0.9))&lt;0,0,ROUNDDOWN((SUM(L48:O49)/51)-(R48+R49+S48+T48),0.9))</f>
        <v>0</v>
      </c>
      <c r="W48" s="512" t="s">
        <v>90</v>
      </c>
      <c r="X48" s="521">
        <f>SUM(R48:U51)/3</f>
        <v>2.3333333333333335</v>
      </c>
    </row>
    <row r="49" spans="4:24" ht="16.5" thickBot="1" x14ac:dyDescent="0.3">
      <c r="D49" s="233" t="s">
        <v>30</v>
      </c>
      <c r="E49" s="295"/>
      <c r="F49" s="194">
        <f>'التمام الصباحي'!K25+'التمام الصباحي'!M25</f>
        <v>23</v>
      </c>
      <c r="G49" s="194">
        <f>'التمام الصباحي'!Q25+'التمام الصباحي'!S25</f>
        <v>12</v>
      </c>
      <c r="H49" s="194">
        <f>'التمام الصباحي'!W25+'التمام الصباحي'!Y25</f>
        <v>109</v>
      </c>
      <c r="K49" s="233" t="s">
        <v>30</v>
      </c>
      <c r="L49" s="234"/>
      <c r="M49" s="235">
        <f t="shared" si="12"/>
        <v>17</v>
      </c>
      <c r="N49" s="235">
        <f t="shared" si="13"/>
        <v>0</v>
      </c>
      <c r="O49" s="235">
        <f t="shared" si="21"/>
        <v>102</v>
      </c>
      <c r="P49" s="236"/>
      <c r="Q49" s="244" t="s">
        <v>31</v>
      </c>
      <c r="R49" s="245">
        <f t="shared" si="11"/>
        <v>2</v>
      </c>
      <c r="S49" s="511"/>
      <c r="T49" s="511"/>
      <c r="U49" s="511"/>
      <c r="W49" s="512"/>
      <c r="X49" s="522"/>
    </row>
    <row r="50" spans="4:24" ht="17.25" thickTop="1" thickBot="1" x14ac:dyDescent="0.3">
      <c r="D50" s="233" t="s">
        <v>31</v>
      </c>
      <c r="E50" s="295"/>
      <c r="F50" s="194">
        <f>'التمام الصباحي'!K26+'التمام الصباحي'!M26</f>
        <v>39</v>
      </c>
      <c r="G50" s="194">
        <f>'التمام الصباحي'!Q26+'التمام الصباحي'!S26</f>
        <v>18</v>
      </c>
      <c r="H50" s="194">
        <f>'التمام الصباحي'!W26+'التمام الصباحي'!Y26</f>
        <v>95</v>
      </c>
      <c r="K50" s="233" t="s">
        <v>31</v>
      </c>
      <c r="L50" s="234"/>
      <c r="M50" s="235">
        <f t="shared" si="12"/>
        <v>34</v>
      </c>
      <c r="N50" s="235">
        <f t="shared" si="13"/>
        <v>17</v>
      </c>
      <c r="O50" s="235">
        <f t="shared" si="21"/>
        <v>85</v>
      </c>
      <c r="P50" s="236"/>
      <c r="Q50" s="246" t="s">
        <v>32</v>
      </c>
      <c r="R50" s="247">
        <f t="shared" si="11"/>
        <v>2</v>
      </c>
      <c r="S50" s="514">
        <f>IF((ROUNDDOWN((SUM(M50:M51)/51)-(R50+R51),0.9))&lt;0,0,(ROUNDDOWN((SUM(M50:M51)/51)-(R50+R51),0.9)))</f>
        <v>0</v>
      </c>
      <c r="T50" s="514">
        <f>IF((ROUNDDOWN((SUM(O50:O51)/51)-(R50+R51),0.9))&lt;0,0,(ROUNDDOWN((SUM(O50:O51)/51)-(R50+R51),0.9)))</f>
        <v>0</v>
      </c>
      <c r="U50" s="514">
        <f t="shared" ref="U50" si="23">IF((ROUNDDOWN((SUM(L50:O51)/51)-(R50+R51+S50+T50),0.9))&lt;0,0,ROUNDDOWN((SUM(L50:O51)/51)-(R50+R51+S50+T50),0.9))</f>
        <v>1</v>
      </c>
      <c r="W50" s="512"/>
      <c r="X50" s="522"/>
    </row>
    <row r="51" spans="4:24" ht="16.5" thickBot="1" x14ac:dyDescent="0.3">
      <c r="D51" s="233" t="s">
        <v>32</v>
      </c>
      <c r="E51" s="295"/>
      <c r="F51" s="194">
        <f>'التمام الصباحي'!K27+'التمام الصباحي'!M27</f>
        <v>28</v>
      </c>
      <c r="G51" s="194">
        <f>'التمام الصباحي'!Q27+'التمام الصباحي'!S27</f>
        <v>10</v>
      </c>
      <c r="H51" s="194">
        <f>'التمام الصباحي'!W27+'التمام الصباحي'!Y27</f>
        <v>56</v>
      </c>
      <c r="K51" s="233" t="s">
        <v>32</v>
      </c>
      <c r="L51" s="234"/>
      <c r="M51" s="235">
        <f t="shared" si="12"/>
        <v>17</v>
      </c>
      <c r="N51" s="235">
        <f t="shared" si="13"/>
        <v>0</v>
      </c>
      <c r="O51" s="235">
        <f t="shared" si="21"/>
        <v>51</v>
      </c>
      <c r="P51" s="236"/>
      <c r="Q51" s="256" t="s">
        <v>33</v>
      </c>
      <c r="R51" s="257">
        <f t="shared" si="11"/>
        <v>1</v>
      </c>
      <c r="S51" s="515"/>
      <c r="T51" s="515"/>
      <c r="U51" s="515"/>
      <c r="W51" s="512"/>
      <c r="X51" s="523"/>
    </row>
    <row r="52" spans="4:24" ht="16.5" thickBot="1" x14ac:dyDescent="0.3">
      <c r="D52" s="233" t="s">
        <v>33</v>
      </c>
      <c r="E52" s="295"/>
      <c r="F52" s="194">
        <f>'التمام الصباحي'!K28+'التمام الصباحي'!M28</f>
        <v>16</v>
      </c>
      <c r="G52" s="194">
        <f>'التمام الصباحي'!Q28+'التمام الصباحي'!S28</f>
        <v>9</v>
      </c>
      <c r="H52" s="194">
        <f>'التمام الصباحي'!W28+'التمام الصباحي'!Y28</f>
        <v>50</v>
      </c>
      <c r="K52" s="233" t="s">
        <v>33</v>
      </c>
      <c r="L52" s="234"/>
      <c r="M52" s="235">
        <f t="shared" si="12"/>
        <v>0</v>
      </c>
      <c r="N52" s="235">
        <f t="shared" si="13"/>
        <v>0</v>
      </c>
      <c r="O52" s="235">
        <f t="shared" si="21"/>
        <v>34</v>
      </c>
    </row>
    <row r="53" spans="4:24" ht="16.5" thickBot="1" x14ac:dyDescent="0.3">
      <c r="D53" s="233" t="s">
        <v>112</v>
      </c>
      <c r="E53" s="194">
        <f>'التمام الصباحي'!E29+'التمام الصباحي'!G29</f>
        <v>20</v>
      </c>
      <c r="F53" s="194">
        <f>'التمام الصباحي'!K29+'التمام الصباحي'!M29</f>
        <v>31</v>
      </c>
      <c r="G53" s="194">
        <f>'التمام الصباحي'!Q29+'التمام الصباحي'!S29</f>
        <v>12</v>
      </c>
      <c r="H53" s="194">
        <f>'التمام الصباحي'!W29+'التمام الصباحي'!Y29</f>
        <v>52</v>
      </c>
      <c r="K53" s="233" t="s">
        <v>112</v>
      </c>
      <c r="L53" s="235">
        <f t="shared" si="14"/>
        <v>17</v>
      </c>
      <c r="M53" s="235">
        <f t="shared" si="12"/>
        <v>17</v>
      </c>
      <c r="N53" s="235">
        <f t="shared" si="13"/>
        <v>0</v>
      </c>
      <c r="O53" s="235">
        <f t="shared" si="21"/>
        <v>51</v>
      </c>
    </row>
    <row r="54" spans="4:24" ht="16.5" thickBot="1" x14ac:dyDescent="0.3">
      <c r="D54" s="233" t="s">
        <v>121</v>
      </c>
      <c r="E54" s="295"/>
      <c r="F54" s="194">
        <f>'التمام الصباحي'!K30+'التمام الصباحي'!M30</f>
        <v>23</v>
      </c>
      <c r="G54" s="194">
        <f>'التمام الصباحي'!Q30+'التمام الصباحي'!S30</f>
        <v>9</v>
      </c>
      <c r="H54" s="354"/>
      <c r="K54" s="233" t="s">
        <v>121</v>
      </c>
      <c r="L54" s="234"/>
      <c r="M54" s="235">
        <f t="shared" si="12"/>
        <v>17</v>
      </c>
      <c r="N54" s="235">
        <f t="shared" si="13"/>
        <v>0</v>
      </c>
      <c r="O54" s="234"/>
    </row>
    <row r="55" spans="4:24" ht="16.5" thickBot="1" x14ac:dyDescent="0.3">
      <c r="D55" s="353" t="s">
        <v>168</v>
      </c>
      <c r="E55" s="295"/>
      <c r="F55" s="194">
        <f>'التمام الصباحي'!K31+'التمام الصباحي'!M31</f>
        <v>37</v>
      </c>
      <c r="G55" s="194">
        <f>'التمام الصباحي'!Q31+'التمام الصباحي'!S31</f>
        <v>17</v>
      </c>
      <c r="H55" s="354"/>
      <c r="K55" s="353" t="s">
        <v>168</v>
      </c>
      <c r="L55" s="234"/>
      <c r="M55" s="235">
        <f t="shared" si="12"/>
        <v>34</v>
      </c>
      <c r="N55" s="235">
        <f t="shared" si="13"/>
        <v>17</v>
      </c>
      <c r="O55" s="234"/>
    </row>
    <row r="56" spans="4:24" ht="16.5" thickBot="1" x14ac:dyDescent="0.3">
      <c r="D56" s="353" t="s">
        <v>169</v>
      </c>
      <c r="E56" s="295"/>
      <c r="F56" s="194">
        <f>'التمام الصباحي'!K32+'التمام الصباحي'!M32</f>
        <v>66</v>
      </c>
      <c r="G56" s="194">
        <f>'التمام الصباحي'!Q32+'التمام الصباحي'!S32</f>
        <v>36</v>
      </c>
      <c r="H56" s="354"/>
      <c r="K56" s="353" t="s">
        <v>169</v>
      </c>
      <c r="L56" s="234"/>
      <c r="M56" s="235">
        <f t="shared" si="12"/>
        <v>51</v>
      </c>
      <c r="N56" s="235">
        <f t="shared" si="13"/>
        <v>34</v>
      </c>
      <c r="O56" s="234"/>
    </row>
    <row r="57" spans="4:24" ht="16.5" thickBot="1" x14ac:dyDescent="0.3">
      <c r="D57" s="318" t="s">
        <v>170</v>
      </c>
      <c r="E57" s="295"/>
      <c r="F57" s="194">
        <f>'التمام الصباحي'!K33+'التمام الصباحي'!M33</f>
        <v>53</v>
      </c>
      <c r="G57" s="194">
        <f>'التمام الصباحي'!Q33+'التمام الصباحي'!S33</f>
        <v>28</v>
      </c>
      <c r="H57" s="354"/>
      <c r="K57" s="318" t="s">
        <v>170</v>
      </c>
      <c r="L57" s="234"/>
      <c r="M57" s="235">
        <f t="shared" si="12"/>
        <v>51</v>
      </c>
      <c r="N57" s="235">
        <f t="shared" si="13"/>
        <v>17</v>
      </c>
      <c r="O57" s="234"/>
    </row>
    <row r="58" spans="4:24" ht="16.5" thickBot="1" x14ac:dyDescent="0.3">
      <c r="D58" s="318" t="s">
        <v>171</v>
      </c>
      <c r="E58" s="295"/>
      <c r="F58" s="194">
        <f>'التمام الصباحي'!K34+'التمام الصباحي'!M34</f>
        <v>97</v>
      </c>
      <c r="G58" s="194">
        <f>'التمام الصباحي'!Q34+'التمام الصباحي'!S34</f>
        <v>45</v>
      </c>
      <c r="H58" s="354"/>
      <c r="K58" s="318" t="s">
        <v>171</v>
      </c>
      <c r="L58" s="234"/>
      <c r="M58" s="235">
        <f t="shared" si="12"/>
        <v>85</v>
      </c>
      <c r="N58" s="235">
        <f t="shared" si="13"/>
        <v>34</v>
      </c>
      <c r="O58" s="234"/>
    </row>
  </sheetData>
  <customSheetViews>
    <customSheetView guid="{18C0F7AC-4BB1-46DE-8A01-8E31FE0585FC}" hiddenRows="1" hiddenColumns="1" topLeftCell="A29">
      <selection activeCell="S53" sqref="S53"/>
      <pageMargins left="0.7" right="0.7" top="0.75" bottom="0.75" header="0.3" footer="0.3"/>
      <pageSetup paperSize="9" orientation="portrait" r:id="rId1"/>
    </customSheetView>
    <customSheetView guid="{8317B6D8-8A99-4EB0-9DBC-8E9AE0170A4B}" hiddenColumns="1" topLeftCell="A4">
      <selection activeCell="F33" sqref="F33"/>
      <pageMargins left="0.7" right="0.7" top="0.75" bottom="0.75" header="0.3" footer="0.3"/>
      <pageSetup paperSize="9" orientation="portrait" r:id="rId2"/>
    </customSheetView>
  </customSheetViews>
  <mergeCells count="86">
    <mergeCell ref="S44:S45"/>
    <mergeCell ref="T44:T45"/>
    <mergeCell ref="U44:U45"/>
    <mergeCell ref="W44:W47"/>
    <mergeCell ref="X44:X47"/>
    <mergeCell ref="S46:S47"/>
    <mergeCell ref="T46:T47"/>
    <mergeCell ref="U46:U47"/>
    <mergeCell ref="S48:S49"/>
    <mergeCell ref="T48:T49"/>
    <mergeCell ref="U48:U49"/>
    <mergeCell ref="W48:W51"/>
    <mergeCell ref="X48:X51"/>
    <mergeCell ref="S50:S51"/>
    <mergeCell ref="T50:T51"/>
    <mergeCell ref="U50:U51"/>
    <mergeCell ref="W30:W31"/>
    <mergeCell ref="X30:X31"/>
    <mergeCell ref="W32:W39"/>
    <mergeCell ref="X32:X39"/>
    <mergeCell ref="S34:S35"/>
    <mergeCell ref="T34:T35"/>
    <mergeCell ref="U34:U35"/>
    <mergeCell ref="S36:S37"/>
    <mergeCell ref="T36:T37"/>
    <mergeCell ref="U36:U37"/>
    <mergeCell ref="S38:S39"/>
    <mergeCell ref="T38:T39"/>
    <mergeCell ref="U38:U39"/>
    <mergeCell ref="W40:W43"/>
    <mergeCell ref="X40:X43"/>
    <mergeCell ref="S41:S42"/>
    <mergeCell ref="T41:T42"/>
    <mergeCell ref="U41:U42"/>
    <mergeCell ref="D29:H29"/>
    <mergeCell ref="Q29:U29"/>
    <mergeCell ref="D30:D31"/>
    <mergeCell ref="K30:K31"/>
    <mergeCell ref="Q30:Q31"/>
    <mergeCell ref="R30:R31"/>
    <mergeCell ref="S30:S31"/>
    <mergeCell ref="T30:T31"/>
    <mergeCell ref="U30:U31"/>
    <mergeCell ref="Q5:U5"/>
    <mergeCell ref="D6:D7"/>
    <mergeCell ref="K6:K7"/>
    <mergeCell ref="Q6:Q7"/>
    <mergeCell ref="R6:R7"/>
    <mergeCell ref="S6:S7"/>
    <mergeCell ref="T6:T7"/>
    <mergeCell ref="U6:U7"/>
    <mergeCell ref="D5:H5"/>
    <mergeCell ref="W6:W7"/>
    <mergeCell ref="X6:X7"/>
    <mergeCell ref="W8:W15"/>
    <mergeCell ref="X8:X15"/>
    <mergeCell ref="S10:S11"/>
    <mergeCell ref="T10:T11"/>
    <mergeCell ref="U10:U11"/>
    <mergeCell ref="S12:S13"/>
    <mergeCell ref="T12:T13"/>
    <mergeCell ref="U12:U13"/>
    <mergeCell ref="S14:S15"/>
    <mergeCell ref="T14:T15"/>
    <mergeCell ref="U14:U15"/>
    <mergeCell ref="S20:S21"/>
    <mergeCell ref="T20:T21"/>
    <mergeCell ref="U20:U21"/>
    <mergeCell ref="W20:W23"/>
    <mergeCell ref="X20:X23"/>
    <mergeCell ref="S22:S23"/>
    <mergeCell ref="T22:T23"/>
    <mergeCell ref="U22:U23"/>
    <mergeCell ref="W16:W19"/>
    <mergeCell ref="X16:X19"/>
    <mergeCell ref="S17:S18"/>
    <mergeCell ref="T17:T18"/>
    <mergeCell ref="U17:U18"/>
    <mergeCell ref="S24:S25"/>
    <mergeCell ref="T24:T25"/>
    <mergeCell ref="U24:U25"/>
    <mergeCell ref="W24:W27"/>
    <mergeCell ref="X24:X27"/>
    <mergeCell ref="S26:S27"/>
    <mergeCell ref="T26:T27"/>
    <mergeCell ref="U26:U27"/>
  </mergeCells>
  <conditionalFormatting sqref="N24:N27 N10:N11 O10 M8:N9 L10:M13 O19:O20 O22:O27 M23:M27 L22:M22 M14:N21 O15:O17 O12:O13">
    <cfRule type="cellIs" dxfId="19" priority="15" operator="lessThan">
      <formula>1</formula>
    </cfRule>
    <cfRule type="cellIs" dxfId="18" priority="16" operator="greaterThan">
      <formula>1</formula>
    </cfRule>
  </conditionalFormatting>
  <conditionalFormatting sqref="M32:N36 M39:N46 M49:N58 M47:M48 L34:L35 L47 L53 L37:M38">
    <cfRule type="cellIs" dxfId="17" priority="13" operator="lessThan">
      <formula>1</formula>
    </cfRule>
    <cfRule type="cellIs" dxfId="16" priority="14" operator="greaterThan">
      <formula>1</formula>
    </cfRule>
  </conditionalFormatting>
  <conditionalFormatting sqref="O35 O37:O38 O40:O42 O44:O45 O47:O53">
    <cfRule type="cellIs" dxfId="15" priority="1" operator="lessThan">
      <formula>1</formula>
    </cfRule>
    <cfRule type="cellIs" dxfId="14" priority="2" operator="greaterThan">
      <formula>1</formula>
    </cfRule>
  </conditionalFormatting>
  <pageMargins left="0.7" right="0.7" top="0.75" bottom="0.75" header="0.3" footer="0.3"/>
  <pageSetup paperSize="9" orientation="portrait"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B5"/>
  <sheetViews>
    <sheetView rightToLeft="1" workbookViewId="0">
      <selection activeCell="B5" sqref="B5"/>
    </sheetView>
  </sheetViews>
  <sheetFormatPr defaultRowHeight="14.25" x14ac:dyDescent="0.2"/>
  <cols>
    <col min="5" max="5" width="10" customWidth="1"/>
  </cols>
  <sheetData>
    <row r="1" spans="1:2" x14ac:dyDescent="0.2">
      <c r="A1" t="s">
        <v>99</v>
      </c>
      <c r="B1" t="s">
        <v>100</v>
      </c>
    </row>
    <row r="2" spans="1:2" x14ac:dyDescent="0.2">
      <c r="A2" t="s">
        <v>101</v>
      </c>
      <c r="B2" s="138">
        <f>'خطة الإمداد'!X32</f>
        <v>3.3333333333333335</v>
      </c>
    </row>
    <row r="3" spans="1:2" x14ac:dyDescent="0.2">
      <c r="A3" t="s">
        <v>85</v>
      </c>
      <c r="B3" s="138">
        <f>'خطة الإمداد'!X40</f>
        <v>1.6666666666666667</v>
      </c>
    </row>
    <row r="4" spans="1:2" x14ac:dyDescent="0.2">
      <c r="A4" t="s">
        <v>109</v>
      </c>
      <c r="B4" s="138">
        <f>'خطة الإمداد'!X44</f>
        <v>1.6666666666666667</v>
      </c>
    </row>
    <row r="5" spans="1:2" x14ac:dyDescent="0.2">
      <c r="A5" t="s">
        <v>90</v>
      </c>
      <c r="B5" s="138">
        <f>'خطة الإمداد'!X48</f>
        <v>2.3333333333333335</v>
      </c>
    </row>
  </sheetData>
  <customSheetViews>
    <customSheetView guid="{18C0F7AC-4BB1-46DE-8A01-8E31FE0585FC}" state="hidden">
      <selection activeCell="B5" sqref="B5"/>
      <pageMargins left="0.7" right="0.7" top="0.75" bottom="0.75" header="0.3" footer="0.3"/>
    </customSheetView>
    <customSheetView guid="{8317B6D8-8A99-4EB0-9DBC-8E9AE0170A4B}" state="hidden">
      <selection activeCell="B6" sqref="B6"/>
      <pageMargins left="0.7" right="0.7" top="0.75" bottom="0.75" header="0.3" footer="0.3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24</vt:i4>
      </vt:variant>
      <vt:variant>
        <vt:lpstr>Named Ranges</vt:lpstr>
      </vt:variant>
      <vt:variant>
        <vt:i4>3</vt:i4>
      </vt:variant>
    </vt:vector>
  </HeadingPairs>
  <TitlesOfParts>
    <vt:vector size="27" baseType="lpstr">
      <vt:lpstr>التمام الصباحي</vt:lpstr>
      <vt:lpstr>المبيعات</vt:lpstr>
      <vt:lpstr>موقف المحطات</vt:lpstr>
      <vt:lpstr>أخذ التمام الصباحي</vt:lpstr>
      <vt:lpstr>تمام محطات الوكلاء</vt:lpstr>
      <vt:lpstr>عائد محطات الوكلاء</vt:lpstr>
      <vt:lpstr>المستودعات</vt:lpstr>
      <vt:lpstr>خطة الإمداد</vt:lpstr>
      <vt:lpstr>الاحتياجات اكسس</vt:lpstr>
      <vt:lpstr>سعت 1700</vt:lpstr>
      <vt:lpstr>سعت 2200</vt:lpstr>
      <vt:lpstr>احتياجات المحطات</vt:lpstr>
      <vt:lpstr>المسافات المقطوعة</vt:lpstr>
      <vt:lpstr>منطقة القاهرة</vt:lpstr>
      <vt:lpstr>القاهرة اكسس</vt:lpstr>
      <vt:lpstr>منطقة السويس</vt:lpstr>
      <vt:lpstr>السويس اكسس</vt:lpstr>
      <vt:lpstr>منطقة الاسكندرية</vt:lpstr>
      <vt:lpstr>الاسكندرية اكسس</vt:lpstr>
      <vt:lpstr>منطقة طنطا</vt:lpstr>
      <vt:lpstr>منطقة الزقاريق</vt:lpstr>
      <vt:lpstr>توزيع الخطة</vt:lpstr>
      <vt:lpstr>Sheet1</vt:lpstr>
      <vt:lpstr>طنطا اكسس</vt:lpstr>
      <vt:lpstr>'سعت 1700'!Print_Area</vt:lpstr>
      <vt:lpstr>'سعت 2200'!Print_Area</vt:lpstr>
      <vt:lpstr>'موقف المحطات'!Print_Area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pp</dc:creator>
  <cp:lastModifiedBy>pp</cp:lastModifiedBy>
  <cp:lastPrinted>2019-09-10T09:10:37Z</cp:lastPrinted>
  <dcterms:created xsi:type="dcterms:W3CDTF">2018-10-24T15:18:02Z</dcterms:created>
  <dcterms:modified xsi:type="dcterms:W3CDTF">2019-09-11T03:28:28Z</dcterms:modified>
</cp:coreProperties>
</file>