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firstSheet="1" activeTab="6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p - Personal View" guid="{8317B6D8-8A99-4EB0-9DBC-8E9AE0170A4B}" mergeInterval="0" personalView="1" xWindow="527" yWindow="257" windowWidth="1314" windowHeight="542" tabRatio="631" activeSheetId="4"/>
    <customWorkbookView name="pp - Personal View" guid="{18C0F7AC-4BB1-46DE-8A01-8E31FE0585FC}" mergeInterval="0" personalView="1" maximized="1" xWindow="-8" yWindow="-8" windowWidth="1456" windowHeight="8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G23" i="6" l="1"/>
  <c r="K22" i="6"/>
  <c r="I22" i="6"/>
  <c r="J22" i="6"/>
  <c r="G18" i="5"/>
  <c r="H14" i="6"/>
  <c r="H16" i="6" s="1"/>
  <c r="H24" i="6" s="1"/>
  <c r="K14" i="6"/>
  <c r="J14" i="6"/>
  <c r="G16" i="6"/>
  <c r="J15" i="6"/>
  <c r="E16" i="6"/>
  <c r="E24" i="6" s="1"/>
  <c r="I15" i="6"/>
  <c r="K15" i="6"/>
  <c r="J13" i="6"/>
  <c r="K13" i="6"/>
  <c r="I13" i="6"/>
  <c r="F16" i="6"/>
  <c r="K21" i="6"/>
  <c r="J21" i="6"/>
  <c r="J23" i="6" s="1"/>
  <c r="I21" i="6"/>
  <c r="F23" i="6"/>
  <c r="K17" i="6"/>
  <c r="I17" i="6"/>
  <c r="J17" i="6"/>
  <c r="G20" i="6"/>
  <c r="G24" i="6" s="1"/>
  <c r="J19" i="6"/>
  <c r="I19" i="6"/>
  <c r="K19" i="6"/>
  <c r="K18" i="6"/>
  <c r="F20" i="6"/>
  <c r="F24" i="6" s="1"/>
  <c r="I18" i="6"/>
  <c r="I20" i="6" s="1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F39" i="1" s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X39" i="1" l="1"/>
  <c r="R39" i="1"/>
  <c r="C44" i="1" s="1"/>
  <c r="I23" i="6"/>
  <c r="K23" i="6"/>
  <c r="I14" i="6"/>
  <c r="I16" i="6" s="1"/>
  <c r="J16" i="6"/>
  <c r="K16" i="6"/>
  <c r="D39" i="1"/>
  <c r="K20" i="6"/>
  <c r="J20" i="6"/>
  <c r="P39" i="1"/>
  <c r="J39" i="1"/>
  <c r="V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K24" i="6" l="1"/>
  <c r="I24" i="6"/>
  <c r="J24" i="6"/>
  <c r="H39" i="1"/>
  <c r="C41" i="1"/>
  <c r="C45" i="1" s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W16" i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H40" i="8" l="1"/>
  <c r="O40" i="8" s="1"/>
  <c r="W39" i="1"/>
  <c r="G40" i="8"/>
  <c r="N40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C28" i="2"/>
  <c r="D28" i="2" s="1"/>
  <c r="Q33" i="2" l="1"/>
  <c r="V20" i="7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15" i="2" l="1"/>
  <c r="J1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F8" i="2"/>
  <c r="K8" i="2" l="1"/>
  <c r="G8" i="2"/>
  <c r="J8" i="2"/>
  <c r="H8" i="2"/>
  <c r="R33" i="8"/>
  <c r="B28" i="22"/>
  <c r="O8" i="2" l="1"/>
  <c r="Q8" i="2" s="1"/>
  <c r="K12" i="22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15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E55" i="3"/>
  <c r="C39" i="2"/>
  <c r="F56" i="3"/>
  <c r="O12" i="2"/>
  <c r="Q12" i="2" s="1"/>
  <c r="E56" i="3"/>
  <c r="D55" i="3"/>
  <c r="Q15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<sst xmlns="http://schemas.openxmlformats.org/spreadsheetml/2006/main" count="1166" uniqueCount="247">
  <si>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</si>
  <si>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</si>
  <si>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</si>
  <si>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</si>
  <si>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</si>
  <si>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</si>
  <si>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</si>
  <si>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</si>
  <si>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</si>
  <si>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</si>
  <si>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</si>
  <si>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</si>
  <si>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</si>
  <si>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</si>
  <si>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</si>
  <si>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</si>
  <si>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</si>
  <si>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</si>
  <si>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</si>
  <si>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</si>
  <si>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</si>
  <si>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</si>
  <si>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</si>
  <si>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</si>
  <si>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</si>
  <si>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</si>
  <si>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</si>
  <si>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</si>
  <si>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</si>
  <si>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</si>
  <si>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</si>
  <si>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</si>
  <si>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</si>
  <si>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</si>
  <si>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</si>
  <si>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</si>
  <si>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</si>
  <si>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</si>
  <si>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</si>
  <si>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</si>
  <si>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</si>
  <si>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</si>
  <si>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</si>
  <si>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</si>
  <si>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</si>
  <si>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</si>
  <si>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</si>
  <si>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</si>
  <si>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</si>
  <si>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</si>
  <si>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</si>
  <si>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</si>
  <si>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</si>
  <si>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</si>
  <si>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</si>
  <si>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</si>
  <si>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</si>
  <si>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</si>
  <si>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</si>
  <si>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</si>
  <si>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</si>
  <si>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</si>
  <si>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</si>
  <si>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</si>
  <si>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</si>
  <si>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</si>
  <si>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</si>
  <si>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</si>
  <si>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</si>
  <si>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</si>
  <si>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</si>
  <si>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</si>
  <si>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</si>
  <si>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</si>
  <si>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</si>
  <si>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</si>
  <si>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</si>
  <si>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</si>
  <si>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</si>
  <si>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</si>
  <si>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</si>
  <si>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</si>
  <si>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</si>
  <si>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</si>
  <si>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</si>
  <si>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</si>
  <si>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</si>
  <si>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</si>
  <si>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</si>
  <si>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</si>
  <si>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</si>
  <si>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</si>
  <si>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</si>
  <si>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</si>
  <si>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</si>
  <si>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</si>
  <si>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</si>
  <si>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</si>
  <si>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</si>
  <si>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</si>
  <si>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</si>
  <si>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</si>
  <si>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</si>
  <si>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</si>
  <si>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</si>
  <si>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</si>
  <si>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</si>
  <si>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</si>
  <si>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</si>
  <si>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</si>
  <si>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</si>
  <si>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</si>
  <si>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</si>
  <si>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</si>
  <si>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</si>
  <si>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</si>
  <si>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</si>
  <si>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</si>
  <si>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</si>
  <si>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</si>
  <si>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</si>
  <si>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</si>
  <si>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</si>
  <si>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</si>
  <si>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</si>
  <si>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</si>
  <si>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</si>
  <si>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</si>
  <si>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</si>
  <si>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</si>
  <si>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</si>
  <si>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</si>
  <si>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</si>
  <si>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</si>
  <si>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</si>
  <si>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</si>
  <si>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</si>
  <si>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</si>
  <si>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</si>
  <si>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</si>
  <si>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</si>
  <si>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</si>
  <si>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</si>
  <si>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</si>
  <si>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</si>
  <si>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</si>
  <si>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</si>
  <si>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</si>
  <si>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</si>
  <si>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</si>
  <si>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</si>
  <si>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</si>
  <si>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</si>
  <si>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</si>
  <si>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</si>
  <si>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</si>
  <si>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</si>
  <si>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</si>
  <si>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</si>
  <si>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</si>
  <si>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</si>
  <si>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</si>
  <si>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</si>
  <si>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</si>
  <si>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</si>
  <si>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</si>
  <si>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</si>
  <si>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</si>
  <si>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</si>
  <si>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</si>
  <si>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</si>
  <si>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</si>
  <si>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</si>
  <si>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</si>
  <si>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</si>
  <si>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</si>
  <si>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</si>
  <si>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</si>
  <si>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</si>
  <si>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</si>
  <si>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</si>
  <si>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</si>
  <si>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</si>
  <si>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</si>
  <si>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</si>
  <si>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</si>
  <si>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</si>
  <si>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</si>
  <si>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</si>
  <si>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</si>
  <si>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</si>
  <si>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</si>
  <si>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</si>
  <si>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</si>
  <si>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</si>
  <si>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</si>
  <si>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</si>
  <si>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</si>
  <si>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</si>
  <si>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</si>
  <si>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</si>
  <si>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</si>
  <si>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</si>
  <si>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</si>
  <si>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</si>
  <si>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</si>
  <si>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</si>
  <si>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</si>
  <si>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</si>
  <si>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</si>
  <si>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</si>
  <si>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</si>
  <si>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</si>
  <si>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</si>
  <si>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</si>
  <si>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</si>
  <si>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</si>
  <si>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</si>
  <si>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 xml:space="preserve">عميد اسامه </t>
  </si>
  <si>
    <t>عميد/اشرف</t>
  </si>
  <si>
    <t>نقيب محمود</t>
  </si>
  <si>
    <t>عقيد / محمد عيسي</t>
  </si>
  <si>
    <t>عقيد طارق</t>
  </si>
  <si>
    <t xml:space="preserve">احمد الدسوقي </t>
  </si>
  <si>
    <t>عميد محمد</t>
  </si>
  <si>
    <t>نقيب صلاح</t>
  </si>
  <si>
    <t xml:space="preserve">نقيب ايمن </t>
  </si>
  <si>
    <t>ذ</t>
  </si>
  <si>
    <t>جندي عبد الله</t>
  </si>
  <si>
    <t>سامح محمود</t>
  </si>
  <si>
    <t>نقيب علاء</t>
  </si>
  <si>
    <t xml:space="preserve">عميد / اشرف </t>
  </si>
  <si>
    <t xml:space="preserve">رائد / محمد </t>
  </si>
  <si>
    <t xml:space="preserve">عميد / خالد </t>
  </si>
  <si>
    <t xml:space="preserve">محمد </t>
  </si>
  <si>
    <t>جندي مصطفي</t>
  </si>
  <si>
    <t>م ماركو</t>
  </si>
  <si>
    <t>1840bis</t>
  </si>
  <si>
    <t xml:space="preserve">مصطفي </t>
  </si>
  <si>
    <t xml:space="preserve">اكرم </t>
  </si>
  <si>
    <t>عقيد احمد</t>
  </si>
  <si>
    <t>جندي حاتم</t>
  </si>
  <si>
    <t>رائد ايهاب</t>
  </si>
  <si>
    <t>ظ زرق</t>
  </si>
  <si>
    <t>عقيد حسام</t>
  </si>
  <si>
    <t>عميد اشرف</t>
  </si>
  <si>
    <t xml:space="preserve">معدل البيع اليومى لمحطات وقود شل اوت التي يديرها الوكلاء (المتحدة  - ماستر اكسبريس - اينوتك) 2019/9/11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</si>
</sst>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</sheetNames>
    <sheetDataSet>
      <sheetData sheetId="0" refreshError="1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 refreshError="1"/>
      <sheetData sheetId="3">
        <row r="2">
          <cell r="D2">
            <v>1086</v>
          </cell>
        </row>
        <row r="3">
          <cell r="D3">
            <v>2011</v>
          </cell>
        </row>
        <row r="4">
          <cell r="D4">
            <v>792</v>
          </cell>
        </row>
        <row r="5">
          <cell r="D5">
            <v>1582</v>
          </cell>
        </row>
        <row r="6">
          <cell r="D6">
            <v>0</v>
          </cell>
        </row>
        <row r="7">
          <cell r="D7">
            <v>132</v>
          </cell>
        </row>
        <row r="8">
          <cell r="D8">
            <v>66</v>
          </cell>
        </row>
        <row r="9">
          <cell r="D9">
            <v>198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 refreshError="1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 refreshError="1"/>
      <sheetData sheetId="7" refreshError="1"/>
      <sheetData sheetId="8"/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1CD8C99-B1CB-4181-827D-1B461C9897DB}" diskRevisions="1" revisionId="338" version="29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86D1F92-0081-4775-B6DE-E4D3A0EC43EA}" dateTime="2019-09-12T06:31:42" maxSheetId="25" userName="pp" r:id="rId2" minRId="1" maxRId="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EB5FB72-DEA7-4156-8DF9-580A81CD092F}" dateTime="2019-09-12T06:31:58" maxSheetId="25" userName="pp" r:id="rId3" minRId="1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6E4FE1C-4C9F-4C51-9A3D-E142A4B04FD3}" dateTime="2019-09-12T07:00:57" maxSheetId="25" userName="pp" r:id="rId4" minRId="15" maxRId="2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9470F4A-BEC1-4712-A102-801A865A4E0D}" dateTime="2019-09-12T07:36:13" maxSheetId="25" userName="pp" r:id="rId5" minRId="24" maxRId="2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C36B9AC-F0F3-4E8F-84E9-FE328FFF5961}" dateTime="2019-09-12T07:41:30" maxSheetId="25" userName="pp" r:id="rId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222D10D-6218-4D1E-B4F2-8FD5E7BB9059}" dateTime="2019-09-12T07:54:59" maxSheetId="25" userName="pp" r:id="rId7" minRId="37" maxRId="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0539E50-FF99-4872-8B21-1B95B3378EF8}" dateTime="2019-09-12T08:04:19" maxSheetId="25" userName="pp" r:id="rId8" minRId="43" maxRId="4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4012D63-4CB7-4003-ABC9-F85AD6A5E496}" dateTime="2019-09-12T08:16:15" maxSheetId="25" userName="pp" r:id="rId9" minRId="49" maxRId="6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D8C4E2C-2C02-4F32-B62A-DD8D16580DBF}" dateTime="2019-09-12T08:26:19" maxSheetId="25" userName="pp" r:id="rId10" minRId="67" maxRId="7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3E32BD7-94EC-448D-861D-58A1D1FAE603}" dateTime="2019-09-12T08:27:33" maxSheetId="25" userName="pp" r:id="rId11" minRId="72" maxRId="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F3FE872-26C0-4801-BC34-78F539E828B1}" dateTime="2019-09-12T08:43:18" maxSheetId="25" userName="pp" r:id="rId12" minRId="78" maxRId="8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4BFE19F-85F8-463E-891C-A02191FCE0C8}" dateTime="2019-09-12T08:50:38" maxSheetId="25" userName="pp" r:id="rId13" minRId="88" maxRId="9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E69599B-D1F0-4E56-8388-2690A2387AF0}" dateTime="2019-09-12T08:58:36" maxSheetId="25" userName="pp" r:id="rId14" minRId="9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6D12BA2-8701-40F1-8AEA-76B26460CB76}" dateTime="2019-09-12T09:03:49" maxSheetId="25" userName="pp" r:id="rId15" minRId="98" maxRId="10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8E3A809-FCB2-4172-A1C3-4219DF5F958B}" dateTime="2019-09-12T09:08:19" maxSheetId="25" userName="pp" r:id="rId16" minRId="104" maxRId="11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9FDB136-99E2-4566-A435-798411981E09}" dateTime="2019-09-12T09:15:47" maxSheetId="25" userName="pp" r:id="rId17" minRId="112" maxRId="12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E4562CF-C9A5-4ABB-A20C-E4B85CD3FDE7}" dateTime="2019-09-12T09:30:40" maxSheetId="25" userName="pp" r:id="rId18" minRId="126" maxRId="1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AAB7C43-3953-4BB9-B304-9F9576F91745}" dateTime="2019-09-12T09:38:15" maxSheetId="25" userName="pp" r:id="rId19" minRId="143" maxRId="14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E9CCF85-554E-4779-8BB3-EAA14B1B87E3}" dateTime="2019-09-12T09:44:47" maxSheetId="25" userName="pp" r:id="rId20" minRId="149" maxRId="17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06BFB71-E7F1-41E1-808D-FD854C8B9F6F}" dateTime="2019-09-12T10:01:34" maxSheetId="25" userName="pp" r:id="rId21" minRId="174" maxRId="19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1731DA1-3172-419A-8B38-D01D178F8496}" dateTime="2019-09-12T10:02:11" maxSheetId="25" userName="pp" r:id="rId22" minRId="19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C263526-50C4-4BAB-ADB8-252A4F37DBE2}" dateTime="2019-09-12T10:08:00" maxSheetId="25" userName="pp" r:id="rId23" minRId="196" maxRId="20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3FA8BB5-1905-42C8-999F-26ED196C5451}" dateTime="2019-09-12T10:23:10" maxSheetId="25" userName="pp" r:id="rId24" minRId="207" maxRId="21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22BFE2A-448D-467A-B9DF-4B1526D453FC}" dateTime="2019-09-12T10:41:47" maxSheetId="25" userName="pp" r:id="rId25" minRId="220" maxRId="22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269FEF6-2997-4EA0-B4AC-28832F803B4D}" dateTime="2019-09-13T11:20:36" maxSheetId="25" userName="pp" r:id="rId26" minRId="22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9B4D42A-93B1-468B-A816-52BF6DBAD28D}" dateTime="2019-09-13T22:56:09" maxSheetId="25" userName="pp" r:id="rId27" minRId="225" maxRId="25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BDEC4FB-057C-4560-BD9B-B8E22873E39E}" dateTime="2019-09-13T23:10:20" maxSheetId="25" userName="pp" r:id="rId28" minRId="257" maxRId="29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1CD8C99-B1CB-4181-827D-1B461C9897DB}" dateTime="2019-09-14T07:39:09" maxSheetId="25" userName="pp" r:id="rId29" minRId="298" maxRId="33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4">
    <nc r="H30">
      <v>38327</v>
    </nc>
  </rcc>
  <rcc rId="68" sId="4">
    <nc r="K30">
      <v>9327</v>
    </nc>
  </rcc>
  <rcc rId="69" sId="4">
    <nc r="F30">
      <v>155</v>
    </nc>
  </rcc>
  <rcc rId="70" sId="4">
    <nc r="I30">
      <v>85</v>
    </nc>
  </rcc>
  <rcc rId="71" sId="4">
    <nc r="R30" t="inlineStr">
      <is>
        <t>نقيب صلاح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4">
    <nc r="K28">
      <v>12029</v>
    </nc>
  </rcc>
  <rcc rId="73" sId="4">
    <nc r="H28">
      <v>28792</v>
    </nc>
  </rcc>
  <rcc rId="74" sId="4" numFmtId="4">
    <nc r="O28">
      <v>1580</v>
    </nc>
  </rcc>
  <rcc rId="75" sId="4">
    <nc r="F28">
      <v>153</v>
    </nc>
  </rcc>
  <rcc rId="76" sId="4">
    <nc r="I28">
      <v>80</v>
    </nc>
  </rcc>
  <rcc rId="77" sId="4">
    <nc r="R28" t="inlineStr">
      <is>
        <t xml:space="preserve">نقيب ايمن 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4">
    <nc r="S29" t="inlineStr">
      <is>
        <t>ذ</t>
      </is>
    </nc>
  </rcc>
  <rcc rId="79" sId="4">
    <nc r="H20">
      <v>1159</v>
    </nc>
  </rcc>
  <rcc rId="80" sId="4">
    <nc r="E20">
      <v>285</v>
    </nc>
  </rcc>
  <rcc rId="81" sId="4">
    <nc r="N20">
      <v>9260</v>
    </nc>
  </rcc>
  <rcc rId="82" sId="4" numFmtId="4">
    <nc r="O20">
      <v>130</v>
    </nc>
  </rcc>
  <rcc rId="83" sId="4">
    <nc r="P20">
      <v>680</v>
    </nc>
  </rcc>
  <rcc rId="84" sId="4">
    <nc r="F20">
      <v>40</v>
    </nc>
  </rcc>
  <rcc rId="85" sId="4">
    <nc r="C20">
      <v>18</v>
    </nc>
  </rcc>
  <rcc rId="86" sId="4">
    <nc r="L20">
      <v>77</v>
    </nc>
  </rcc>
  <rcc rId="87" sId="4">
    <nc r="R20" t="inlineStr">
      <is>
        <t>جندي عبد الله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4">
    <nc r="K24">
      <v>2309</v>
    </nc>
  </rcc>
  <rcc rId="89" sId="4">
    <nc r="H24">
      <v>12764</v>
    </nc>
  </rcc>
  <rcc rId="90" sId="4">
    <nc r="N24">
      <v>29761</v>
    </nc>
  </rcc>
  <rcc rId="91" sId="4">
    <nc r="I24">
      <v>19</v>
    </nc>
  </rcc>
  <rcc rId="92" sId="4">
    <nc r="F24">
      <v>68</v>
    </nc>
  </rcc>
  <rcc rId="93" sId="4">
    <nc r="L24">
      <v>157</v>
    </nc>
  </rcc>
  <rcc rId="94" sId="4" numFmtId="4">
    <nc r="O24">
      <v>1050</v>
    </nc>
  </rcc>
  <rcc rId="95" sId="4">
    <nc r="P24">
      <v>2110</v>
    </nc>
  </rcc>
  <rcc rId="96" sId="4">
    <nc r="R24" t="inlineStr">
      <is>
        <t>سامح محمود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4">
    <nc r="R25" t="inlineStr">
      <is>
        <t xml:space="preserve">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4">
    <nc r="H27">
      <v>8144</v>
    </nc>
  </rcc>
  <rcc rId="99" sId="4">
    <nc r="K27">
      <v>1506</v>
    </nc>
  </rcc>
  <rcc rId="100" sId="4" numFmtId="4">
    <nc r="O27">
      <v>195</v>
    </nc>
  </rcc>
  <rcc rId="101" sId="4">
    <nc r="F27">
      <v>103</v>
    </nc>
  </rcc>
  <rcc rId="102" sId="4">
    <nc r="I27">
      <v>34</v>
    </nc>
  </rcc>
  <rcc rId="103" sId="4">
    <nc r="R27" t="inlineStr">
      <is>
        <t>نقيب علاء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4">
    <nc r="E11">
      <v>6628</v>
    </nc>
  </rcc>
  <rcc rId="105" sId="4">
    <nc r="H11">
      <v>20299</v>
    </nc>
  </rcc>
  <rcc rId="106" sId="4">
    <nc r="N11">
      <v>20978</v>
    </nc>
  </rcc>
  <rcc rId="107" sId="4" numFmtId="4">
    <nc r="O11">
      <v>3140</v>
    </nc>
  </rcc>
  <rcc rId="108" sId="4">
    <nc r="C11">
      <v>22</v>
    </nc>
  </rcc>
  <rcc rId="109" sId="4">
    <nc r="F11">
      <v>70</v>
    </nc>
  </rcc>
  <rcc rId="110" sId="4">
    <nc r="L11">
      <v>167</v>
    </nc>
  </rcc>
  <rcc rId="111" sId="4">
    <nc r="R11" t="inlineStr">
      <is>
        <t xml:space="preserve">عميد / اشرف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4">
    <nc r="H12">
      <v>42686</v>
    </nc>
  </rcc>
  <rcc rId="113" sId="4">
    <nc r="K12">
      <v>11080</v>
    </nc>
  </rcc>
  <rcc rId="114" sId="4" numFmtId="4">
    <nc r="O12">
      <v>3290</v>
    </nc>
  </rcc>
  <rcc rId="115" sId="4">
    <nc r="F12">
      <v>170</v>
    </nc>
  </rcc>
  <rcc rId="116" sId="4">
    <nc r="I12">
      <v>57</v>
    </nc>
  </rcc>
  <rcc rId="117" sId="4">
    <nc r="R12" t="inlineStr">
      <is>
        <t xml:space="preserve">رائد / محمد </t>
      </is>
    </nc>
  </rcc>
  <rcc rId="118" sId="4">
    <nc r="H17">
      <v>3216</v>
    </nc>
  </rcc>
  <rcc rId="119" sId="4">
    <nc r="K17">
      <v>1051</v>
    </nc>
  </rcc>
  <rcc rId="120" sId="4">
    <nc r="N17">
      <v>7540</v>
    </nc>
  </rcc>
  <rcc rId="121" sId="4">
    <nc r="F17">
      <v>75</v>
    </nc>
  </rcc>
  <rcc rId="122" sId="4">
    <nc r="I17">
      <v>13</v>
    </nc>
  </rcc>
  <rcc rId="123" sId="4">
    <nc r="L17">
      <v>168</v>
    </nc>
  </rcc>
  <rcc rId="124" sId="4" numFmtId="4">
    <nc r="O17">
      <v>1359</v>
    </nc>
  </rcc>
  <rcc rId="125" sId="4">
    <nc r="R17" t="inlineStr">
      <is>
        <t xml:space="preserve">عميد / خالد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4">
    <nc r="K25">
      <v>1093</v>
    </nc>
  </rcc>
  <rcc rId="127" sId="4">
    <nc r="H25">
      <v>8050</v>
    </nc>
  </rcc>
  <rcc rId="128" sId="4">
    <nc r="N25">
      <v>24957</v>
    </nc>
  </rcc>
  <rcc rId="129" sId="4" numFmtId="4">
    <nc r="O25">
      <v>845</v>
    </nc>
  </rcc>
  <rcc rId="130" sId="4">
    <nc r="P25">
      <v>1960</v>
    </nc>
  </rcc>
  <rcc rId="131" sId="4">
    <nc r="F25">
      <v>83</v>
    </nc>
  </rcc>
  <rcc rId="132" sId="4">
    <nc r="L25">
      <v>149</v>
    </nc>
  </rcc>
  <rcc rId="133" sId="4">
    <nc r="I25">
      <v>21</v>
    </nc>
  </rcc>
  <rcc rId="134" sId="4">
    <oc r="R25" t="inlineStr">
      <is>
        <t xml:space="preserve"> </t>
      </is>
    </oc>
    <nc r="R25" t="inlineStr">
      <is>
        <t xml:space="preserve">محمد </t>
      </is>
    </nc>
  </rcc>
  <rcc rId="135" sId="4">
    <nc r="H10">
      <v>25676</v>
    </nc>
  </rcc>
  <rcc rId="136" sId="4">
    <nc r="E10">
      <v>4407</v>
    </nc>
  </rcc>
  <rcc rId="137" sId="4">
    <nc r="N10">
      <v>9699</v>
    </nc>
  </rcc>
  <rcc rId="138" sId="4" numFmtId="4">
    <nc r="O10">
      <v>2970</v>
    </nc>
  </rcc>
  <rcc rId="139" sId="4">
    <nc r="F10">
      <v>60</v>
    </nc>
  </rcc>
  <rcc rId="140" sId="4">
    <nc r="C10">
      <v>21</v>
    </nc>
  </rcc>
  <rcc rId="141" sId="4">
    <nc r="L10">
      <v>159</v>
    </nc>
  </rcc>
  <rcc rId="142" sId="4">
    <nc r="R10" t="inlineStr">
      <is>
        <t>جندي مصطفي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4">
    <nc r="H31">
      <v>60196</v>
    </nc>
  </rcc>
  <rcc rId="144" sId="4">
    <nc r="K31">
      <v>15850</v>
    </nc>
  </rcc>
  <rcc rId="145" sId="4" numFmtId="4">
    <nc r="O31">
      <v>220</v>
    </nc>
  </rcc>
  <rcc rId="146" sId="4">
    <nc r="F31">
      <v>132</v>
    </nc>
  </rcc>
  <rcc rId="147" sId="4">
    <nc r="I31">
      <v>60</v>
    </nc>
  </rcc>
  <rcc rId="148" sId="4">
    <nc r="R31" t="inlineStr">
      <is>
        <t>م ماركو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K13">
      <v>10894</v>
    </nc>
  </rcc>
  <rcc rId="2" sId="4">
    <nc r="H13">
      <v>40378</v>
    </nc>
  </rcc>
  <rcc rId="3" sId="4">
    <nc r="N13">
      <v>34569</v>
    </nc>
  </rcc>
  <rcc rId="4" sId="4">
    <nc r="I13">
      <v>32</v>
    </nc>
  </rcc>
  <rcc rId="5" sId="4">
    <nc r="F13">
      <v>140</v>
    </nc>
  </rcc>
  <rcc rId="6" sId="4">
    <nc r="L13">
      <v>106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" sId="4">
    <nc r="H6">
      <v>32312</v>
    </nc>
  </rcc>
  <rcc rId="150" sId="4">
    <nc r="K6">
      <v>9609</v>
    </nc>
  </rcc>
  <rcc rId="151" sId="4">
    <nc r="S6" t="inlineStr">
      <is>
        <t>1840bis</t>
      </is>
    </nc>
  </rcc>
  <rcc rId="152" sId="4" numFmtId="4">
    <nc r="O6">
      <v>2690</v>
    </nc>
  </rcc>
  <rcc rId="153" sId="4">
    <nc r="F6">
      <v>55</v>
    </nc>
  </rcc>
  <rcc rId="154" sId="4">
    <nc r="I6">
      <v>11</v>
    </nc>
  </rcc>
  <rcc rId="155" sId="4">
    <nc r="R6" t="inlineStr">
      <is>
        <t xml:space="preserve">مصطفي </t>
      </is>
    </nc>
  </rcc>
  <rcc rId="156" sId="4">
    <nc r="E7">
      <v>41823</v>
    </nc>
  </rcc>
  <rcc rId="157" sId="4">
    <nc r="H7">
      <v>21644</v>
    </nc>
  </rcc>
  <rcc rId="158" sId="4">
    <nc r="K7">
      <v>3964</v>
    </nc>
  </rcc>
  <rcc rId="159" sId="4" numFmtId="4">
    <nc r="O7">
      <v>3640</v>
    </nc>
  </rcc>
  <rcc rId="160" sId="4">
    <nc r="C7">
      <v>80</v>
    </nc>
  </rcc>
  <rcc rId="161" sId="4">
    <nc r="F7">
      <v>30</v>
    </nc>
  </rcc>
  <rcc rId="162" sId="4">
    <nc r="I7">
      <v>32</v>
    </nc>
  </rcc>
  <rcc rId="163" sId="4">
    <nc r="R7" t="inlineStr">
      <is>
        <t xml:space="preserve">اكرم </t>
      </is>
    </nc>
  </rcc>
  <rcc rId="164" sId="4">
    <nc r="E26">
      <v>3762</v>
    </nc>
  </rcc>
  <rcc rId="165" sId="4">
    <nc r="H26">
      <v>8533</v>
    </nc>
  </rcc>
  <rcc rId="166" sId="4">
    <nc r="K26">
      <v>1936</v>
    </nc>
  </rcc>
  <rcc rId="167" sId="4">
    <nc r="N26">
      <v>13250</v>
    </nc>
  </rcc>
  <rcc rId="168" sId="4" numFmtId="4">
    <nc r="O26">
      <v>1100</v>
    </nc>
  </rcc>
  <rcc rId="169" sId="4">
    <nc r="C26">
      <v>84</v>
    </nc>
  </rcc>
  <rcc rId="170" sId="4">
    <nc r="F26">
      <v>40</v>
    </nc>
  </rcc>
  <rcc rId="171" sId="4">
    <nc r="I26">
      <v>32</v>
    </nc>
  </rcc>
  <rcc rId="172" sId="4">
    <nc r="L26">
      <v>163</v>
    </nc>
  </rcc>
  <rcc rId="173" sId="4">
    <nc r="R26" t="inlineStr">
      <is>
        <t>عقيد احمد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" sId="4">
    <nc r="H5">
      <v>24444</v>
    </nc>
  </rcc>
  <rcc rId="175" sId="4">
    <nc r="K5">
      <v>7277</v>
    </nc>
  </rcc>
  <rcc rId="176" sId="4" numFmtId="4">
    <nc r="O5">
      <v>2090</v>
    </nc>
  </rcc>
  <rcc rId="177" sId="4">
    <nc r="F5">
      <v>42</v>
    </nc>
  </rcc>
  <rcc rId="178" sId="4">
    <nc r="I5">
      <v>9</v>
    </nc>
  </rcc>
  <rcc rId="179" sId="4">
    <nc r="R5" t="inlineStr">
      <is>
        <t>عقيد احمد</t>
      </is>
    </nc>
  </rcc>
  <rcc rId="180" sId="4">
    <nc r="H14">
      <v>6448</v>
    </nc>
  </rcc>
  <rcc rId="181" sId="4">
    <nc r="F14">
      <v>83</v>
    </nc>
  </rcc>
  <rcc rId="182" sId="4">
    <nc r="K14">
      <v>3444</v>
    </nc>
  </rcc>
  <rcc rId="183" sId="4">
    <nc r="I14">
      <v>22</v>
    </nc>
  </rcc>
  <rcc rId="184" sId="4">
    <nc r="N14">
      <v>56821</v>
    </nc>
  </rcc>
  <rcc rId="185" sId="4">
    <nc r="L14">
      <v>120</v>
    </nc>
  </rcc>
  <rcc rId="186" sId="4" numFmtId="4">
    <nc r="O14">
      <v>6890</v>
    </nc>
  </rcc>
  <rcc rId="187" sId="4">
    <nc r="R14" t="inlineStr">
      <is>
        <t>جندي حاتم</t>
      </is>
    </nc>
  </rcc>
  <rcc rId="188" sId="4">
    <nc r="H21">
      <v>3552</v>
    </nc>
  </rcc>
  <rcc rId="189" sId="4">
    <nc r="N21">
      <v>4071</v>
    </nc>
  </rcc>
  <rcc rId="190" sId="4" numFmtId="4">
    <nc r="O21">
      <v>259</v>
    </nc>
  </rcc>
  <rcc rId="191" sId="4">
    <nc r="P21">
      <v>261</v>
    </nc>
  </rcc>
  <rcc rId="192" sId="4">
    <nc r="F21">
      <v>38</v>
    </nc>
  </rcc>
  <rcc rId="193" sId="4">
    <nc r="L21">
      <v>97</v>
    </nc>
  </rcc>
  <rcc rId="194" sId="4">
    <nc r="R21" t="inlineStr">
      <is>
        <t>رائد ايهاب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4" numFmtId="4">
    <nc r="O30">
      <v>510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4">
    <nc r="K22">
      <v>1700</v>
    </nc>
  </rcc>
  <rcc rId="197" sId="4">
    <nc r="H22">
      <v>13513</v>
    </nc>
  </rcc>
  <rcc rId="198" sId="4">
    <nc r="N22">
      <v>52301</v>
    </nc>
  </rcc>
  <rcc rId="199" sId="4" numFmtId="4">
    <nc r="O22">
      <v>1470</v>
    </nc>
  </rcc>
  <rcc rId="200" sId="4">
    <nc r="P22">
      <v>4070</v>
    </nc>
  </rcc>
  <rcc rId="201" sId="4">
    <nc r="H29">
      <v>31961</v>
    </nc>
  </rcc>
  <rcc rId="202" sId="4">
    <nc r="K29">
      <v>10604</v>
    </nc>
  </rcc>
  <rcc rId="203" sId="4" numFmtId="4">
    <nc r="O29">
      <v>3500</v>
    </nc>
  </rcc>
  <rcc rId="204" sId="4">
    <nc r="F29">
      <v>145</v>
    </nc>
  </rcc>
  <rcc rId="205" sId="4">
    <nc r="I29">
      <v>77</v>
    </nc>
  </rcc>
  <rcc rId="206" sId="4">
    <nc r="R29" t="inlineStr">
      <is>
        <t>ظ زرق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4">
    <nc r="F22">
      <v>87</v>
    </nc>
  </rcc>
  <rcc rId="208" sId="4">
    <nc r="I22">
      <v>18</v>
    </nc>
  </rcc>
  <rcc rId="209" sId="4">
    <nc r="L22">
      <v>126</v>
    </nc>
  </rcc>
  <rcc rId="210" sId="4">
    <nc r="E8">
      <v>2457</v>
    </nc>
  </rcc>
  <rcc rId="211" sId="4">
    <nc r="C8">
      <v>26</v>
    </nc>
  </rcc>
  <rcc rId="212" sId="4">
    <nc r="H8">
      <v>22554</v>
    </nc>
  </rcc>
  <rcc rId="213" sId="4">
    <nc r="F8">
      <v>43</v>
    </nc>
  </rcc>
  <rcc rId="214" sId="4">
    <nc r="K8">
      <v>6572</v>
    </nc>
  </rcc>
  <rcc rId="215" sId="4">
    <nc r="I8">
      <v>20</v>
    </nc>
  </rcc>
  <rcc rId="216" sId="4">
    <nc r="N8">
      <v>2621</v>
    </nc>
  </rcc>
  <rcc rId="217" sId="4">
    <nc r="L8">
      <v>168</v>
    </nc>
  </rcc>
  <rcc rId="218" sId="4" numFmtId="4">
    <nc r="O8">
      <v>2695</v>
    </nc>
  </rcc>
  <rcc rId="219" sId="4">
    <nc r="R8" t="inlineStr">
      <is>
        <t>عقيد حسام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" sId="4">
    <oc r="I22">
      <v>18</v>
    </oc>
    <nc r="I22">
      <v>17</v>
    </nc>
  </rcc>
  <rcc rId="221" sId="4">
    <oc r="F22">
      <v>87</v>
    </oc>
    <nc r="F22">
      <v>85</v>
    </nc>
  </rcc>
  <rcc rId="222" sId="4">
    <oc r="L22">
      <v>126</v>
    </oc>
    <nc r="L22">
      <v>117</v>
    </nc>
  </rcc>
  <rcc rId="223" sId="4">
    <nc r="R22" t="inlineStr">
      <is>
        <t>عميد اشرف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2019/9/11 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4">
    <nc r="J12">
      <v>17</v>
    </nc>
  </rcc>
  <rcc rId="226" sId="4">
    <nc r="G15">
      <v>17</v>
    </nc>
  </rcc>
  <rcc rId="227" sId="4">
    <nc r="J15">
      <v>17</v>
    </nc>
  </rcc>
  <rcc rId="228" sId="4">
    <nc r="G16">
      <v>17</v>
    </nc>
  </rcc>
  <rcc rId="229" sId="4">
    <nc r="G22">
      <v>17</v>
    </nc>
  </rcc>
  <rcc rId="230" sId="4">
    <nc r="G23">
      <v>17</v>
    </nc>
  </rcc>
  <rcc rId="231" sId="4">
    <nc r="G5">
      <v>34</v>
    </nc>
  </rcc>
  <rcc rId="232" sId="4">
    <nc r="J5">
      <v>17</v>
    </nc>
  </rcc>
  <rcc rId="233" sId="4">
    <nc r="J6">
      <v>17</v>
    </nc>
  </rcc>
  <rcc rId="234" sId="4">
    <nc r="G6">
      <v>17</v>
    </nc>
  </rcc>
  <rcc rId="235" sId="4">
    <nc r="G27">
      <v>17</v>
    </nc>
  </rcc>
  <rcc rId="236" sId="4">
    <nc r="G24">
      <v>17</v>
    </nc>
  </rcc>
  <rcc rId="237" sId="4">
    <nc r="M24">
      <v>17</v>
    </nc>
  </rcc>
  <rcc rId="238" sId="4">
    <nc r="M25">
      <v>17</v>
    </nc>
  </rcc>
  <rcc rId="239" sId="4">
    <nc r="M22">
      <v>68</v>
    </nc>
  </rcc>
  <rcc rId="240" sId="4">
    <nc r="G13">
      <v>51</v>
    </nc>
  </rcc>
  <rcc rId="241" sId="4">
    <nc r="G18">
      <v>34</v>
    </nc>
  </rcc>
  <rcc rId="242" sId="4">
    <nc r="J18">
      <v>17</v>
    </nc>
  </rcc>
  <rcc rId="243" sId="4">
    <nc r="G10">
      <v>34</v>
    </nc>
  </rcc>
  <rcc rId="244" sId="4">
    <nc r="M10">
      <v>17</v>
    </nc>
  </rcc>
  <rcc rId="245" sId="4">
    <nc r="M23">
      <v>51</v>
    </nc>
  </rcc>
  <rcc rId="246" sId="4">
    <nc r="M14">
      <v>51</v>
    </nc>
  </rcc>
  <rcc rId="247" sId="4">
    <nc r="G9">
      <v>68</v>
    </nc>
  </rcc>
  <rcc rId="248" sId="4">
    <nc r="J9">
      <v>34</v>
    </nc>
  </rcc>
  <rcc rId="249" sId="4">
    <nc r="G29">
      <v>51</v>
    </nc>
  </rcc>
  <rcc rId="250" sId="4">
    <nc r="G12">
      <v>85</v>
    </nc>
  </rcc>
  <rcc rId="251" sId="4">
    <nc r="G31">
      <v>51</v>
    </nc>
  </rcc>
  <rcc rId="252" sId="4">
    <nc r="G7">
      <v>34</v>
    </nc>
  </rcc>
  <rcc rId="253" sId="4">
    <nc r="D7">
      <v>51</v>
    </nc>
  </rcc>
  <rcc rId="254" sId="4">
    <nc r="G8">
      <v>17</v>
    </nc>
  </rcc>
  <rcc rId="255" sId="4">
    <nc r="J13">
      <v>17</v>
    </nc>
  </rcc>
  <rcc rId="256" sId="4">
    <nc r="M13">
      <v>34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7">
    <nc r="D13">
      <v>17</v>
    </nc>
  </rcc>
  <rcc rId="258" sId="7">
    <nc r="H10">
      <v>34</v>
    </nc>
  </rcc>
  <rcc rId="259" sId="7">
    <nc r="I10">
      <v>17</v>
    </nc>
  </rcc>
  <rcc rId="260" sId="4">
    <nc r="G20">
      <v>17</v>
    </nc>
  </rcc>
  <rcc rId="261" sId="4">
    <nc r="M20">
      <v>34</v>
    </nc>
  </rcc>
  <rcc rId="262" sId="7">
    <nc r="F30">
      <v>17</v>
    </nc>
  </rcc>
  <rcc rId="263" sId="7">
    <nc r="I30">
      <v>34</v>
    </nc>
  </rcc>
  <rcc rId="264" sId="7">
    <nc r="R6">
      <v>17</v>
    </nc>
  </rcc>
  <rcc rId="265" sId="7">
    <nc r="S6">
      <v>17</v>
    </nc>
  </rcc>
  <rcc rId="266" sId="7">
    <nc r="R7">
      <v>17</v>
    </nc>
  </rcc>
  <rcc rId="267" sId="7">
    <nc r="E40">
      <v>17</v>
    </nc>
  </rcc>
  <rcc rId="268" sId="7">
    <nc r="G40">
      <v>17</v>
    </nc>
  </rcc>
  <rcc rId="269" sId="7">
    <nc r="E41">
      <v>17</v>
    </nc>
  </rcc>
  <rcc rId="270" sId="7">
    <nc r="C5">
      <v>34</v>
    </nc>
  </rcc>
  <rcc rId="271" sId="7">
    <nc r="D5">
      <v>17</v>
    </nc>
  </rcc>
  <rcc rId="272" sId="7">
    <nc r="C7">
      <v>17</v>
    </nc>
  </rcc>
  <rcc rId="273" sId="7">
    <nc r="D7">
      <v>17</v>
    </nc>
  </rcc>
  <rcc rId="274" sId="7">
    <nc r="C6">
      <v>17</v>
    </nc>
  </rcc>
  <rcc rId="275" sId="7">
    <nc r="D42">
      <v>0</v>
    </nc>
  </rcc>
  <rcc rId="276" sId="7">
    <nc r="E42">
      <v>17</v>
    </nc>
  </rcc>
  <rcc rId="277" sId="7">
    <nc r="G42">
      <v>17</v>
    </nc>
  </rcc>
  <rcc rId="278" sId="7">
    <nc r="G43">
      <v>17</v>
    </nc>
  </rcc>
  <rcc rId="279" sId="7">
    <nc r="Q15">
      <v>51</v>
    </nc>
  </rcc>
  <rcc rId="280" sId="7">
    <nc r="C14">
      <v>51</v>
    </nc>
  </rcc>
  <rcc rId="281" sId="7">
    <nc r="F28">
      <v>34</v>
    </nc>
  </rcc>
  <rcc rId="282" sId="7">
    <nc r="G28">
      <v>17</v>
    </nc>
  </rcc>
  <rcc rId="283" sId="7">
    <nc r="C12">
      <v>34</v>
    </nc>
  </rcc>
  <rcc rId="284" sId="7">
    <nc r="E12">
      <v>17</v>
    </nc>
  </rcc>
  <rcc rId="285" sId="7">
    <nc r="Q16">
      <v>51</v>
    </nc>
  </rcc>
  <rcc rId="286" sId="7">
    <nc r="T5">
      <v>51</v>
    </nc>
  </rcc>
  <rcc rId="287" sId="7">
    <nc r="C10">
      <v>34</v>
    </nc>
  </rcc>
  <rcc rId="288" sId="7">
    <nc r="D10">
      <v>17</v>
    </nc>
  </rcc>
  <rcc rId="289" sId="7">
    <nc r="C18">
      <v>51</v>
    </nc>
  </rcc>
  <rcc rId="290" sId="7">
    <nc r="C13">
      <v>85</v>
    </nc>
  </rcc>
  <rcc rId="291" sId="7">
    <nc r="C16">
      <v>51</v>
    </nc>
  </rcc>
  <rcc rId="292" sId="7">
    <nc r="G8">
      <v>51</v>
    </nc>
  </rcc>
  <rcc rId="293" sId="7">
    <nc r="H8">
      <v>34</v>
    </nc>
  </rcc>
  <rcc rId="294" sId="7">
    <nc r="H9">
      <v>17</v>
    </nc>
  </rcc>
  <rcc rId="295" sId="7">
    <nc r="G9">
      <v>0</v>
    </nc>
  </rcc>
  <rcc rId="296" sId="7">
    <nc r="E14">
      <v>34</v>
    </nc>
  </rcc>
  <rcc rId="297" sId="7">
    <nc r="D14">
      <v>17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299" sId="3">
    <oc r="D11">
      <f>'التمام الصباحي'!F39*1000</f>
    </oc>
    <nc r="D11">
      <f>'التمام الصباحي'!F39*1000</f>
    </nc>
  </rcc>
  <rcc rId="300" sId="3">
    <oc r="E11">
      <f>D11/C11</f>
    </oc>
    <nc r="E11">
      <f>D11/C11</f>
    </nc>
  </rcc>
  <rcc rId="301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302" sId="3">
    <oc r="G11">
      <f>'التمام الصباحي'!L39*1000</f>
    </oc>
    <nc r="G11">
      <f>'التمام الصباحي'!L39*1000</f>
    </nc>
  </rcc>
  <rcc rId="303" sId="3">
    <oc r="H11">
      <f>G11/F11</f>
    </oc>
    <nc r="H11">
      <f>G11/F11</f>
    </nc>
  </rcc>
  <rcc rId="304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305" sId="3">
    <oc r="J11">
      <f>'التمام الصباحي'!R39*1000</f>
    </oc>
    <nc r="J11">
      <f>'التمام الصباحي'!R39*1000</f>
    </nc>
  </rcc>
  <rcc rId="306" sId="3">
    <oc r="K11">
      <f>J11/I11</f>
    </oc>
    <nc r="K11">
      <f>J11/I11</f>
    </nc>
  </rcc>
  <rcc rId="307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308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309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310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311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312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313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314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15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16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317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318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319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320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321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322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323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324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325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326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327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328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329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330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331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332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33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34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35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36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37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38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4">
    <nc r="R13" t="inlineStr">
      <is>
        <t xml:space="preserve">عميد اسامه 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4">
    <nc r="K23">
      <v>3816</v>
    </nc>
  </rcc>
  <rcc rId="16" sId="4">
    <nc r="H23">
      <v>15832</v>
    </nc>
  </rcc>
  <rcc rId="17" sId="4">
    <nc r="N23">
      <v>54178</v>
    </nc>
  </rcc>
  <rcc rId="18" sId="4" numFmtId="4">
    <nc r="O23">
      <v>1650</v>
    </nc>
  </rcc>
  <rcc rId="19" sId="4">
    <nc r="P23">
      <v>4185</v>
    </nc>
  </rcc>
  <rcc rId="20" sId="4">
    <nc r="I23">
      <v>26</v>
    </nc>
  </rcc>
  <rcc rId="21" sId="4">
    <nc r="F23">
      <v>73</v>
    </nc>
  </rcc>
  <rcc rId="22" sId="4">
    <nc r="L23">
      <v>115</v>
    </nc>
  </rcc>
  <rcc rId="23" sId="4">
    <nc r="R23" t="inlineStr">
      <is>
        <t>عميد/اشرف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4">
    <nc r="H16">
      <v>3699</v>
    </nc>
  </rcc>
  <rcc rId="25" sId="4">
    <nc r="K16">
      <v>767</v>
    </nc>
  </rcc>
  <rcc rId="26" sId="4" numFmtId="4">
    <nc r="O16">
      <v>348</v>
    </nc>
  </rcc>
  <rcc rId="27" sId="4">
    <nc r="F16">
      <v>25</v>
    </nc>
  </rcc>
  <rcc rId="28" sId="4">
    <nc r="I16">
      <v>15</v>
    </nc>
  </rcc>
  <rcc rId="29" sId="4">
    <nc r="R16" t="inlineStr">
      <is>
        <t>نقيب محمود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4">
    <nc r="K9">
      <v>11475</v>
    </nc>
  </rcc>
  <rcc rId="38" sId="4">
    <nc r="H9">
      <v>40670</v>
    </nc>
  </rcc>
  <rcc rId="39" sId="4" numFmtId="4">
    <nc r="O9">
      <v>38520</v>
    </nc>
  </rcc>
  <rcc rId="40" sId="4">
    <nc r="I9">
      <v>19</v>
    </nc>
  </rcc>
  <rcc rId="41" sId="4">
    <nc r="F9">
      <v>80</v>
    </nc>
  </rcc>
  <rcc rId="42" sId="4">
    <nc r="R9" t="inlineStr">
      <is>
        <t>عقيد / محمد عيسي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4">
    <nc r="K19">
      <v>1284</v>
    </nc>
  </rcc>
  <rcc rId="44" sId="4">
    <nc r="H19">
      <v>7094</v>
    </nc>
  </rcc>
  <rcc rId="45" sId="4" numFmtId="4">
    <nc r="O19">
      <v>700</v>
    </nc>
  </rcc>
  <rcc rId="46" sId="4">
    <nc r="I19">
      <v>30</v>
    </nc>
  </rcc>
  <rcc rId="47" sId="4">
    <nc r="F19">
      <v>67</v>
    </nc>
  </rcc>
  <rcc rId="48" sId="4">
    <nc r="R19" t="inlineStr">
      <is>
        <t>عقيد طارق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4">
    <oc r="I19">
      <v>30</v>
    </oc>
    <nc r="I19">
      <v>29</v>
    </nc>
  </rcc>
  <rcc rId="50" sId="4">
    <nc r="H15">
      <v>10339</v>
    </nc>
  </rcc>
  <rcc rId="51" sId="4">
    <nc r="K15">
      <v>3660</v>
    </nc>
  </rcc>
  <rcc rId="52" sId="4">
    <nc r="N15">
      <v>3552</v>
    </nc>
  </rcc>
  <rcc rId="53" sId="4" numFmtId="4">
    <nc r="O15">
      <v>1520</v>
    </nc>
  </rcc>
  <rcc rId="54" sId="4">
    <nc r="F15">
      <v>56</v>
    </nc>
  </rcc>
  <rcc rId="55" sId="4">
    <nc r="I15">
      <v>6</v>
    </nc>
  </rcc>
  <rcc rId="56" sId="4">
    <nc r="L15">
      <v>45</v>
    </nc>
  </rcc>
  <rcc rId="57" sId="4">
    <nc r="R15" t="inlineStr">
      <is>
        <t xml:space="preserve">احمد الدسوقي </t>
      </is>
    </nc>
  </rcc>
  <rcc rId="58" sId="4">
    <nc r="K18">
      <v>4648</v>
    </nc>
  </rcc>
  <rcc rId="59" sId="4">
    <nc r="H18">
      <v>16505</v>
    </nc>
  </rcc>
  <rcc rId="60" sId="4">
    <nc r="N18">
      <v>22063</v>
    </nc>
  </rcc>
  <rcc rId="61" sId="4" numFmtId="4">
    <nc r="O18">
      <v>1510</v>
    </nc>
  </rcc>
  <rcc rId="62" sId="4">
    <nc r="P18">
      <v>1850</v>
    </nc>
  </rcc>
  <rcc rId="63" sId="4">
    <nc r="I18">
      <v>12</v>
    </nc>
  </rcc>
  <rcc rId="64" sId="4">
    <nc r="F18">
      <v>61</v>
    </nc>
  </rcc>
  <rcc rId="65" sId="4">
    <nc r="L18">
      <v>154</v>
    </nc>
  </rcc>
  <rcc rId="66" sId="4">
    <nc r="R18" t="inlineStr">
      <is>
        <t>عميد محمد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M38" sqref="M38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6" ht="15.75" x14ac:dyDescent="0.25">
      <c r="A2" s="398" t="s">
        <v>1</v>
      </c>
      <c r="B2" s="398"/>
      <c r="C2" s="398"/>
      <c r="D2" s="398"/>
      <c r="E2" s="398"/>
    </row>
    <row r="3" spans="1:26" ht="15.75" x14ac:dyDescent="0.25">
      <c r="A3" s="398" t="s">
        <v>2</v>
      </c>
      <c r="B3" s="398"/>
      <c r="C3" s="398"/>
      <c r="D3" s="398"/>
      <c r="E3" s="398"/>
    </row>
    <row r="5" spans="1:26" ht="18.75" thickBot="1" x14ac:dyDescent="0.3">
      <c r="G5" s="199"/>
      <c r="I5" s="397" t="s">
        <v>194</v>
      </c>
      <c r="J5" s="397"/>
      <c r="K5" s="397"/>
      <c r="L5" s="397"/>
      <c r="M5" s="397"/>
      <c r="N5" s="397"/>
      <c r="V5" s="200" t="s">
        <v>41</v>
      </c>
    </row>
    <row r="6" spans="1:26" ht="20.100000000000001" customHeight="1" thickBot="1" x14ac:dyDescent="0.25">
      <c r="A6" s="396" t="s">
        <v>14</v>
      </c>
      <c r="B6" s="396" t="s">
        <v>3</v>
      </c>
      <c r="C6" s="396" t="s">
        <v>4</v>
      </c>
      <c r="D6" s="396" t="s">
        <v>5</v>
      </c>
      <c r="E6" s="396"/>
      <c r="F6" s="396"/>
      <c r="G6" s="396"/>
      <c r="H6" s="396"/>
      <c r="I6" s="396" t="s">
        <v>4</v>
      </c>
      <c r="J6" s="396" t="s">
        <v>11</v>
      </c>
      <c r="K6" s="396"/>
      <c r="L6" s="396"/>
      <c r="M6" s="396"/>
      <c r="N6" s="396"/>
      <c r="O6" s="396" t="s">
        <v>4</v>
      </c>
      <c r="P6" s="396" t="s">
        <v>12</v>
      </c>
      <c r="Q6" s="396"/>
      <c r="R6" s="396"/>
      <c r="S6" s="396"/>
      <c r="T6" s="396"/>
      <c r="U6" s="396" t="s">
        <v>4</v>
      </c>
      <c r="V6" s="396" t="s">
        <v>13</v>
      </c>
      <c r="W6" s="396"/>
      <c r="X6" s="396"/>
      <c r="Y6" s="396"/>
      <c r="Z6" s="396"/>
    </row>
    <row r="7" spans="1:26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42</v>
      </c>
      <c r="K8" s="221">
        <f>I8-J8</f>
        <v>48</v>
      </c>
      <c r="L8" s="335">
        <f>'أخذ التمام الصباحي'!G5</f>
        <v>34</v>
      </c>
      <c r="M8" s="335">
        <v>25</v>
      </c>
      <c r="N8" s="203">
        <f>J8/M8</f>
        <v>1.68</v>
      </c>
      <c r="O8" s="336">
        <v>30</v>
      </c>
      <c r="P8" s="335">
        <f>'أخذ التمام الصباحي'!I5</f>
        <v>9</v>
      </c>
      <c r="Q8" s="221">
        <f>O8-P8</f>
        <v>21</v>
      </c>
      <c r="R8" s="335">
        <f>'أخذ التمام الصباحي'!J5</f>
        <v>17</v>
      </c>
      <c r="S8" s="335">
        <v>8</v>
      </c>
      <c r="T8" s="203">
        <f>P8/S8</f>
        <v>1.125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55</v>
      </c>
      <c r="K9" s="221">
        <f>I9-J9</f>
        <v>35</v>
      </c>
      <c r="L9" s="355">
        <f>'أخذ التمام الصباحي'!G6</f>
        <v>17</v>
      </c>
      <c r="M9" s="335">
        <v>29</v>
      </c>
      <c r="N9" s="203">
        <f>J9/M9</f>
        <v>1.896551724137931</v>
      </c>
      <c r="O9" s="336">
        <v>30</v>
      </c>
      <c r="P9" s="338">
        <f>'أخذ التمام الصباحي'!I6</f>
        <v>11</v>
      </c>
      <c r="Q9" s="221">
        <f>O9-P9</f>
        <v>19</v>
      </c>
      <c r="R9" s="338">
        <f>'أخذ التمام الصباحي'!J6</f>
        <v>17</v>
      </c>
      <c r="S9" s="335">
        <v>9</v>
      </c>
      <c r="T9" s="203">
        <f>P9/S9</f>
        <v>1.2222222222222223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80</v>
      </c>
      <c r="E10" s="221">
        <f t="shared" ref="E10:E23" si="0">C10-D10</f>
        <v>10</v>
      </c>
      <c r="F10" s="335">
        <f>'أخذ التمام الصباحي'!D7</f>
        <v>51</v>
      </c>
      <c r="G10" s="335">
        <v>36</v>
      </c>
      <c r="H10" s="204">
        <f t="shared" ref="H10:H23" si="1">D10/G10</f>
        <v>2.2222222222222223</v>
      </c>
      <c r="I10" s="336">
        <v>45</v>
      </c>
      <c r="J10" s="338">
        <f>'أخذ التمام الصباحي'!F7</f>
        <v>30</v>
      </c>
      <c r="K10" s="221">
        <f t="shared" ref="K10:K34" si="2">I10-J10</f>
        <v>15</v>
      </c>
      <c r="L10" s="355">
        <f>'أخذ التمام الصباحي'!G7</f>
        <v>34</v>
      </c>
      <c r="M10" s="335">
        <v>24</v>
      </c>
      <c r="N10" s="203">
        <f t="shared" ref="N10:N34" si="3">J10/M10</f>
        <v>1.25</v>
      </c>
      <c r="O10" s="336">
        <v>45</v>
      </c>
      <c r="P10" s="338">
        <f>'أخذ التمام الصباحي'!I7</f>
        <v>32</v>
      </c>
      <c r="Q10" s="221">
        <f t="shared" ref="Q10:Q34" si="4">O10-P10</f>
        <v>13</v>
      </c>
      <c r="R10" s="338">
        <f>'أخذ التمام الصباحي'!J7</f>
        <v>0</v>
      </c>
      <c r="S10" s="335">
        <v>4</v>
      </c>
      <c r="T10" s="203">
        <f t="shared" ref="T10:T34" si="5">P10/S10</f>
        <v>8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26</v>
      </c>
      <c r="E11" s="221">
        <f t="shared" si="0"/>
        <v>4</v>
      </c>
      <c r="F11" s="338">
        <f>'أخذ التمام الصباحي'!D8</f>
        <v>0</v>
      </c>
      <c r="G11" s="335">
        <v>5</v>
      </c>
      <c r="H11" s="204">
        <f t="shared" si="1"/>
        <v>5.2</v>
      </c>
      <c r="I11" s="336">
        <v>60</v>
      </c>
      <c r="J11" s="338">
        <f>'أخذ التمام الصباحي'!F8</f>
        <v>43</v>
      </c>
      <c r="K11" s="221">
        <f t="shared" si="2"/>
        <v>17</v>
      </c>
      <c r="L11" s="355">
        <f>'أخذ التمام الصباحي'!G8</f>
        <v>17</v>
      </c>
      <c r="M11" s="335">
        <v>25</v>
      </c>
      <c r="N11" s="203">
        <f t="shared" si="3"/>
        <v>1.72</v>
      </c>
      <c r="O11" s="336">
        <v>30</v>
      </c>
      <c r="P11" s="338">
        <f>'أخذ التمام الصباحي'!I8</f>
        <v>20</v>
      </c>
      <c r="Q11" s="221">
        <f t="shared" si="4"/>
        <v>10</v>
      </c>
      <c r="R11" s="338">
        <f>'أخذ التمام الصباحي'!J8</f>
        <v>0</v>
      </c>
      <c r="S11" s="335">
        <v>8</v>
      </c>
      <c r="T11" s="203">
        <f t="shared" si="5"/>
        <v>2.5</v>
      </c>
      <c r="U11" s="336">
        <v>180</v>
      </c>
      <c r="V11" s="335">
        <f>'أخذ التمام الصباحي'!L8</f>
        <v>168</v>
      </c>
      <c r="W11" s="221">
        <f t="shared" ref="W11:W29" si="6">U11-V11</f>
        <v>12</v>
      </c>
      <c r="X11" s="335">
        <f>'أخذ التمام الصباحي'!M8</f>
        <v>0</v>
      </c>
      <c r="Y11" s="335">
        <v>6</v>
      </c>
      <c r="Z11" s="203">
        <f>V11/Y11</f>
        <v>28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80</v>
      </c>
      <c r="K12" s="221">
        <f t="shared" si="2"/>
        <v>10</v>
      </c>
      <c r="L12" s="355">
        <f>'أخذ التمام الصباحي'!G9</f>
        <v>68</v>
      </c>
      <c r="M12" s="335">
        <v>42</v>
      </c>
      <c r="N12" s="203">
        <f t="shared" si="3"/>
        <v>1.9047619047619047</v>
      </c>
      <c r="O12" s="336">
        <v>30</v>
      </c>
      <c r="P12" s="338">
        <f>'أخذ التمام الصباحي'!I9</f>
        <v>19</v>
      </c>
      <c r="Q12" s="221">
        <f t="shared" si="4"/>
        <v>11</v>
      </c>
      <c r="R12" s="338">
        <f>'أخذ التمام الصباحي'!J9</f>
        <v>34</v>
      </c>
      <c r="S12" s="335">
        <v>12</v>
      </c>
      <c r="T12" s="203">
        <f t="shared" si="5"/>
        <v>1.5833333333333333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21</v>
      </c>
      <c r="E13" s="221">
        <f t="shared" si="0"/>
        <v>9</v>
      </c>
      <c r="F13" s="338">
        <f>'أخذ التمام الصباحي'!D10</f>
        <v>0</v>
      </c>
      <c r="G13" s="335">
        <v>4</v>
      </c>
      <c r="H13" s="204">
        <f t="shared" si="1"/>
        <v>5.25</v>
      </c>
      <c r="I13" s="336">
        <v>90</v>
      </c>
      <c r="J13" s="338">
        <f>'أخذ التمام الصباحي'!F10</f>
        <v>60</v>
      </c>
      <c r="K13" s="221">
        <f t="shared" si="2"/>
        <v>30</v>
      </c>
      <c r="L13" s="355">
        <f>'أخذ التمام الصباحي'!G10</f>
        <v>34</v>
      </c>
      <c r="M13" s="335">
        <v>27</v>
      </c>
      <c r="N13" s="203">
        <f t="shared" si="3"/>
        <v>2.2222222222222223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159</v>
      </c>
      <c r="W13" s="221">
        <f t="shared" si="6"/>
        <v>21</v>
      </c>
      <c r="X13" s="335">
        <f>'أخذ التمام الصباحي'!M10</f>
        <v>17</v>
      </c>
      <c r="Y13" s="335">
        <v>8</v>
      </c>
      <c r="Z13" s="203">
        <f t="shared" ref="Z13:Z29" si="7">V13/Y13</f>
        <v>19.875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22</v>
      </c>
      <c r="E14" s="221">
        <f t="shared" si="0"/>
        <v>8</v>
      </c>
      <c r="F14" s="338">
        <f>'أخذ التمام الصباحي'!D11</f>
        <v>0</v>
      </c>
      <c r="G14" s="335">
        <v>7</v>
      </c>
      <c r="H14" s="204">
        <f t="shared" si="1"/>
        <v>3.1428571428571428</v>
      </c>
      <c r="I14" s="336">
        <v>90</v>
      </c>
      <c r="J14" s="338">
        <f>'أخذ التمام الصباحي'!F11</f>
        <v>70</v>
      </c>
      <c r="K14" s="221">
        <f t="shared" si="2"/>
        <v>20</v>
      </c>
      <c r="L14" s="355">
        <f>'أخذ التمام الصباحي'!G11</f>
        <v>0</v>
      </c>
      <c r="M14" s="335">
        <v>22</v>
      </c>
      <c r="N14" s="203">
        <f t="shared" si="3"/>
        <v>3.1818181818181817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167</v>
      </c>
      <c r="W14" s="221">
        <f t="shared" si="6"/>
        <v>13</v>
      </c>
      <c r="X14" s="338">
        <f>'أخذ التمام الصباحي'!M11</f>
        <v>0</v>
      </c>
      <c r="Y14" s="335">
        <v>20</v>
      </c>
      <c r="Z14" s="203">
        <f t="shared" si="7"/>
        <v>8.35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170</v>
      </c>
      <c r="K15" s="221">
        <f t="shared" si="2"/>
        <v>10</v>
      </c>
      <c r="L15" s="355">
        <f>'أخذ التمام الصباحي'!G12</f>
        <v>85</v>
      </c>
      <c r="M15" s="335">
        <v>52</v>
      </c>
      <c r="N15" s="203">
        <f t="shared" si="3"/>
        <v>3.2692307692307692</v>
      </c>
      <c r="O15" s="336">
        <v>60</v>
      </c>
      <c r="P15" s="335">
        <f>'أخذ التمام الصباحي'!I12</f>
        <v>57</v>
      </c>
      <c r="Q15" s="221">
        <f t="shared" si="4"/>
        <v>3</v>
      </c>
      <c r="R15" s="335">
        <f>'أخذ التمام الصباحي'!J12</f>
        <v>17</v>
      </c>
      <c r="S15" s="335">
        <v>15</v>
      </c>
      <c r="T15" s="203">
        <f t="shared" si="5"/>
        <v>3.8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140</v>
      </c>
      <c r="K16" s="221">
        <f t="shared" si="2"/>
        <v>40</v>
      </c>
      <c r="L16" s="355">
        <f>'أخذ التمام الصباحي'!G13</f>
        <v>51</v>
      </c>
      <c r="M16" s="335">
        <v>35</v>
      </c>
      <c r="N16" s="203">
        <f t="shared" si="3"/>
        <v>4</v>
      </c>
      <c r="O16" s="336">
        <v>45</v>
      </c>
      <c r="P16" s="338">
        <f>'أخذ التمام الصباحي'!I13</f>
        <v>32</v>
      </c>
      <c r="Q16" s="221">
        <f t="shared" si="4"/>
        <v>13</v>
      </c>
      <c r="R16" s="338">
        <f>'أخذ التمام الصباحي'!J13</f>
        <v>17</v>
      </c>
      <c r="S16" s="335">
        <v>11</v>
      </c>
      <c r="T16" s="203">
        <f t="shared" si="5"/>
        <v>2.9090909090909092</v>
      </c>
      <c r="U16" s="336">
        <v>120</v>
      </c>
      <c r="V16" s="335">
        <f>'أخذ التمام الصباحي'!L13</f>
        <v>106</v>
      </c>
      <c r="W16" s="221">
        <f t="shared" si="6"/>
        <v>14</v>
      </c>
      <c r="X16" s="335">
        <f>'أخذ التمام الصباحي'!M13</f>
        <v>34</v>
      </c>
      <c r="Y16" s="335">
        <v>25</v>
      </c>
      <c r="Z16" s="203">
        <f t="shared" si="7"/>
        <v>4.24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83</v>
      </c>
      <c r="K17" s="221">
        <f t="shared" si="2"/>
        <v>7</v>
      </c>
      <c r="L17" s="355">
        <f>'أخذ التمام الصباحي'!G14</f>
        <v>0</v>
      </c>
      <c r="M17" s="335">
        <v>12</v>
      </c>
      <c r="N17" s="203">
        <f t="shared" si="3"/>
        <v>6.916666666666667</v>
      </c>
      <c r="O17" s="336">
        <v>30</v>
      </c>
      <c r="P17" s="338">
        <f>'أخذ التمام الصباحي'!I14</f>
        <v>22</v>
      </c>
      <c r="Q17" s="221">
        <f t="shared" si="4"/>
        <v>8</v>
      </c>
      <c r="R17" s="338">
        <f>'أخذ التمام الصباحي'!J14</f>
        <v>0</v>
      </c>
      <c r="S17" s="335">
        <v>6</v>
      </c>
      <c r="T17" s="203">
        <f>P17/S17</f>
        <v>3.6666666666666665</v>
      </c>
      <c r="U17" s="336">
        <v>180</v>
      </c>
      <c r="V17" s="338">
        <f>'أخذ التمام الصباحي'!L14</f>
        <v>120</v>
      </c>
      <c r="W17" s="221">
        <f t="shared" si="6"/>
        <v>60</v>
      </c>
      <c r="X17" s="338">
        <f>'أخذ التمام الصباحي'!M14</f>
        <v>51</v>
      </c>
      <c r="Y17" s="335">
        <v>31</v>
      </c>
      <c r="Z17" s="203">
        <f t="shared" si="7"/>
        <v>3.870967741935484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56</v>
      </c>
      <c r="K18" s="221">
        <f t="shared" si="2"/>
        <v>34</v>
      </c>
      <c r="L18" s="355">
        <f>'أخذ التمام الصباحي'!G15</f>
        <v>17</v>
      </c>
      <c r="M18" s="335">
        <v>12</v>
      </c>
      <c r="N18" s="203">
        <f t="shared" si="3"/>
        <v>4.666666666666667</v>
      </c>
      <c r="O18" s="336">
        <v>30</v>
      </c>
      <c r="P18" s="338">
        <f>'أخذ التمام الصباحي'!I15</f>
        <v>6</v>
      </c>
      <c r="Q18" s="221">
        <f t="shared" si="4"/>
        <v>24</v>
      </c>
      <c r="R18" s="338">
        <f>'أخذ التمام الصباحي'!J15</f>
        <v>17</v>
      </c>
      <c r="S18" s="335">
        <v>4</v>
      </c>
      <c r="T18" s="203">
        <f t="shared" si="5"/>
        <v>1.5</v>
      </c>
      <c r="U18" s="336">
        <v>60</v>
      </c>
      <c r="V18" s="338">
        <f>'أخذ التمام الصباحي'!L15</f>
        <v>45</v>
      </c>
      <c r="W18" s="194">
        <f t="shared" si="6"/>
        <v>15</v>
      </c>
      <c r="X18" s="338">
        <f>'أخذ التمام الصباحي'!M15</f>
        <v>0</v>
      </c>
      <c r="Y18" s="335">
        <v>5</v>
      </c>
      <c r="Z18" s="335">
        <f t="shared" si="7"/>
        <v>9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25</v>
      </c>
      <c r="K19" s="221">
        <f t="shared" si="2"/>
        <v>35</v>
      </c>
      <c r="L19" s="355">
        <f>'أخذ التمام الصباحي'!G16</f>
        <v>17</v>
      </c>
      <c r="M19" s="335">
        <v>5</v>
      </c>
      <c r="N19" s="203">
        <f t="shared" si="3"/>
        <v>5</v>
      </c>
      <c r="O19" s="336">
        <v>30</v>
      </c>
      <c r="P19" s="338">
        <f>'أخذ التمام الصباحي'!I16</f>
        <v>15</v>
      </c>
      <c r="Q19" s="221">
        <f t="shared" si="4"/>
        <v>15</v>
      </c>
      <c r="R19" s="338">
        <f>'أخذ التمام الصباحي'!J16</f>
        <v>0</v>
      </c>
      <c r="S19" s="335">
        <v>2</v>
      </c>
      <c r="T19" s="203">
        <f t="shared" si="5"/>
        <v>7.5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75</v>
      </c>
      <c r="K20" s="221">
        <f t="shared" si="2"/>
        <v>15</v>
      </c>
      <c r="L20" s="355">
        <f>'أخذ التمام الصباحي'!G17</f>
        <v>0</v>
      </c>
      <c r="M20" s="335">
        <v>4</v>
      </c>
      <c r="N20" s="203">
        <f t="shared" si="3"/>
        <v>18.75</v>
      </c>
      <c r="O20" s="336">
        <v>30</v>
      </c>
      <c r="P20" s="338">
        <f>'أخذ التمام الصباحي'!I17</f>
        <v>13</v>
      </c>
      <c r="Q20" s="221">
        <f t="shared" si="4"/>
        <v>17</v>
      </c>
      <c r="R20" s="338">
        <f>'أخذ التمام الصباحي'!J17</f>
        <v>0</v>
      </c>
      <c r="S20" s="335">
        <v>2</v>
      </c>
      <c r="T20" s="203">
        <f t="shared" si="5"/>
        <v>6.5</v>
      </c>
      <c r="U20" s="336">
        <v>180</v>
      </c>
      <c r="V20" s="335">
        <f>'أخذ التمام الصباحي'!L17</f>
        <v>168</v>
      </c>
      <c r="W20" s="221">
        <f t="shared" si="6"/>
        <v>12</v>
      </c>
      <c r="X20" s="335">
        <f>'أخذ التمام الصباحي'!M17</f>
        <v>0</v>
      </c>
      <c r="Y20" s="335">
        <v>7</v>
      </c>
      <c r="Z20" s="203">
        <f t="shared" si="7"/>
        <v>24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61</v>
      </c>
      <c r="K21" s="221">
        <f t="shared" si="2"/>
        <v>29</v>
      </c>
      <c r="L21" s="355">
        <f>'أخذ التمام الصباحي'!G18</f>
        <v>34</v>
      </c>
      <c r="M21" s="335">
        <v>34</v>
      </c>
      <c r="N21" s="203">
        <f t="shared" si="3"/>
        <v>1.7941176470588236</v>
      </c>
      <c r="O21" s="336">
        <v>30</v>
      </c>
      <c r="P21" s="338">
        <f>'أخذ التمام الصباحي'!I18</f>
        <v>12</v>
      </c>
      <c r="Q21" s="221">
        <f t="shared" si="4"/>
        <v>18</v>
      </c>
      <c r="R21" s="338">
        <f>'أخذ التمام الصباحي'!J18</f>
        <v>17</v>
      </c>
      <c r="S21" s="335">
        <v>13</v>
      </c>
      <c r="T21" s="203">
        <f t="shared" si="5"/>
        <v>0.92307692307692313</v>
      </c>
      <c r="U21" s="336">
        <v>180</v>
      </c>
      <c r="V21" s="338">
        <f>'أخذ التمام الصباحي'!L18</f>
        <v>154</v>
      </c>
      <c r="W21" s="221">
        <f t="shared" si="6"/>
        <v>26</v>
      </c>
      <c r="X21" s="338">
        <f>'أخذ التمام الصباحي'!M18</f>
        <v>0</v>
      </c>
      <c r="Y21" s="335">
        <v>22</v>
      </c>
      <c r="Z21" s="203">
        <f t="shared" si="7"/>
        <v>7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67</v>
      </c>
      <c r="K22" s="221">
        <f t="shared" si="2"/>
        <v>23</v>
      </c>
      <c r="L22" s="355">
        <f>'أخذ التمام الصباحي'!G19</f>
        <v>0</v>
      </c>
      <c r="M22" s="335">
        <v>8</v>
      </c>
      <c r="N22" s="203">
        <f t="shared" si="3"/>
        <v>8.375</v>
      </c>
      <c r="O22" s="336">
        <v>30</v>
      </c>
      <c r="P22" s="338">
        <f>'أخذ التمام الصباحي'!I19</f>
        <v>29</v>
      </c>
      <c r="Q22" s="221">
        <f t="shared" si="4"/>
        <v>1</v>
      </c>
      <c r="R22" s="338">
        <f>'أخذ التمام الصباحي'!J19</f>
        <v>0</v>
      </c>
      <c r="S22" s="335">
        <v>2</v>
      </c>
      <c r="T22" s="203">
        <f t="shared" si="5"/>
        <v>14.5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18</v>
      </c>
      <c r="E23" s="194">
        <f t="shared" si="0"/>
        <v>12</v>
      </c>
      <c r="F23" s="194">
        <f>'أخذ التمام الصباحي'!D20</f>
        <v>0</v>
      </c>
      <c r="G23" s="194">
        <v>0.6</v>
      </c>
      <c r="H23" s="194">
        <f t="shared" si="1"/>
        <v>30</v>
      </c>
      <c r="I23" s="336">
        <v>60</v>
      </c>
      <c r="J23" s="338">
        <f>'أخذ التمام الصباحي'!F20</f>
        <v>40</v>
      </c>
      <c r="K23" s="221">
        <f t="shared" si="2"/>
        <v>20</v>
      </c>
      <c r="L23" s="355">
        <f>'أخذ التمام الصباحي'!G20</f>
        <v>17</v>
      </c>
      <c r="M23" s="335">
        <v>3</v>
      </c>
      <c r="N23" s="203">
        <f t="shared" si="3"/>
        <v>13.333333333333334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77</v>
      </c>
      <c r="W23" s="221">
        <f t="shared" si="6"/>
        <v>43</v>
      </c>
      <c r="X23" s="335">
        <f>'أخذ التمام الصباحي'!M20</f>
        <v>34</v>
      </c>
      <c r="Y23" s="335">
        <v>7</v>
      </c>
      <c r="Z23" s="203">
        <f t="shared" si="7"/>
        <v>11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38</v>
      </c>
      <c r="K24" s="221">
        <f t="shared" si="2"/>
        <v>22</v>
      </c>
      <c r="L24" s="355">
        <f>'أخذ التمام الصباحي'!G21</f>
        <v>0</v>
      </c>
      <c r="M24" s="335">
        <v>6</v>
      </c>
      <c r="N24" s="203">
        <f t="shared" si="3"/>
        <v>6.333333333333333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97</v>
      </c>
      <c r="W24" s="221">
        <f t="shared" si="6"/>
        <v>23</v>
      </c>
      <c r="X24" s="338">
        <f>'أخذ التمام الصباحي'!M21</f>
        <v>0</v>
      </c>
      <c r="Y24" s="335">
        <v>5</v>
      </c>
      <c r="Z24" s="203">
        <f t="shared" si="7"/>
        <v>19.399999999999999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85</v>
      </c>
      <c r="K25" s="221">
        <f t="shared" si="2"/>
        <v>5</v>
      </c>
      <c r="L25" s="355">
        <f>'أخذ التمام الصباحي'!G22</f>
        <v>17</v>
      </c>
      <c r="M25" s="335">
        <v>15</v>
      </c>
      <c r="N25" s="203">
        <f t="shared" si="3"/>
        <v>5.666666666666667</v>
      </c>
      <c r="O25" s="336">
        <v>30</v>
      </c>
      <c r="P25" s="335">
        <f>'أخذ التمام الصباحي'!I22</f>
        <v>17</v>
      </c>
      <c r="Q25" s="221">
        <f t="shared" si="4"/>
        <v>13</v>
      </c>
      <c r="R25" s="335">
        <f>'أخذ التمام الصباحي'!J22</f>
        <v>0</v>
      </c>
      <c r="S25" s="335">
        <v>3</v>
      </c>
      <c r="T25" s="203">
        <f t="shared" si="5"/>
        <v>5.666666666666667</v>
      </c>
      <c r="U25" s="336">
        <v>180</v>
      </c>
      <c r="V25" s="338">
        <f>'أخذ التمام الصباحي'!L22</f>
        <v>117</v>
      </c>
      <c r="W25" s="221">
        <f t="shared" si="6"/>
        <v>63</v>
      </c>
      <c r="X25" s="338">
        <f>'أخذ التمام الصباحي'!M22</f>
        <v>68</v>
      </c>
      <c r="Y25" s="335">
        <v>43</v>
      </c>
      <c r="Z25" s="203">
        <f t="shared" si="7"/>
        <v>2.7209302325581395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73</v>
      </c>
      <c r="K26" s="221">
        <f t="shared" si="2"/>
        <v>17</v>
      </c>
      <c r="L26" s="355">
        <f>'أخذ التمام الصباحي'!G23</f>
        <v>17</v>
      </c>
      <c r="M26" s="335">
        <v>17</v>
      </c>
      <c r="N26" s="203">
        <f t="shared" si="3"/>
        <v>4.2941176470588234</v>
      </c>
      <c r="O26" s="336">
        <v>30</v>
      </c>
      <c r="P26" s="338">
        <f>'أخذ التمام الصباحي'!I23</f>
        <v>26</v>
      </c>
      <c r="Q26" s="221">
        <f t="shared" si="4"/>
        <v>4</v>
      </c>
      <c r="R26" s="338">
        <f>'أخذ التمام الصباحي'!J23</f>
        <v>0</v>
      </c>
      <c r="S26" s="335">
        <v>4</v>
      </c>
      <c r="T26" s="203">
        <f t="shared" si="5"/>
        <v>6.5</v>
      </c>
      <c r="U26" s="336">
        <v>180</v>
      </c>
      <c r="V26" s="338">
        <f>'أخذ التمام الصباحي'!L23</f>
        <v>115</v>
      </c>
      <c r="W26" s="221">
        <f t="shared" si="6"/>
        <v>65</v>
      </c>
      <c r="X26" s="338">
        <f>'أخذ التمام الصباحي'!M23</f>
        <v>51</v>
      </c>
      <c r="Y26" s="335">
        <v>40</v>
      </c>
      <c r="Z26" s="203">
        <f t="shared" si="7"/>
        <v>2.875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68</v>
      </c>
      <c r="K27" s="221">
        <f t="shared" si="2"/>
        <v>22</v>
      </c>
      <c r="L27" s="355">
        <f>'أخذ التمام الصباحي'!G24</f>
        <v>17</v>
      </c>
      <c r="M27" s="335">
        <v>12</v>
      </c>
      <c r="N27" s="203">
        <f t="shared" si="3"/>
        <v>5.666666666666667</v>
      </c>
      <c r="O27" s="336">
        <v>30</v>
      </c>
      <c r="P27" s="338">
        <f>'أخذ التمام الصباحي'!I24</f>
        <v>19</v>
      </c>
      <c r="Q27" s="221">
        <f t="shared" si="4"/>
        <v>11</v>
      </c>
      <c r="R27" s="338">
        <f>'أخذ التمام الصباحي'!J24</f>
        <v>0</v>
      </c>
      <c r="S27" s="335">
        <v>2</v>
      </c>
      <c r="T27" s="203">
        <f t="shared" si="5"/>
        <v>9.5</v>
      </c>
      <c r="U27" s="336">
        <v>180</v>
      </c>
      <c r="V27" s="338">
        <f>'أخذ التمام الصباحي'!L24</f>
        <v>157</v>
      </c>
      <c r="W27" s="221">
        <f t="shared" si="6"/>
        <v>23</v>
      </c>
      <c r="X27" s="338">
        <f>'أخذ التمام الصباحي'!M24</f>
        <v>17</v>
      </c>
      <c r="Y27" s="335">
        <v>22</v>
      </c>
      <c r="Z27" s="203">
        <f t="shared" si="7"/>
        <v>7.1363636363636367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83</v>
      </c>
      <c r="K28" s="221">
        <f t="shared" si="2"/>
        <v>7</v>
      </c>
      <c r="L28" s="355">
        <f>'أخذ التمام الصباحي'!G25</f>
        <v>0</v>
      </c>
      <c r="M28" s="335">
        <v>9</v>
      </c>
      <c r="N28" s="203">
        <f t="shared" si="3"/>
        <v>9.2222222222222214</v>
      </c>
      <c r="O28" s="336">
        <v>30</v>
      </c>
      <c r="P28" s="338">
        <f>'أخذ التمام الصباحي'!I25</f>
        <v>21</v>
      </c>
      <c r="Q28" s="221">
        <f t="shared" si="4"/>
        <v>9</v>
      </c>
      <c r="R28" s="338">
        <f>'أخذ التمام الصباحي'!J25</f>
        <v>0</v>
      </c>
      <c r="S28" s="335">
        <v>2</v>
      </c>
      <c r="T28" s="203">
        <f t="shared" si="5"/>
        <v>10.5</v>
      </c>
      <c r="U28" s="336">
        <v>180</v>
      </c>
      <c r="V28" s="338">
        <f>'أخذ التمام الصباحي'!L25</f>
        <v>149</v>
      </c>
      <c r="W28" s="221">
        <f t="shared" si="6"/>
        <v>31</v>
      </c>
      <c r="X28" s="338">
        <f>'أخذ التمام الصباحي'!M25</f>
        <v>17</v>
      </c>
      <c r="Y28" s="335">
        <v>19</v>
      </c>
      <c r="Z28" s="203">
        <f t="shared" si="7"/>
        <v>7.8421052631578947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84</v>
      </c>
      <c r="E29" s="194">
        <f t="shared" ref="E29" si="8">C29-D29</f>
        <v>6</v>
      </c>
      <c r="F29" s="194">
        <f>'أخذ التمام الصباحي'!D26</f>
        <v>0</v>
      </c>
      <c r="G29" s="194">
        <v>5</v>
      </c>
      <c r="H29" s="194">
        <f t="shared" ref="H29" si="9">D29/G29</f>
        <v>16.8</v>
      </c>
      <c r="I29" s="336">
        <v>45</v>
      </c>
      <c r="J29" s="338">
        <f>'أخذ التمام الصباحي'!F26</f>
        <v>40</v>
      </c>
      <c r="K29" s="221">
        <f t="shared" si="2"/>
        <v>5</v>
      </c>
      <c r="L29" s="355">
        <f>'أخذ التمام الصباحي'!G26</f>
        <v>0</v>
      </c>
      <c r="M29" s="335">
        <v>9</v>
      </c>
      <c r="N29" s="203">
        <f t="shared" si="3"/>
        <v>4.4444444444444446</v>
      </c>
      <c r="O29" s="336">
        <v>45</v>
      </c>
      <c r="P29" s="338">
        <f>'أخذ التمام الصباحي'!I26</f>
        <v>32</v>
      </c>
      <c r="Q29" s="221">
        <f t="shared" si="4"/>
        <v>13</v>
      </c>
      <c r="R29" s="338">
        <f>'أخذ التمام الصباحي'!J26</f>
        <v>0</v>
      </c>
      <c r="S29" s="335">
        <v>2</v>
      </c>
      <c r="T29" s="203">
        <f t="shared" si="5"/>
        <v>16</v>
      </c>
      <c r="U29" s="336">
        <v>180</v>
      </c>
      <c r="V29" s="338">
        <f>'أخذ التمام الصباحي'!L26</f>
        <v>163</v>
      </c>
      <c r="W29" s="221">
        <f t="shared" si="6"/>
        <v>17</v>
      </c>
      <c r="X29" s="338">
        <f>'أخذ التمام الصباحي'!M26</f>
        <v>0</v>
      </c>
      <c r="Y29" s="335">
        <v>16</v>
      </c>
      <c r="Z29" s="203">
        <f t="shared" si="7"/>
        <v>10.1875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103</v>
      </c>
      <c r="K30" s="221">
        <f t="shared" si="2"/>
        <v>32</v>
      </c>
      <c r="L30" s="355">
        <f>'أخذ التمام الصباحي'!G27</f>
        <v>17</v>
      </c>
      <c r="M30" s="335">
        <v>6</v>
      </c>
      <c r="N30" s="203">
        <f t="shared" si="3"/>
        <v>17.166666666666668</v>
      </c>
      <c r="O30" s="336">
        <v>45</v>
      </c>
      <c r="P30" s="338">
        <f>'أخذ التمام الصباحي'!I27</f>
        <v>34</v>
      </c>
      <c r="Q30" s="221">
        <f t="shared" si="4"/>
        <v>11</v>
      </c>
      <c r="R30" s="338">
        <f>'أخذ التمام الصباحي'!J27</f>
        <v>0</v>
      </c>
      <c r="S30" s="335">
        <v>2</v>
      </c>
      <c r="T30" s="203">
        <f t="shared" si="5"/>
        <v>17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153</v>
      </c>
      <c r="K31" s="221">
        <f t="shared" si="2"/>
        <v>27</v>
      </c>
      <c r="L31" s="355">
        <f>'أخذ التمام الصباحي'!G28</f>
        <v>0</v>
      </c>
      <c r="M31" s="339">
        <v>27</v>
      </c>
      <c r="N31" s="203">
        <f t="shared" si="3"/>
        <v>5.666666666666667</v>
      </c>
      <c r="O31" s="336">
        <v>90</v>
      </c>
      <c r="P31" s="338">
        <f>'أخذ التمام الصباحي'!I28</f>
        <v>80</v>
      </c>
      <c r="Q31" s="221">
        <f t="shared" si="4"/>
        <v>10</v>
      </c>
      <c r="R31" s="338">
        <f>'أخذ التمام الصباحي'!J28</f>
        <v>0</v>
      </c>
      <c r="S31" s="339">
        <v>10</v>
      </c>
      <c r="T31" s="203">
        <f t="shared" si="5"/>
        <v>8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145</v>
      </c>
      <c r="K32" s="221">
        <f t="shared" si="2"/>
        <v>35</v>
      </c>
      <c r="L32" s="355">
        <f>'أخذ التمام الصباحي'!G29</f>
        <v>51</v>
      </c>
      <c r="M32" s="339">
        <v>27</v>
      </c>
      <c r="N32" s="203">
        <f t="shared" si="3"/>
        <v>5.3703703703703702</v>
      </c>
      <c r="O32" s="336">
        <v>90</v>
      </c>
      <c r="P32" s="338">
        <f>'أخذ التمام الصباحي'!I29</f>
        <v>77</v>
      </c>
      <c r="Q32" s="221">
        <f t="shared" si="4"/>
        <v>13</v>
      </c>
      <c r="R32" s="338">
        <f>'أخذ التمام الصباحي'!J29</f>
        <v>0</v>
      </c>
      <c r="S32" s="339">
        <v>9</v>
      </c>
      <c r="T32" s="203">
        <f t="shared" si="5"/>
        <v>8.5555555555555554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155</v>
      </c>
      <c r="K33" s="221">
        <f t="shared" si="2"/>
        <v>25</v>
      </c>
      <c r="L33" s="355">
        <f>'أخذ التمام الصباحي'!G30</f>
        <v>0</v>
      </c>
      <c r="M33" s="339">
        <v>33</v>
      </c>
      <c r="N33" s="203">
        <f t="shared" si="3"/>
        <v>4.6969696969696972</v>
      </c>
      <c r="O33" s="336">
        <v>90</v>
      </c>
      <c r="P33" s="338">
        <f>'أخذ التمام الصباحي'!I30</f>
        <v>85</v>
      </c>
      <c r="Q33" s="221">
        <f t="shared" si="4"/>
        <v>5</v>
      </c>
      <c r="R33" s="338">
        <f>'أخذ التمام الصباحي'!J30</f>
        <v>0</v>
      </c>
      <c r="S33" s="339">
        <v>8</v>
      </c>
      <c r="T33" s="203">
        <f t="shared" si="5"/>
        <v>10.625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132</v>
      </c>
      <c r="K34" s="221">
        <f t="shared" si="2"/>
        <v>48</v>
      </c>
      <c r="L34" s="355">
        <f>'أخذ التمام الصباحي'!G31</f>
        <v>51</v>
      </c>
      <c r="M34" s="339">
        <v>52</v>
      </c>
      <c r="N34" s="203">
        <f t="shared" si="3"/>
        <v>2.5384615384615383</v>
      </c>
      <c r="O34" s="336">
        <v>90</v>
      </c>
      <c r="P34" s="338">
        <f>'أخذ التمام الصباحي'!I31</f>
        <v>60</v>
      </c>
      <c r="Q34" s="221">
        <f t="shared" si="4"/>
        <v>30</v>
      </c>
      <c r="R34" s="338">
        <f>'أخذ التمام الصباحي'!J31</f>
        <v>0</v>
      </c>
      <c r="S34" s="339">
        <v>11</v>
      </c>
      <c r="T34" s="203">
        <f t="shared" si="5"/>
        <v>5.4545454545454541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4" t="s">
        <v>34</v>
      </c>
      <c r="B39" s="384"/>
      <c r="C39" s="206">
        <f>SUM(C8:C38)</f>
        <v>300</v>
      </c>
      <c r="D39" s="206">
        <f t="shared" ref="D39:Z39" si="16">SUM(D8:D38)</f>
        <v>251</v>
      </c>
      <c r="E39" s="206">
        <f t="shared" si="16"/>
        <v>49</v>
      </c>
      <c r="F39" s="206">
        <f t="shared" si="16"/>
        <v>51</v>
      </c>
      <c r="G39" s="206">
        <f t="shared" si="16"/>
        <v>57.6</v>
      </c>
      <c r="H39" s="206">
        <f t="shared" si="16"/>
        <v>62.615079365079367</v>
      </c>
      <c r="I39" s="206">
        <f t="shared" si="16"/>
        <v>3525</v>
      </c>
      <c r="J39" s="206">
        <f t="shared" si="16"/>
        <v>2172</v>
      </c>
      <c r="K39" s="206">
        <f t="shared" si="16"/>
        <v>1353</v>
      </c>
      <c r="L39" s="206">
        <f t="shared" si="16"/>
        <v>595</v>
      </c>
      <c r="M39" s="206">
        <f t="shared" si="16"/>
        <v>684</v>
      </c>
      <c r="N39" s="206">
        <f t="shared" si="16"/>
        <v>151.02695503542361</v>
      </c>
      <c r="O39" s="206">
        <f t="shared" si="16"/>
        <v>1380</v>
      </c>
      <c r="P39" s="206">
        <f t="shared" si="16"/>
        <v>728</v>
      </c>
      <c r="Q39" s="206">
        <f t="shared" si="16"/>
        <v>652</v>
      </c>
      <c r="R39" s="206">
        <f t="shared" si="16"/>
        <v>136</v>
      </c>
      <c r="S39" s="206">
        <f t="shared" si="16"/>
        <v>174</v>
      </c>
      <c r="T39" s="206">
        <f t="shared" si="16"/>
        <v>153.53115773115772</v>
      </c>
      <c r="U39" s="206">
        <f t="shared" si="16"/>
        <v>2580</v>
      </c>
      <c r="V39" s="206">
        <f t="shared" si="16"/>
        <v>1962</v>
      </c>
      <c r="W39" s="206">
        <f t="shared" si="16"/>
        <v>618</v>
      </c>
      <c r="X39" s="206">
        <f t="shared" si="16"/>
        <v>289</v>
      </c>
      <c r="Y39" s="206">
        <f t="shared" si="16"/>
        <v>306</v>
      </c>
      <c r="Z39" s="206">
        <f t="shared" si="16"/>
        <v>165.49786687401516</v>
      </c>
    </row>
    <row r="40" spans="1:26" ht="20.100000000000001" customHeight="1" thickBot="1" x14ac:dyDescent="0.25">
      <c r="A40" s="385" t="s">
        <v>35</v>
      </c>
      <c r="B40" s="385"/>
      <c r="C40" s="386">
        <f>C39+I39+O39+U39</f>
        <v>7785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</row>
    <row r="41" spans="1:26" ht="20.100000000000001" customHeight="1" thickBot="1" x14ac:dyDescent="0.25">
      <c r="A41" s="385" t="s">
        <v>36</v>
      </c>
      <c r="B41" s="385"/>
      <c r="C41" s="386">
        <f>D39+J39+P39+V39</f>
        <v>5113</v>
      </c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</row>
    <row r="42" spans="1:26" ht="20.100000000000001" customHeight="1" thickBot="1" x14ac:dyDescent="0.25">
      <c r="A42" s="385" t="s">
        <v>37</v>
      </c>
      <c r="B42" s="385"/>
      <c r="C42" s="386">
        <f>E39+K39+Q39+W39</f>
        <v>2672</v>
      </c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</row>
    <row r="43" spans="1:26" ht="20.100000000000001" customHeight="1" thickBot="1" x14ac:dyDescent="0.25">
      <c r="A43" s="385" t="s">
        <v>38</v>
      </c>
      <c r="B43" s="385"/>
      <c r="C43" s="389">
        <f>C41/C40</f>
        <v>0.65677585099550417</v>
      </c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  <c r="S43" s="390"/>
      <c r="T43" s="390"/>
      <c r="U43" s="390"/>
      <c r="V43" s="390"/>
      <c r="W43" s="390"/>
      <c r="X43" s="390"/>
      <c r="Y43" s="390"/>
      <c r="Z43" s="391"/>
    </row>
    <row r="44" spans="1:26" ht="20.100000000000001" customHeight="1" thickBot="1" x14ac:dyDescent="0.25">
      <c r="A44" s="385" t="s">
        <v>39</v>
      </c>
      <c r="B44" s="385"/>
      <c r="C44" s="386">
        <f>F39+L39+R39+X39</f>
        <v>1071</v>
      </c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</row>
    <row r="45" spans="1:26" ht="15.75" thickBot="1" x14ac:dyDescent="0.25">
      <c r="A45" s="385" t="s">
        <v>40</v>
      </c>
      <c r="B45" s="385"/>
      <c r="C45" s="392">
        <f>C44/'التمام الصباحي'!$C$41:$Z$41</f>
        <v>0.20946606688832389</v>
      </c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94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1"/>
    </customSheetView>
    <customSheetView guid="{18C0F7AC-4BB1-46DE-8A01-8E31FE0585FC}" scale="70" fitToPage="1">
      <pane xSplit="2" ySplit="7" topLeftCell="C12" activePane="bottomRight" state="frozen"/>
      <selection pane="bottomRight" activeCell="M38" sqref="M38"/>
      <pageMargins left="0.25" right="0.25" top="0.75" bottom="0.75" header="0.3" footer="0.3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6.75" customHeight="1" thickBot="1" x14ac:dyDescent="0.3">
      <c r="G5" s="199"/>
      <c r="H5" s="397" t="s">
        <v>161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4" t="s">
        <v>34</v>
      </c>
      <c r="B28" s="384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6" ht="20.100000000000001" customHeight="1" thickBot="1" x14ac:dyDescent="0.25">
      <c r="A30" s="385" t="s">
        <v>36</v>
      </c>
      <c r="B30" s="385"/>
      <c r="C30" s="386">
        <f>D28+I28+N28+S28</f>
        <v>4605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6" ht="20.100000000000001" customHeight="1" thickBot="1" x14ac:dyDescent="0.25">
      <c r="A31" s="385" t="s">
        <v>37</v>
      </c>
      <c r="B31" s="385"/>
      <c r="C31" s="386">
        <f>E28+J28+O28+T28</f>
        <v>0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6" ht="15.75" thickBot="1" x14ac:dyDescent="0.25">
      <c r="A32" s="385" t="s">
        <v>38</v>
      </c>
      <c r="B32" s="385"/>
      <c r="C32" s="389">
        <f>C30/C29</f>
        <v>1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1"/>
    </customSheetView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2.25" customHeight="1" thickBot="1" x14ac:dyDescent="0.3">
      <c r="G5" s="199"/>
      <c r="H5" s="397" t="s">
        <v>162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17</v>
      </c>
      <c r="J8" s="221">
        <f>'خطة الإمداد'!F32</f>
        <v>73</v>
      </c>
      <c r="K8" s="261">
        <v>19</v>
      </c>
      <c r="L8" s="203">
        <f>I8/K8</f>
        <v>0.89473684210526316</v>
      </c>
      <c r="M8" s="262">
        <v>30</v>
      </c>
      <c r="N8" s="261">
        <f>M8-O8</f>
        <v>1</v>
      </c>
      <c r="O8" s="221">
        <f>'خطة الإمداد'!G32</f>
        <v>29</v>
      </c>
      <c r="P8" s="261">
        <v>5</v>
      </c>
      <c r="Q8" s="203">
        <f>N8/P8</f>
        <v>0.2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21</v>
      </c>
      <c r="E10" s="261">
        <f>'خطة الإمداد'!E35</f>
        <v>9</v>
      </c>
      <c r="F10" s="261">
        <v>4</v>
      </c>
      <c r="G10" s="204">
        <f>D10/F10</f>
        <v>5.25</v>
      </c>
      <c r="H10" s="262">
        <v>60</v>
      </c>
      <c r="I10" s="261">
        <f t="shared" ref="I10:I27" si="1">H10-J10</f>
        <v>18</v>
      </c>
      <c r="J10" s="221">
        <f>'خطة الإمداد'!F35</f>
        <v>42</v>
      </c>
      <c r="K10" s="261">
        <v>21</v>
      </c>
      <c r="L10" s="203">
        <f t="shared" ref="L10:L21" si="2">I10/K10</f>
        <v>0.8571428571428571</v>
      </c>
      <c r="M10" s="262">
        <v>30</v>
      </c>
      <c r="N10" s="261">
        <f t="shared" ref="N10:N27" si="3">M10-O10</f>
        <v>12</v>
      </c>
      <c r="O10" s="221">
        <f>'خطة الإمداد'!G35</f>
        <v>18</v>
      </c>
      <c r="P10" s="261">
        <v>5</v>
      </c>
      <c r="Q10" s="203">
        <f>N10/P10</f>
        <v>2.4</v>
      </c>
      <c r="R10" s="262">
        <v>180</v>
      </c>
      <c r="S10" s="221">
        <f t="shared" ref="S10:S27" si="4">R10-T10</f>
        <v>162</v>
      </c>
      <c r="T10" s="261">
        <f>'خطة الإمداد'!H35</f>
        <v>18</v>
      </c>
      <c r="U10" s="261">
        <v>3</v>
      </c>
      <c r="V10" s="203">
        <f>S10/U10</f>
        <v>54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8</v>
      </c>
      <c r="J11" s="221">
        <f>'خطة الإمداد'!F36</f>
        <v>52</v>
      </c>
      <c r="K11" s="261">
        <v>34</v>
      </c>
      <c r="L11" s="203">
        <f t="shared" si="2"/>
        <v>0.23529411764705882</v>
      </c>
      <c r="M11" s="262">
        <v>30</v>
      </c>
      <c r="N11" s="261">
        <f t="shared" si="3"/>
        <v>7</v>
      </c>
      <c r="O11" s="221">
        <f>'خطة الإمداد'!G36</f>
        <v>23</v>
      </c>
      <c r="P11" s="261">
        <v>8</v>
      </c>
      <c r="Q11" s="203">
        <f>N11/P11</f>
        <v>0.875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17</v>
      </c>
      <c r="E12" s="261">
        <f>'خطة الإمداد'!E37</f>
        <v>13</v>
      </c>
      <c r="F12" s="261">
        <v>4</v>
      </c>
      <c r="G12" s="204">
        <f>D12/F12</f>
        <v>4.25</v>
      </c>
      <c r="H12" s="262">
        <v>90</v>
      </c>
      <c r="I12" s="261">
        <f t="shared" si="1"/>
        <v>33</v>
      </c>
      <c r="J12" s="221">
        <f>'خطة الإمداد'!F37</f>
        <v>57</v>
      </c>
      <c r="K12" s="261">
        <v>19</v>
      </c>
      <c r="L12" s="203">
        <f t="shared" si="2"/>
        <v>1.736842105263158</v>
      </c>
      <c r="M12" s="263"/>
      <c r="N12" s="263"/>
      <c r="O12" s="263"/>
      <c r="P12" s="263"/>
      <c r="Q12" s="205"/>
      <c r="R12" s="262">
        <v>180</v>
      </c>
      <c r="S12" s="221">
        <f t="shared" si="4"/>
        <v>151</v>
      </c>
      <c r="T12" s="261">
        <f>'خطة الإمداد'!H37</f>
        <v>29</v>
      </c>
      <c r="U12" s="261">
        <v>8</v>
      </c>
      <c r="V12" s="203">
        <f>S12/U12</f>
        <v>18.875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15</v>
      </c>
      <c r="E13" s="261">
        <f>'خطة الإمداد'!E38</f>
        <v>15</v>
      </c>
      <c r="F13" s="261">
        <v>4</v>
      </c>
      <c r="G13" s="204">
        <f>D13/F13</f>
        <v>3.75</v>
      </c>
      <c r="H13" s="262">
        <v>90</v>
      </c>
      <c r="I13" s="261">
        <f t="shared" si="1"/>
        <v>48</v>
      </c>
      <c r="J13" s="221">
        <f>'خطة الإمداد'!F38</f>
        <v>42</v>
      </c>
      <c r="K13" s="261">
        <v>16</v>
      </c>
      <c r="L13" s="203">
        <f t="shared" si="2"/>
        <v>3</v>
      </c>
      <c r="M13" s="263"/>
      <c r="N13" s="263"/>
      <c r="O13" s="263"/>
      <c r="P13" s="263"/>
      <c r="Q13" s="205"/>
      <c r="R13" s="262">
        <v>180</v>
      </c>
      <c r="S13" s="221">
        <f t="shared" si="4"/>
        <v>147</v>
      </c>
      <c r="T13" s="261">
        <f>'خطة الإمداد'!H38</f>
        <v>33</v>
      </c>
      <c r="U13" s="261">
        <v>19</v>
      </c>
      <c r="V13" s="203">
        <f>S13/U13</f>
        <v>7.7368421052631575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118</v>
      </c>
      <c r="J14" s="221">
        <f>'خطة الإمداد'!F39</f>
        <v>62</v>
      </c>
      <c r="K14" s="261">
        <v>39</v>
      </c>
      <c r="L14" s="203">
        <f t="shared" si="2"/>
        <v>3.0256410256410255</v>
      </c>
      <c r="M14" s="262">
        <v>60</v>
      </c>
      <c r="N14" s="261">
        <f t="shared" si="3"/>
        <v>42</v>
      </c>
      <c r="O14" s="221">
        <f>'خطة الإمداد'!G39</f>
        <v>18</v>
      </c>
      <c r="P14" s="261">
        <v>7</v>
      </c>
      <c r="Q14" s="203">
        <f t="shared" ref="Q14:Q21" si="5">N14/P14</f>
        <v>6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105</v>
      </c>
      <c r="J15" s="221">
        <f>'خطة الإمداد'!F40</f>
        <v>75</v>
      </c>
      <c r="K15" s="261">
        <v>36</v>
      </c>
      <c r="L15" s="203">
        <f t="shared" si="2"/>
        <v>2.9166666666666665</v>
      </c>
      <c r="M15" s="262">
        <v>45</v>
      </c>
      <c r="N15" s="261">
        <f t="shared" si="3"/>
        <v>21</v>
      </c>
      <c r="O15" s="221">
        <f>'خطة الإمداد'!G40</f>
        <v>24</v>
      </c>
      <c r="P15" s="261">
        <v>8</v>
      </c>
      <c r="Q15" s="203">
        <f t="shared" si="5"/>
        <v>2.625</v>
      </c>
      <c r="R15" s="262">
        <v>120</v>
      </c>
      <c r="S15" s="221">
        <f t="shared" si="4"/>
        <v>81</v>
      </c>
      <c r="T15" s="261">
        <f>'خطة الإمداد'!H40</f>
        <v>39</v>
      </c>
      <c r="U15" s="261">
        <v>26</v>
      </c>
      <c r="V15" s="203">
        <f>S15/U15</f>
        <v>3.1153846153846154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71</v>
      </c>
      <c r="J16" s="221">
        <f>'خطة الإمداد'!F41</f>
        <v>19</v>
      </c>
      <c r="K16" s="261">
        <v>6</v>
      </c>
      <c r="L16" s="203">
        <f t="shared" si="2"/>
        <v>11.833333333333334</v>
      </c>
      <c r="M16" s="262">
        <v>30</v>
      </c>
      <c r="N16" s="261">
        <f t="shared" si="3"/>
        <v>16</v>
      </c>
      <c r="O16" s="221">
        <f>'خطة الإمداد'!G41</f>
        <v>14</v>
      </c>
      <c r="P16" s="261">
        <v>2</v>
      </c>
      <c r="Q16" s="203">
        <f t="shared" si="5"/>
        <v>8</v>
      </c>
      <c r="R16" s="262">
        <v>180</v>
      </c>
      <c r="S16" s="221">
        <f t="shared" si="4"/>
        <v>89</v>
      </c>
      <c r="T16" s="261">
        <f>'خطة الإمداد'!H41</f>
        <v>91</v>
      </c>
      <c r="U16" s="261">
        <v>56</v>
      </c>
      <c r="V16" s="203">
        <f>S16/U16</f>
        <v>1.5892857142857142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44</v>
      </c>
      <c r="J17" s="221">
        <f>'خطة الإمداد'!F42</f>
        <v>46</v>
      </c>
      <c r="K17" s="261">
        <v>5</v>
      </c>
      <c r="L17" s="203">
        <f t="shared" si="2"/>
        <v>8.8000000000000007</v>
      </c>
      <c r="M17" s="262">
        <v>30</v>
      </c>
      <c r="N17" s="261">
        <f t="shared" si="3"/>
        <v>2</v>
      </c>
      <c r="O17" s="221">
        <f>'خطة الإمداد'!G42</f>
        <v>28</v>
      </c>
      <c r="P17" s="261">
        <v>1</v>
      </c>
      <c r="Q17" s="203">
        <f t="shared" si="5"/>
        <v>2</v>
      </c>
      <c r="R17" s="262">
        <v>60</v>
      </c>
      <c r="S17" s="194">
        <f t="shared" si="4"/>
        <v>40</v>
      </c>
      <c r="T17" s="261">
        <f>'خطة الإمداد'!H42</f>
        <v>20</v>
      </c>
      <c r="U17" s="261">
        <v>2</v>
      </c>
      <c r="V17" s="261">
        <f>S17/U17</f>
        <v>20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20</v>
      </c>
      <c r="J18" s="221">
        <f>'خطة الإمداد'!F43</f>
        <v>40</v>
      </c>
      <c r="K18" s="261">
        <v>2</v>
      </c>
      <c r="L18" s="203">
        <f t="shared" si="2"/>
        <v>10</v>
      </c>
      <c r="M18" s="262">
        <v>30</v>
      </c>
      <c r="N18" s="261">
        <f t="shared" si="3"/>
        <v>13</v>
      </c>
      <c r="O18" s="221">
        <f>'خطة الإمداد'!G43</f>
        <v>17</v>
      </c>
      <c r="P18" s="261">
        <v>5</v>
      </c>
      <c r="Q18" s="203">
        <f t="shared" si="5"/>
        <v>2.6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71</v>
      </c>
      <c r="J19" s="221">
        <f>'خطة الإمداد'!F44</f>
        <v>19</v>
      </c>
      <c r="K19" s="261">
        <v>6</v>
      </c>
      <c r="L19" s="203">
        <f t="shared" si="2"/>
        <v>11.833333333333334</v>
      </c>
      <c r="M19" s="262">
        <v>30</v>
      </c>
      <c r="N19" s="261">
        <f t="shared" si="3"/>
        <v>11</v>
      </c>
      <c r="O19" s="221">
        <f>'خطة الإمداد'!G44</f>
        <v>19</v>
      </c>
      <c r="P19" s="261">
        <v>2</v>
      </c>
      <c r="Q19" s="203">
        <f t="shared" si="5"/>
        <v>5.5</v>
      </c>
      <c r="R19" s="262">
        <v>180</v>
      </c>
      <c r="S19" s="221">
        <f t="shared" si="4"/>
        <v>161</v>
      </c>
      <c r="T19" s="261">
        <f>'خطة الإمداد'!H44</f>
        <v>19</v>
      </c>
      <c r="U19" s="261">
        <v>16</v>
      </c>
      <c r="V19" s="203">
        <f>S19/U19</f>
        <v>10.0625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27</v>
      </c>
      <c r="J20" s="221">
        <f>'خطة الإمداد'!F45</f>
        <v>63</v>
      </c>
      <c r="K20" s="261">
        <v>7</v>
      </c>
      <c r="L20" s="203">
        <f t="shared" si="2"/>
        <v>3.8571428571428572</v>
      </c>
      <c r="M20" s="262">
        <v>30</v>
      </c>
      <c r="N20" s="261">
        <f t="shared" si="3"/>
        <v>-1</v>
      </c>
      <c r="O20" s="221">
        <f>'خطة الإمداد'!G45</f>
        <v>31</v>
      </c>
      <c r="P20" s="261">
        <v>1</v>
      </c>
      <c r="Q20" s="203">
        <f t="shared" si="5"/>
        <v>-1</v>
      </c>
      <c r="R20" s="262">
        <v>180</v>
      </c>
      <c r="S20" s="221">
        <f t="shared" si="4"/>
        <v>132</v>
      </c>
      <c r="T20" s="261">
        <f>'خطة الإمداد'!H45</f>
        <v>48</v>
      </c>
      <c r="U20" s="261">
        <v>18</v>
      </c>
      <c r="V20" s="203">
        <f>S20/U20</f>
        <v>7.333333333333333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59</v>
      </c>
      <c r="J21" s="221">
        <f>'خطة الإمداد'!F46</f>
        <v>31</v>
      </c>
      <c r="K21" s="261">
        <v>5</v>
      </c>
      <c r="L21" s="203">
        <f t="shared" si="2"/>
        <v>11.8</v>
      </c>
      <c r="M21" s="262">
        <v>30</v>
      </c>
      <c r="N21" s="261">
        <f t="shared" si="3"/>
        <v>27</v>
      </c>
      <c r="O21" s="221">
        <f>'خطة الإمداد'!G46</f>
        <v>3</v>
      </c>
      <c r="P21" s="261">
        <v>1</v>
      </c>
      <c r="Q21" s="203">
        <f t="shared" si="5"/>
        <v>27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17.399999999999999</v>
      </c>
      <c r="E22" s="194">
        <f>'خطة الإمداد'!E47</f>
        <v>12.6</v>
      </c>
      <c r="F22" s="194">
        <v>0.2</v>
      </c>
      <c r="G22" s="194">
        <f>D22/F22</f>
        <v>86.999999999999986</v>
      </c>
      <c r="H22" s="262">
        <v>60</v>
      </c>
      <c r="I22" s="261">
        <f t="shared" si="1"/>
        <v>37</v>
      </c>
      <c r="J22" s="221">
        <f>'خطة الإمداد'!F47</f>
        <v>23</v>
      </c>
      <c r="K22" s="261">
        <v>1</v>
      </c>
      <c r="L22" s="203">
        <f t="shared" ref="L22:L27" si="6">I22/K22</f>
        <v>37</v>
      </c>
      <c r="M22" s="263"/>
      <c r="N22" s="263"/>
      <c r="O22" s="263"/>
      <c r="P22" s="263"/>
      <c r="Q22" s="205"/>
      <c r="R22" s="262">
        <v>120</v>
      </c>
      <c r="S22" s="221">
        <f t="shared" si="4"/>
        <v>70</v>
      </c>
      <c r="T22" s="261">
        <f>'خطة الإمداد'!H47</f>
        <v>50</v>
      </c>
      <c r="U22" s="261">
        <v>14</v>
      </c>
      <c r="V22" s="203">
        <f t="shared" ref="V22:V27" si="7">S22/U22</f>
        <v>5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32</v>
      </c>
      <c r="J23" s="221">
        <f>'خطة الإمداد'!F48</f>
        <v>28</v>
      </c>
      <c r="K23" s="261">
        <v>1</v>
      </c>
      <c r="L23" s="203">
        <f t="shared" si="6"/>
        <v>32</v>
      </c>
      <c r="M23" s="263"/>
      <c r="N23" s="263"/>
      <c r="O23" s="263"/>
      <c r="P23" s="263"/>
      <c r="Q23" s="205"/>
      <c r="R23" s="262">
        <v>120</v>
      </c>
      <c r="S23" s="221">
        <f t="shared" si="4"/>
        <v>92</v>
      </c>
      <c r="T23" s="261">
        <f>'خطة الإمداد'!H48</f>
        <v>28</v>
      </c>
      <c r="U23" s="261">
        <v>7</v>
      </c>
      <c r="V23" s="203">
        <f t="shared" si="7"/>
        <v>13.142857142857142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70</v>
      </c>
      <c r="J24" s="221">
        <f>'خطة الإمداد'!F49</f>
        <v>20</v>
      </c>
      <c r="K24" s="261">
        <v>11</v>
      </c>
      <c r="L24" s="203">
        <f t="shared" si="6"/>
        <v>6.3636363636363633</v>
      </c>
      <c r="M24" s="262">
        <v>30</v>
      </c>
      <c r="N24" s="261">
        <f t="shared" si="3"/>
        <v>14</v>
      </c>
      <c r="O24" s="221">
        <f>'خطة الإمداد'!G49</f>
        <v>16</v>
      </c>
      <c r="P24" s="261">
        <v>1</v>
      </c>
      <c r="Q24" s="203">
        <f>N24/P24</f>
        <v>14</v>
      </c>
      <c r="R24" s="262">
        <v>180</v>
      </c>
      <c r="S24" s="221">
        <f t="shared" si="4"/>
        <v>74</v>
      </c>
      <c r="T24" s="261">
        <f>'خطة الإمداد'!H49</f>
        <v>106</v>
      </c>
      <c r="U24" s="261">
        <v>42</v>
      </c>
      <c r="V24" s="203">
        <f t="shared" si="7"/>
        <v>1.7619047619047619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56</v>
      </c>
      <c r="J25" s="221">
        <f>'خطة الإمداد'!F50</f>
        <v>34</v>
      </c>
      <c r="K25" s="261">
        <v>14</v>
      </c>
      <c r="L25" s="203">
        <f t="shared" si="6"/>
        <v>4</v>
      </c>
      <c r="M25" s="262">
        <v>30</v>
      </c>
      <c r="N25" s="261">
        <f t="shared" si="3"/>
        <v>22</v>
      </c>
      <c r="O25" s="221">
        <f>'خطة الإمداد'!G50</f>
        <v>8</v>
      </c>
      <c r="P25" s="261">
        <v>2</v>
      </c>
      <c r="Q25" s="203">
        <f>N25/P25</f>
        <v>11</v>
      </c>
      <c r="R25" s="262">
        <v>180</v>
      </c>
      <c r="S25" s="221">
        <f t="shared" si="4"/>
        <v>75</v>
      </c>
      <c r="T25" s="261">
        <f>'خطة الإمداد'!H50</f>
        <v>105</v>
      </c>
      <c r="U25" s="261">
        <v>35</v>
      </c>
      <c r="V25" s="203">
        <f t="shared" si="7"/>
        <v>2.1428571428571428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56</v>
      </c>
      <c r="J26" s="221">
        <f>'خطة الإمداد'!F51</f>
        <v>34</v>
      </c>
      <c r="K26" s="261">
        <v>6</v>
      </c>
      <c r="L26" s="203">
        <f t="shared" si="6"/>
        <v>9.3333333333333339</v>
      </c>
      <c r="M26" s="262">
        <v>30</v>
      </c>
      <c r="N26" s="261">
        <f t="shared" si="3"/>
        <v>17</v>
      </c>
      <c r="O26" s="221">
        <f>'خطة الإمداد'!G51</f>
        <v>13</v>
      </c>
      <c r="P26" s="261">
        <v>1</v>
      </c>
      <c r="Q26" s="203">
        <f>N26/P26</f>
        <v>17</v>
      </c>
      <c r="R26" s="262">
        <v>180</v>
      </c>
      <c r="S26" s="221">
        <f t="shared" si="4"/>
        <v>135</v>
      </c>
      <c r="T26" s="261">
        <f>'خطة الإمداد'!H51</f>
        <v>45</v>
      </c>
      <c r="U26" s="261">
        <v>21</v>
      </c>
      <c r="V26" s="203">
        <f t="shared" si="7"/>
        <v>6.4285714285714288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74</v>
      </c>
      <c r="J27" s="221">
        <f>'خطة الإمداد'!F52</f>
        <v>16</v>
      </c>
      <c r="K27" s="261">
        <v>7</v>
      </c>
      <c r="L27" s="203">
        <f t="shared" si="6"/>
        <v>10.571428571428571</v>
      </c>
      <c r="M27" s="262">
        <v>30</v>
      </c>
      <c r="N27" s="261">
        <f t="shared" si="3"/>
        <v>19</v>
      </c>
      <c r="O27" s="221">
        <f>'خطة الإمداد'!G52</f>
        <v>11</v>
      </c>
      <c r="P27" s="261">
        <v>1</v>
      </c>
      <c r="Q27" s="203">
        <f>N27/P27</f>
        <v>19</v>
      </c>
      <c r="R27" s="262">
        <v>180</v>
      </c>
      <c r="S27" s="221">
        <f t="shared" si="4"/>
        <v>130</v>
      </c>
      <c r="T27" s="261">
        <f>'خطة الإمداد'!H52</f>
        <v>50</v>
      </c>
      <c r="U27" s="261">
        <v>22</v>
      </c>
      <c r="V27" s="203">
        <f t="shared" si="7"/>
        <v>5.9090909090909092</v>
      </c>
    </row>
    <row r="28" spans="1:23" ht="24.75" customHeight="1" thickBot="1" x14ac:dyDescent="0.25">
      <c r="A28" s="384" t="s">
        <v>34</v>
      </c>
      <c r="B28" s="384"/>
      <c r="C28" s="206">
        <f>SUM(C8:C27)</f>
        <v>150</v>
      </c>
      <c r="D28" s="206">
        <f>SUM(D8:D27)</f>
        <v>100.4</v>
      </c>
      <c r="E28" s="206">
        <f t="shared" ref="E28:V28" si="8">SUM(E8:E27)</f>
        <v>49.6</v>
      </c>
      <c r="F28" s="206">
        <f t="shared" si="8"/>
        <v>21.2</v>
      </c>
      <c r="G28" s="206">
        <f t="shared" si="8"/>
        <v>103.58333333333331</v>
      </c>
      <c r="H28" s="262">
        <f t="shared" si="8"/>
        <v>1740</v>
      </c>
      <c r="I28" s="206">
        <f t="shared" si="8"/>
        <v>964</v>
      </c>
      <c r="J28" s="206">
        <f t="shared" si="8"/>
        <v>776</v>
      </c>
      <c r="K28" s="206">
        <f t="shared" si="8"/>
        <v>255</v>
      </c>
      <c r="L28" s="207">
        <f t="shared" si="8"/>
        <v>170.05853140667386</v>
      </c>
      <c r="M28" s="262">
        <f t="shared" si="8"/>
        <v>495</v>
      </c>
      <c r="N28" s="206">
        <f t="shared" si="8"/>
        <v>223</v>
      </c>
      <c r="O28" s="206">
        <f t="shared" si="8"/>
        <v>272</v>
      </c>
      <c r="P28" s="206">
        <f t="shared" si="8"/>
        <v>50</v>
      </c>
      <c r="Q28" s="207">
        <f t="shared" si="8"/>
        <v>117.2</v>
      </c>
      <c r="R28" s="262">
        <f t="shared" si="8"/>
        <v>2220</v>
      </c>
      <c r="S28" s="206">
        <f t="shared" si="8"/>
        <v>1539</v>
      </c>
      <c r="T28" s="206">
        <f t="shared" si="8"/>
        <v>681</v>
      </c>
      <c r="U28" s="206">
        <f t="shared" si="8"/>
        <v>289</v>
      </c>
      <c r="V28" s="207">
        <f t="shared" si="8"/>
        <v>157.09762715354816</v>
      </c>
    </row>
    <row r="29" spans="1:23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3" ht="20.100000000000001" customHeight="1" thickBot="1" x14ac:dyDescent="0.25">
      <c r="A30" s="385" t="s">
        <v>36</v>
      </c>
      <c r="B30" s="385"/>
      <c r="C30" s="386">
        <f>D28+I28+N28+S28</f>
        <v>2826.4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3" ht="20.100000000000001" customHeight="1" thickBot="1" x14ac:dyDescent="0.25">
      <c r="A31" s="385" t="s">
        <v>37</v>
      </c>
      <c r="B31" s="385"/>
      <c r="C31" s="386">
        <f>E28+J28+O28+T28</f>
        <v>1778.6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3" ht="20.100000000000001" customHeight="1" thickBot="1" x14ac:dyDescent="0.25">
      <c r="A32" s="385" t="s">
        <v>38</v>
      </c>
      <c r="B32" s="385"/>
      <c r="C32" s="389">
        <f>C30/C29</f>
        <v>0.61376764386536375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1"/>
    </customSheetView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0" t="s">
        <v>94</v>
      </c>
      <c r="R5" s="410"/>
      <c r="S5" s="410"/>
      <c r="T5" s="410"/>
      <c r="U5" s="410"/>
    </row>
    <row r="6" spans="1:21" ht="15.75" customHeight="1" thickBot="1" x14ac:dyDescent="0.25">
      <c r="A6" s="495" t="s">
        <v>3</v>
      </c>
      <c r="B6" s="534">
        <v>80</v>
      </c>
      <c r="C6" s="535"/>
      <c r="D6" s="534">
        <v>92</v>
      </c>
      <c r="E6" s="535"/>
      <c r="F6" s="534">
        <v>95</v>
      </c>
      <c r="G6" s="535"/>
      <c r="H6" s="534" t="s">
        <v>50</v>
      </c>
      <c r="I6" s="535"/>
      <c r="K6" s="495" t="s">
        <v>3</v>
      </c>
      <c r="L6" s="73">
        <v>80</v>
      </c>
      <c r="M6" s="73">
        <v>92</v>
      </c>
      <c r="N6" s="73">
        <v>95</v>
      </c>
      <c r="O6" s="73" t="s">
        <v>50</v>
      </c>
      <c r="Q6" s="536" t="s">
        <v>3</v>
      </c>
      <c r="R6" s="537" t="s">
        <v>95</v>
      </c>
      <c r="S6" s="537" t="s">
        <v>96</v>
      </c>
      <c r="T6" s="537" t="s">
        <v>97</v>
      </c>
      <c r="U6" s="539" t="s">
        <v>98</v>
      </c>
    </row>
    <row r="7" spans="1:21" ht="15.75" thickBot="1" x14ac:dyDescent="0.25">
      <c r="A7" s="49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97"/>
      <c r="L7" s="74" t="s">
        <v>7</v>
      </c>
      <c r="M7" s="74" t="s">
        <v>7</v>
      </c>
      <c r="N7" s="74" t="s">
        <v>7</v>
      </c>
      <c r="O7" s="74" t="s">
        <v>7</v>
      </c>
      <c r="Q7" s="536"/>
      <c r="R7" s="538"/>
      <c r="S7" s="538"/>
      <c r="T7" s="538"/>
      <c r="U7" s="53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48</v>
      </c>
      <c r="E8" s="10">
        <f>'التمام الصباحي'!N8</f>
        <v>1.68</v>
      </c>
      <c r="F8" s="72">
        <f>'التمام الصباحي'!Q8</f>
        <v>21</v>
      </c>
      <c r="G8" s="10">
        <f>'التمام الصباحي'!T8</f>
        <v>1.125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34</v>
      </c>
      <c r="N8" s="41">
        <f>IF(F8&gt;101,102,IF(F8&gt;84,85,IF(F8&gt;67,68,IF(F8&gt;50,51,IF(F8&gt;33,34,IF(F8&gt;16,17,0))))))</f>
        <v>17</v>
      </c>
      <c r="O8" s="80"/>
      <c r="P8" s="81"/>
      <c r="Q8" s="82" t="s">
        <v>15</v>
      </c>
      <c r="R8" s="83">
        <f t="shared" ref="R8:R26" si="0">ROUNDDOWN((SUM(L8:O8)/51),0.9)</f>
        <v>1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4</v>
      </c>
      <c r="C9" s="9">
        <f>'التمام الصباحي'!H11</f>
        <v>5.2</v>
      </c>
      <c r="D9" s="72">
        <f>'التمام الصباحي'!K11</f>
        <v>17</v>
      </c>
      <c r="E9" s="10">
        <f>'التمام الصباحي'!N11</f>
        <v>1.72</v>
      </c>
      <c r="F9" s="72">
        <f>'التمام الصباحي'!Q11</f>
        <v>10</v>
      </c>
      <c r="G9" s="10">
        <f>'التمام الصباحي'!T11</f>
        <v>2.5</v>
      </c>
      <c r="H9" s="5">
        <f>'التمام الصباحي'!W11</f>
        <v>12</v>
      </c>
      <c r="I9" s="10">
        <f>'التمام الصباحي'!Z11</f>
        <v>28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0">
        <f>IF((ROUNDDOWN((SUM(M9:M10)/51)-(R9+R10),0.9))&lt;0,0,(ROUNDDOWN((SUM(M9:M10)/51)-(R9+R10),0.9)))</f>
        <v>0</v>
      </c>
      <c r="T9" s="540">
        <f>IF((ROUNDDOWN((SUM(O9:O10)/51)-(R9+R10),0.9))&lt;0,0,(ROUNDDOWN((SUM(O9:O10)/51)-(R9+R10),0.9)))</f>
        <v>0</v>
      </c>
      <c r="U9" s="54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10</v>
      </c>
      <c r="E10" s="10">
        <f>'التمام الصباحي'!N12</f>
        <v>1.9047619047619047</v>
      </c>
      <c r="F10" s="72">
        <f>'التمام الصباحي'!Q12</f>
        <v>11</v>
      </c>
      <c r="G10" s="10">
        <f>'التمام الصباحي'!T12</f>
        <v>1.5833333333333333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1"/>
      <c r="T10" s="541"/>
      <c r="U10" s="541"/>
    </row>
    <row r="11" spans="1:21" ht="17.25" thickTop="1" thickBot="1" x14ac:dyDescent="0.3">
      <c r="A11" s="77" t="s">
        <v>18</v>
      </c>
      <c r="B11" s="5">
        <f>'التمام الصباحي'!E13</f>
        <v>9</v>
      </c>
      <c r="C11" s="9">
        <f>'التمام الصباحي'!H13</f>
        <v>5.25</v>
      </c>
      <c r="D11" s="72">
        <f>'التمام الصباحي'!K13</f>
        <v>30</v>
      </c>
      <c r="E11" s="10">
        <f>'التمام الصباحي'!N13</f>
        <v>2.2222222222222223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21</v>
      </c>
      <c r="I11" s="10">
        <f>'التمام الصباحي'!Z13</f>
        <v>19.875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17</v>
      </c>
      <c r="P11" s="81"/>
      <c r="Q11" s="92" t="s">
        <v>18</v>
      </c>
      <c r="R11" s="93">
        <f t="shared" si="0"/>
        <v>0</v>
      </c>
      <c r="S11" s="542">
        <f>IF((ROUNDDOWN((SUM(M11:M12)/51)-(R11+R12),0.9))&lt;0,0,(ROUNDDOWN((SUM(M11:M12)/51)-(R11+R12),0.9)))</f>
        <v>0</v>
      </c>
      <c r="T11" s="542">
        <f t="shared" ref="T11" si="5">IF((ROUNDDOWN((SUM(O11:O12)/51)-(R11+R12),0.9))&lt;0,0,(ROUNDDOWN((SUM(O11:O12)/51)-(R11+R12),0.9)))</f>
        <v>0</v>
      </c>
      <c r="U11" s="542">
        <f t="shared" ref="U11" si="6">IF((ROUNDDOWN((SUM(L11:O12)/51)-(R11+R12+S11+T11),0.9))&lt;0,0,ROUNDDOWN((SUM(L11:O12)/51)-(R11+R12+S11+T11),0.9))</f>
        <v>1</v>
      </c>
    </row>
    <row r="12" spans="1:21" ht="16.5" thickBot="1" x14ac:dyDescent="0.3">
      <c r="A12" s="77" t="s">
        <v>19</v>
      </c>
      <c r="B12" s="5">
        <f>'التمام الصباحي'!E14</f>
        <v>8</v>
      </c>
      <c r="C12" s="9">
        <f>'التمام الصباحي'!H14</f>
        <v>3.1428571428571428</v>
      </c>
      <c r="D12" s="72">
        <f>'التمام الصباحي'!K14</f>
        <v>20</v>
      </c>
      <c r="E12" s="10">
        <f>'التمام الصباحي'!N14</f>
        <v>3.1818181818181817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13</v>
      </c>
      <c r="I12" s="10">
        <f>'التمام الصباحي'!Z14</f>
        <v>8.35</v>
      </c>
      <c r="K12" s="79" t="s">
        <v>19</v>
      </c>
      <c r="L12" s="41">
        <f t="shared" si="3"/>
        <v>0</v>
      </c>
      <c r="M12" s="41">
        <f t="shared" si="1"/>
        <v>17</v>
      </c>
      <c r="N12" s="80"/>
      <c r="O12" s="41">
        <f t="shared" si="4"/>
        <v>0</v>
      </c>
      <c r="P12" s="81"/>
      <c r="Q12" s="94" t="s">
        <v>19</v>
      </c>
      <c r="R12" s="95">
        <f t="shared" si="0"/>
        <v>0</v>
      </c>
      <c r="S12" s="542"/>
      <c r="T12" s="542"/>
      <c r="U12" s="54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10</v>
      </c>
      <c r="E13" s="10">
        <f>'التمام الصباحي'!N15</f>
        <v>3.2692307692307692</v>
      </c>
      <c r="F13" s="72">
        <f>'التمام الصباحي'!Q15</f>
        <v>3</v>
      </c>
      <c r="G13" s="10">
        <f>'التمام الصباحي'!T15</f>
        <v>3.8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0">
        <f>IF((ROUNDDOWN((SUM(M13:M14)/51)-(R13+R14),0.9))&lt;0,0,(ROUNDDOWN((SUM(M13:M14)/51)-(R13+R14),0.9)))</f>
        <v>0</v>
      </c>
      <c r="T13" s="540">
        <f t="shared" ref="T13" si="7">IF((ROUNDDOWN((SUM(O13:O14)/51)-(R13+R14),0.9))&lt;0,0,(ROUNDDOWN((SUM(O13:O14)/51)-(R13+R14),0.9)))</f>
        <v>0</v>
      </c>
      <c r="U13" s="54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40</v>
      </c>
      <c r="E14" s="10">
        <f>'التمام الصباحي'!N16</f>
        <v>4</v>
      </c>
      <c r="F14" s="72">
        <f>'التمام الصباحي'!Q16</f>
        <v>13</v>
      </c>
      <c r="G14" s="10">
        <f>'التمام الصباحي'!T16</f>
        <v>2.9090909090909092</v>
      </c>
      <c r="H14" s="5">
        <f>'التمام الصباحي'!W16</f>
        <v>14</v>
      </c>
      <c r="I14" s="10">
        <f>'التمام الصباحي'!Z16</f>
        <v>4.24</v>
      </c>
      <c r="K14" s="88" t="s">
        <v>21</v>
      </c>
      <c r="L14" s="80"/>
      <c r="M14" s="41">
        <f t="shared" si="1"/>
        <v>34</v>
      </c>
      <c r="N14" s="41">
        <f t="shared" si="2"/>
        <v>0</v>
      </c>
      <c r="O14" s="41">
        <f t="shared" si="4"/>
        <v>0</v>
      </c>
      <c r="P14" s="81"/>
      <c r="Q14" s="89" t="s">
        <v>21</v>
      </c>
      <c r="R14" s="90">
        <f t="shared" si="0"/>
        <v>0</v>
      </c>
      <c r="S14" s="541"/>
      <c r="T14" s="541"/>
      <c r="U14" s="54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7</v>
      </c>
      <c r="E15" s="10">
        <f>'التمام الصباحي'!N17</f>
        <v>6.916666666666667</v>
      </c>
      <c r="F15" s="72">
        <f>'التمام الصباحي'!Q17</f>
        <v>8</v>
      </c>
      <c r="G15" s="10">
        <f>'التمام الصباحي'!T17</f>
        <v>3.6666666666666665</v>
      </c>
      <c r="H15" s="5">
        <f>'التمام الصباحي'!W17</f>
        <v>60</v>
      </c>
      <c r="I15" s="10">
        <f>'التمام الصباحي'!Z17</f>
        <v>3.870967741935484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34</v>
      </c>
      <c r="E16" s="10">
        <f>'التمام الصباحي'!N18</f>
        <v>4.666666666666667</v>
      </c>
      <c r="F16" s="72">
        <f>'التمام الصباحي'!Q18</f>
        <v>24</v>
      </c>
      <c r="G16" s="10">
        <f>'التمام الصباحي'!T18</f>
        <v>1.5</v>
      </c>
      <c r="H16" s="5">
        <f>'التمام الصباحي'!W18</f>
        <v>15</v>
      </c>
      <c r="I16" s="10">
        <f>'التمام الصباحي'!Z18</f>
        <v>9</v>
      </c>
      <c r="K16" s="85" t="s">
        <v>23</v>
      </c>
      <c r="L16" s="80"/>
      <c r="M16" s="41">
        <f t="shared" si="1"/>
        <v>34</v>
      </c>
      <c r="N16" s="41">
        <f t="shared" si="2"/>
        <v>17</v>
      </c>
      <c r="O16" s="41">
        <f t="shared" si="4"/>
        <v>0</v>
      </c>
      <c r="P16" s="81"/>
      <c r="Q16" s="92" t="s">
        <v>23</v>
      </c>
      <c r="R16" s="93">
        <f t="shared" si="0"/>
        <v>1</v>
      </c>
      <c r="S16" s="543">
        <f>IF((ROUNDDOWN((SUM(M16:M17)/51)-(R16+R17),0.9))&lt;0,0,(ROUNDDOWN((SUM(M16:M17)/51)-(R16+R17),0.9)))</f>
        <v>0</v>
      </c>
      <c r="T16" s="543">
        <f>IF((ROUNDDOWN((SUM(O16:O17)/51)-(R16+R17),0.9))&lt;0,0,(ROUNDDOWN((SUM(O16:O17)/51)-(R16+R17),0.9)))</f>
        <v>0</v>
      </c>
      <c r="U16" s="543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35</v>
      </c>
      <c r="E17" s="10">
        <f>'التمام الصباحي'!N19</f>
        <v>5</v>
      </c>
      <c r="F17" s="72">
        <f>'التمام الصباحي'!Q19</f>
        <v>15</v>
      </c>
      <c r="G17" s="10">
        <f>'التمام الصباحي'!T19</f>
        <v>7.5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34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44"/>
      <c r="T17" s="544"/>
      <c r="U17" s="54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15</v>
      </c>
      <c r="E18" s="10">
        <f>'التمام الصباحي'!N20</f>
        <v>18.75</v>
      </c>
      <c r="F18" s="72">
        <f>'التمام الصباحي'!Q20</f>
        <v>17</v>
      </c>
      <c r="G18" s="10">
        <f>'التمام الصباحي'!T20</f>
        <v>6.5</v>
      </c>
      <c r="H18" s="5">
        <f>'التمام الصباحي'!W20</f>
        <v>12</v>
      </c>
      <c r="I18" s="10">
        <f>'التمام الصباحي'!Z20</f>
        <v>24</v>
      </c>
      <c r="K18" s="96" t="s">
        <v>26</v>
      </c>
      <c r="L18" s="80"/>
      <c r="M18" s="41">
        <f t="shared" si="1"/>
        <v>0</v>
      </c>
      <c r="N18" s="41">
        <f t="shared" si="2"/>
        <v>17</v>
      </c>
      <c r="O18" s="41">
        <f t="shared" si="4"/>
        <v>0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29</v>
      </c>
      <c r="E19" s="10">
        <f>'التمام الصباحي'!N21</f>
        <v>1.7941176470588236</v>
      </c>
      <c r="F19" s="72">
        <f>'التمام الصباحي'!Q21</f>
        <v>18</v>
      </c>
      <c r="G19" s="10">
        <f>'التمام الصباحي'!T21</f>
        <v>0.92307692307692313</v>
      </c>
      <c r="H19" s="5">
        <f>'التمام الصباحي'!W21</f>
        <v>26</v>
      </c>
      <c r="I19" s="10">
        <f>'التمام الصباحي'!Z21</f>
        <v>7</v>
      </c>
      <c r="K19" s="85" t="s">
        <v>25</v>
      </c>
      <c r="L19" s="80"/>
      <c r="M19" s="41">
        <f t="shared" si="1"/>
        <v>17</v>
      </c>
      <c r="N19" s="41">
        <f t="shared" si="2"/>
        <v>17</v>
      </c>
      <c r="O19" s="41">
        <f t="shared" si="4"/>
        <v>17</v>
      </c>
      <c r="P19" s="81"/>
      <c r="Q19" s="86" t="s">
        <v>25</v>
      </c>
      <c r="R19" s="87">
        <f t="shared" si="0"/>
        <v>1</v>
      </c>
      <c r="S19" s="540">
        <f>IF((ROUNDDOWN((SUM(M19:M20)/51)-(R19+R20),0.9))&lt;0,0,(ROUNDDOWN((SUM(M19:M20)/51)-(R19+R20),0.9)))</f>
        <v>0</v>
      </c>
      <c r="T19" s="540">
        <f>IF((ROUNDDOWN((SUM(O19:O20)/51)-(R19+R20),0.9))&lt;0,0,(ROUNDDOWN((SUM(O19:O20)/51)-(R19+R20),0.9)))</f>
        <v>0</v>
      </c>
      <c r="U19" s="540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23</v>
      </c>
      <c r="E20" s="10">
        <f>'التمام الصباحي'!N22</f>
        <v>8.375</v>
      </c>
      <c r="F20" s="72">
        <f>'التمام الصباحي'!Q22</f>
        <v>1</v>
      </c>
      <c r="G20" s="10">
        <f>'التمام الصباحي'!T22</f>
        <v>14.5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1"/>
      <c r="T20" s="541"/>
      <c r="U20" s="541"/>
    </row>
    <row r="21" spans="1:21" ht="17.25" thickTop="1" thickBot="1" x14ac:dyDescent="0.3">
      <c r="A21" s="77" t="s">
        <v>28</v>
      </c>
      <c r="B21" s="5">
        <f>'التمام الصباحي'!E23</f>
        <v>12</v>
      </c>
      <c r="C21" s="9">
        <f>'التمام الصباحي'!H23</f>
        <v>30</v>
      </c>
      <c r="D21" s="72">
        <f>'التمام الصباحي'!K23</f>
        <v>20</v>
      </c>
      <c r="E21" s="10">
        <f>'التمام الصباحي'!N23</f>
        <v>13.333333333333334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43</v>
      </c>
      <c r="I21" s="10">
        <f>'التمام الصباحي'!Z23</f>
        <v>11</v>
      </c>
      <c r="K21" s="91" t="s">
        <v>28</v>
      </c>
      <c r="L21" s="41">
        <f t="shared" si="3"/>
        <v>0</v>
      </c>
      <c r="M21" s="41">
        <f t="shared" si="1"/>
        <v>17</v>
      </c>
      <c r="N21" s="80"/>
      <c r="O21" s="41">
        <f t="shared" si="4"/>
        <v>34</v>
      </c>
      <c r="P21" s="81"/>
      <c r="Q21" s="92" t="s">
        <v>28</v>
      </c>
      <c r="R21" s="93">
        <f t="shared" si="0"/>
        <v>1</v>
      </c>
      <c r="S21" s="542">
        <f>IF((ROUNDDOWN((SUM(M21:M22)/51)-(R21+R22),0.9))&lt;0,0,(ROUNDDOWN((SUM(M21:M22)/51)-(R21+R22),0.9)))</f>
        <v>0</v>
      </c>
      <c r="T21" s="543">
        <f>IF((ROUNDDOWN((SUM(O21:O22)/51)-(R21+R22),0.9))&lt;0,0,(ROUNDDOWN((SUM(O21:O22)/51)-(R21+R22),0.9)))</f>
        <v>0</v>
      </c>
      <c r="U21" s="54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22</v>
      </c>
      <c r="E22" s="10">
        <f>'التمام الصباحي'!N24</f>
        <v>6.333333333333333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23</v>
      </c>
      <c r="I22" s="10">
        <f>'التمام الصباحي'!Z24</f>
        <v>19.399999999999999</v>
      </c>
      <c r="K22" s="79" t="s">
        <v>29</v>
      </c>
      <c r="L22" s="80"/>
      <c r="M22" s="41">
        <f t="shared" si="1"/>
        <v>17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542"/>
      <c r="T22" s="544"/>
      <c r="U22" s="54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5</v>
      </c>
      <c r="E23" s="10">
        <f>'التمام الصباحي'!N25</f>
        <v>5.666666666666667</v>
      </c>
      <c r="F23" s="72">
        <f>'التمام الصباحي'!Q25</f>
        <v>13</v>
      </c>
      <c r="G23" s="10">
        <f>'التمام الصباحي'!T25</f>
        <v>5.666666666666667</v>
      </c>
      <c r="H23" s="5">
        <f>'التمام الصباحي'!W25</f>
        <v>63</v>
      </c>
      <c r="I23" s="10">
        <f>'التمام الصباحي'!Z25</f>
        <v>2.7209302325581395</v>
      </c>
      <c r="K23" s="85" t="s">
        <v>30</v>
      </c>
      <c r="L23" s="80"/>
      <c r="M23" s="41">
        <f t="shared" si="1"/>
        <v>0</v>
      </c>
      <c r="N23" s="41">
        <f t="shared" si="2"/>
        <v>0</v>
      </c>
      <c r="O23" s="41">
        <f t="shared" si="4"/>
        <v>51</v>
      </c>
      <c r="P23" s="81"/>
      <c r="Q23" s="86" t="s">
        <v>30</v>
      </c>
      <c r="R23" s="87">
        <f t="shared" si="0"/>
        <v>1</v>
      </c>
      <c r="S23" s="540">
        <f>IF((ROUNDDOWN((SUM(M23:M24)/51)-(R23+R24),0.9))&lt;0,0,(ROUNDDOWN((SUM(M23:M24)/51)-(R23+R24),0.9)))</f>
        <v>0</v>
      </c>
      <c r="T23" s="540">
        <f>IF((ROUNDDOWN((SUM(O23:O24)/51)-(R23+R24),0.9))&lt;0,0,(ROUNDDOWN((SUM(O23:O24)/51)-(R23+R24),0.9)))</f>
        <v>0</v>
      </c>
      <c r="U23" s="540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17</v>
      </c>
      <c r="E24" s="10">
        <f>'التمام الصباحي'!N26</f>
        <v>4.2941176470588234</v>
      </c>
      <c r="F24" s="72">
        <f>'التمام الصباحي'!Q26</f>
        <v>4</v>
      </c>
      <c r="G24" s="10">
        <f>'التمام الصباحي'!T26</f>
        <v>6.5</v>
      </c>
      <c r="H24" s="5">
        <f>'التمام الصباحي'!W26</f>
        <v>65</v>
      </c>
      <c r="I24" s="10">
        <f>'التمام الصباحي'!Z26</f>
        <v>2.875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41"/>
      <c r="T24" s="541"/>
      <c r="U24" s="54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22</v>
      </c>
      <c r="E25" s="10">
        <f>'التمام الصباحي'!N27</f>
        <v>5.666666666666667</v>
      </c>
      <c r="F25" s="72">
        <f>'التمام الصباحي'!Q27</f>
        <v>11</v>
      </c>
      <c r="G25" s="10">
        <f>'التمام الصباحي'!T27</f>
        <v>9.5</v>
      </c>
      <c r="H25" s="5">
        <f>'التمام الصباحي'!W27</f>
        <v>23</v>
      </c>
      <c r="I25" s="10">
        <f>'التمام الصباحي'!Z27</f>
        <v>7.1363636363636367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17</v>
      </c>
      <c r="P25" s="81"/>
      <c r="Q25" s="92" t="s">
        <v>32</v>
      </c>
      <c r="R25" s="93">
        <f t="shared" si="0"/>
        <v>0</v>
      </c>
      <c r="S25" s="542">
        <f>IF((ROUNDDOWN((SUM(M25:M26)/51)-(R25+R26),0.9))&lt;0,0,(ROUNDDOWN((SUM(M25:M26)/51)-(R25+R26),0.9)))</f>
        <v>0</v>
      </c>
      <c r="T25" s="542">
        <f>IF((ROUNDDOWN((SUM(O25:O26)/51)-(R25+R26),0.9))&lt;0,0,(ROUNDDOWN((SUM(O25:O26)/51)-(R25+R26),0.9)))</f>
        <v>0</v>
      </c>
      <c r="U25" s="542">
        <f t="shared" ref="U25" si="11">IF((ROUNDDOWN((SUM(L25:O26)/51)-(R25+R26+S25+T25),0.9))&lt;0,0,ROUNDDOWN((SUM(L25:O26)/51)-(R25+R26+S25+T25),0.9))</f>
        <v>1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7</v>
      </c>
      <c r="E26" s="10">
        <f>'التمام الصباحي'!N28</f>
        <v>9.2222222222222214</v>
      </c>
      <c r="F26" s="72">
        <f>'التمام الصباحي'!Q28</f>
        <v>9</v>
      </c>
      <c r="G26" s="10">
        <f>'التمام الصباحي'!T28</f>
        <v>10.5</v>
      </c>
      <c r="H26" s="5">
        <f>'التمام الصباحي'!W28</f>
        <v>31</v>
      </c>
      <c r="I26" s="10">
        <f>'التمام الصباحي'!Z28</f>
        <v>7.8421052631578947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545"/>
      <c r="T26" s="545"/>
      <c r="U26" s="545"/>
    </row>
    <row r="29" spans="1:21" ht="15.75" x14ac:dyDescent="0.2">
      <c r="K29" s="159" t="s">
        <v>117</v>
      </c>
      <c r="M29">
        <f>SUM(L8:O26)</f>
        <v>629</v>
      </c>
      <c r="U29" s="138">
        <f>SUM(R8:U26)</f>
        <v>9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7" t="s">
        <v>123</v>
      </c>
      <c r="C3" s="547"/>
      <c r="D3" s="547"/>
      <c r="F3" s="547" t="s">
        <v>124</v>
      </c>
      <c r="G3" s="547"/>
      <c r="H3" s="547"/>
      <c r="J3" s="446" t="s">
        <v>125</v>
      </c>
      <c r="K3" s="446"/>
      <c r="M3" s="446" t="s">
        <v>127</v>
      </c>
      <c r="N3" s="446"/>
      <c r="P3" s="446" t="s">
        <v>126</v>
      </c>
      <c r="Q3" s="446"/>
    </row>
    <row r="4" spans="2:20" ht="15.75" thickBot="1" x14ac:dyDescent="0.25">
      <c r="B4" s="495" t="s">
        <v>3</v>
      </c>
      <c r="C4" s="408" t="s">
        <v>84</v>
      </c>
      <c r="D4" s="408" t="s">
        <v>88</v>
      </c>
      <c r="F4" s="495" t="s">
        <v>3</v>
      </c>
      <c r="G4" s="408" t="s">
        <v>84</v>
      </c>
      <c r="H4" s="408" t="s">
        <v>88</v>
      </c>
      <c r="J4" s="495" t="s">
        <v>3</v>
      </c>
      <c r="K4" s="408" t="s">
        <v>85</v>
      </c>
      <c r="L4" s="546"/>
      <c r="M4" s="495" t="s">
        <v>3</v>
      </c>
      <c r="N4" s="408" t="s">
        <v>109</v>
      </c>
      <c r="P4" s="495" t="s">
        <v>3</v>
      </c>
      <c r="Q4" s="408" t="s">
        <v>90</v>
      </c>
    </row>
    <row r="5" spans="2:20" ht="15.75" thickBot="1" x14ac:dyDescent="0.25">
      <c r="B5" s="497"/>
      <c r="C5" s="408"/>
      <c r="D5" s="408"/>
      <c r="F5" s="497"/>
      <c r="G5" s="408"/>
      <c r="H5" s="408"/>
      <c r="J5" s="497"/>
      <c r="K5" s="408"/>
      <c r="L5" s="546"/>
      <c r="M5" s="497"/>
      <c r="N5" s="408"/>
      <c r="P5" s="497"/>
      <c r="Q5" s="408"/>
    </row>
    <row r="6" spans="2:20" ht="16.5" thickBot="1" x14ac:dyDescent="0.25">
      <c r="B6" s="165" t="s">
        <v>120</v>
      </c>
      <c r="C6" s="537">
        <f>IF(G20&gt;H20,$C$21*2*$K$21,IF(G20=H20,$C$21*2*$K$21,0))</f>
        <v>72</v>
      </c>
      <c r="D6" s="537">
        <f>IF(G20&gt;H20,$D$21*2*$L$21,IF(G20=H20,$D$21*2*$L$21,0))</f>
        <v>0</v>
      </c>
      <c r="F6" s="165" t="s">
        <v>120</v>
      </c>
      <c r="G6" s="537">
        <f>IF(H20&gt;G20,$C$21*2*$K$21,0)</f>
        <v>0</v>
      </c>
      <c r="H6" s="53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37">
        <f>C36*2*P25</f>
        <v>0</v>
      </c>
      <c r="P6" s="165" t="s">
        <v>30</v>
      </c>
      <c r="Q6" s="537">
        <f>C42*2*O28</f>
        <v>216</v>
      </c>
    </row>
    <row r="7" spans="2:20" ht="16.5" thickBot="1" x14ac:dyDescent="0.25">
      <c r="B7" s="165" t="s">
        <v>121</v>
      </c>
      <c r="C7" s="538"/>
      <c r="D7" s="538"/>
      <c r="F7" s="165" t="s">
        <v>121</v>
      </c>
      <c r="G7" s="538"/>
      <c r="H7" s="538"/>
      <c r="J7" s="165" t="s">
        <v>23</v>
      </c>
      <c r="K7" s="537">
        <f>C32*2*N23</f>
        <v>0</v>
      </c>
      <c r="M7" s="165" t="s">
        <v>27</v>
      </c>
      <c r="N7" s="538"/>
      <c r="P7" s="165" t="s">
        <v>31</v>
      </c>
      <c r="Q7" s="53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38"/>
      <c r="M8" s="165" t="s">
        <v>112</v>
      </c>
      <c r="N8" s="164"/>
      <c r="P8" s="165" t="s">
        <v>32</v>
      </c>
      <c r="Q8" s="537">
        <f>C44*2*O29</f>
        <v>0</v>
      </c>
    </row>
    <row r="9" spans="2:20" ht="16.5" thickBot="1" x14ac:dyDescent="0.25">
      <c r="B9" s="165" t="s">
        <v>16</v>
      </c>
      <c r="C9" s="537">
        <f>IF(G20&gt;H20,$C$24*2*$K$18,IF(G20=H20,$C$24*2*$K$18,0))</f>
        <v>32</v>
      </c>
      <c r="D9" s="537">
        <f>IF(G20&gt;H20,$D$24*2*$L$18,IF(G20=H20,$D$24*2*$L$18,0))</f>
        <v>70</v>
      </c>
      <c r="F9" s="165" t="s">
        <v>16</v>
      </c>
      <c r="G9" s="537">
        <f>IF(H20&gt;G20,$C$24*2*$K$18,0)</f>
        <v>0</v>
      </c>
      <c r="H9" s="53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37">
        <f>C39*2*P27</f>
        <v>304</v>
      </c>
      <c r="P9" s="165" t="s">
        <v>33</v>
      </c>
      <c r="Q9" s="538"/>
    </row>
    <row r="10" spans="2:20" ht="16.5" thickBot="1" x14ac:dyDescent="0.25">
      <c r="B10" s="165" t="s">
        <v>17</v>
      </c>
      <c r="C10" s="538"/>
      <c r="D10" s="538"/>
      <c r="F10" s="165" t="s">
        <v>17</v>
      </c>
      <c r="G10" s="538"/>
      <c r="H10" s="538"/>
      <c r="M10" s="165" t="s">
        <v>29</v>
      </c>
      <c r="N10" s="538"/>
    </row>
    <row r="11" spans="2:20" ht="16.5" thickBot="1" x14ac:dyDescent="0.25">
      <c r="B11" s="165" t="s">
        <v>18</v>
      </c>
      <c r="C11" s="537">
        <f>IF(G20&gt;H20,$C$26*2*$K$19,IF(G20=H20,$C$26*2*$K$19,0))</f>
        <v>64</v>
      </c>
      <c r="D11" s="537">
        <f>IF(G20&gt;H20,$D$26*2*$L$19,IF(G20=H20,$D$26*2*$L$19,0))</f>
        <v>0</v>
      </c>
      <c r="F11" s="165" t="s">
        <v>18</v>
      </c>
      <c r="G11" s="537">
        <f>IF(H20&gt;G20,$C$26*2*$K$19,0)</f>
        <v>0</v>
      </c>
      <c r="H11" s="537">
        <f>IF(H20&gt;G20,$D$26*2*$L$19,0)</f>
        <v>0</v>
      </c>
    </row>
    <row r="12" spans="2:20" ht="16.5" thickBot="1" x14ac:dyDescent="0.25">
      <c r="B12" s="165" t="s">
        <v>19</v>
      </c>
      <c r="C12" s="538"/>
      <c r="D12" s="538"/>
      <c r="F12" s="165" t="s">
        <v>19</v>
      </c>
      <c r="G12" s="538"/>
      <c r="H12" s="538"/>
      <c r="J12" s="560" t="s">
        <v>154</v>
      </c>
      <c r="K12" s="182">
        <f>K6+K7+K9</f>
        <v>0</v>
      </c>
      <c r="M12" s="560" t="s">
        <v>154</v>
      </c>
      <c r="N12" s="182">
        <f>SUM(N6:N10)</f>
        <v>304</v>
      </c>
      <c r="P12" s="560" t="s">
        <v>154</v>
      </c>
      <c r="Q12" s="182">
        <f>SUM(Q6:Q9)</f>
        <v>216</v>
      </c>
    </row>
    <row r="13" spans="2:20" ht="18" customHeight="1" thickBot="1" x14ac:dyDescent="0.25">
      <c r="B13" s="165" t="s">
        <v>20</v>
      </c>
      <c r="C13" s="537">
        <f>IF(G20&gt;H20,$C$28*2*$K$20,IF(G20=H20,$C$28*2*$K$20,0))</f>
        <v>312</v>
      </c>
      <c r="D13" s="537">
        <f>IF(G20&gt;H20,$D$28*2*$L$20,IF(G20=H20,$D$28*2*$L$20,0))</f>
        <v>0</v>
      </c>
      <c r="F13" s="165" t="s">
        <v>20</v>
      </c>
      <c r="G13" s="537">
        <f>IF(H20&gt;G20,$C$28*2*$K$20,0)</f>
        <v>0</v>
      </c>
      <c r="H13" s="537">
        <f>IF(H20&gt;G20,$D$28*2*$L$20,0)</f>
        <v>0</v>
      </c>
      <c r="J13" s="560"/>
      <c r="K13" s="182"/>
      <c r="M13" s="560"/>
      <c r="N13" s="182"/>
      <c r="P13" s="560"/>
      <c r="Q13" s="182"/>
    </row>
    <row r="14" spans="2:20" ht="16.5" thickBot="1" x14ac:dyDescent="0.25">
      <c r="B14" s="165" t="s">
        <v>21</v>
      </c>
      <c r="C14" s="538"/>
      <c r="D14" s="538"/>
      <c r="F14" s="165" t="s">
        <v>21</v>
      </c>
      <c r="G14" s="538"/>
      <c r="H14" s="53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550</v>
      </c>
      <c r="H16" s="166">
        <f>SUM(G6:H14)</f>
        <v>0</v>
      </c>
      <c r="J16" s="554" t="s">
        <v>130</v>
      </c>
      <c r="K16" s="552" t="s">
        <v>131</v>
      </c>
      <c r="L16" s="552"/>
      <c r="M16" s="552"/>
      <c r="N16" s="552" t="s">
        <v>85</v>
      </c>
      <c r="O16" s="552" t="s">
        <v>132</v>
      </c>
      <c r="P16" s="552" t="s">
        <v>86</v>
      </c>
      <c r="Q16" s="552" t="s">
        <v>119</v>
      </c>
      <c r="R16" s="558" t="s">
        <v>133</v>
      </c>
      <c r="S16" s="558" t="s">
        <v>134</v>
      </c>
      <c r="T16" s="558" t="s">
        <v>135</v>
      </c>
    </row>
    <row r="17" spans="2:20" ht="18" x14ac:dyDescent="0.2">
      <c r="B17" s="181"/>
      <c r="J17" s="555"/>
      <c r="K17" s="169" t="s">
        <v>136</v>
      </c>
      <c r="L17" s="169" t="s">
        <v>137</v>
      </c>
      <c r="M17" s="169" t="s">
        <v>138</v>
      </c>
      <c r="N17" s="553"/>
      <c r="O17" s="553"/>
      <c r="P17" s="553"/>
      <c r="Q17" s="553"/>
      <c r="R17" s="559"/>
      <c r="S17" s="559"/>
      <c r="T17" s="559"/>
    </row>
    <row r="18" spans="2:20" ht="16.5" thickBot="1" x14ac:dyDescent="0.25">
      <c r="B18" s="547" t="s">
        <v>129</v>
      </c>
      <c r="C18" s="547"/>
      <c r="D18" s="547"/>
      <c r="F18" s="547"/>
      <c r="G18" s="547"/>
      <c r="H18" s="54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95" t="s">
        <v>3</v>
      </c>
      <c r="C19" s="498" t="s">
        <v>84</v>
      </c>
      <c r="D19" s="49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97"/>
      <c r="C20" s="498"/>
      <c r="D20" s="49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37">
        <f>ROUNDDOWN(SUM(المستودعات!C5:F5)/51,0.9)</f>
        <v>1</v>
      </c>
      <c r="D21" s="537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38"/>
      <c r="D22" s="53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37">
        <f>ROUNDDOWN(SUM(المستودعات!C9:F10)/51,0.9)</f>
        <v>1</v>
      </c>
      <c r="D24" s="537">
        <f>ROUNDDOWN(SUM(المستودعات!G9:I10)/51,0.9)</f>
        <v>1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38"/>
      <c r="D25" s="53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37">
        <f>ROUNDDOWN(SUM(المستودعات!C11:F12)/51,0.9)</f>
        <v>1</v>
      </c>
      <c r="D26" s="537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38"/>
      <c r="D27" s="53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37">
        <f>ROUNDDOWN(SUM(المستودعات!C13:F14)/51,0.9)</f>
        <v>4</v>
      </c>
      <c r="D28" s="53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38"/>
      <c r="D29" s="53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7" t="s">
        <v>85</v>
      </c>
      <c r="C30" s="508"/>
      <c r="D30" s="50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6">
        <f>ROUNDDOWN(SUM(المستودعات!O5:Q5)/51,0.9)</f>
        <v>0</v>
      </c>
      <c r="D31" s="55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48">
        <f>ROUNDDOWN(SUM(المستودعات!O6:Q7)/51,0.9)</f>
        <v>0</v>
      </c>
      <c r="D32" s="549"/>
    </row>
    <row r="33" spans="2:4" ht="16.5" thickBot="1" x14ac:dyDescent="0.25">
      <c r="B33" s="165" t="s">
        <v>24</v>
      </c>
      <c r="C33" s="550"/>
      <c r="D33" s="551"/>
    </row>
    <row r="34" spans="2:4" ht="16.5" thickBot="1" x14ac:dyDescent="0.25">
      <c r="B34" s="165" t="s">
        <v>26</v>
      </c>
      <c r="C34" s="556">
        <f>ROUNDDOWN(SUM(المستودعات!O8:Q8)/51,0.9)</f>
        <v>0</v>
      </c>
      <c r="D34" s="557"/>
    </row>
    <row r="35" spans="2:4" ht="22.5" customHeight="1" thickBot="1" x14ac:dyDescent="0.25">
      <c r="B35" s="507" t="s">
        <v>128</v>
      </c>
      <c r="C35" s="508"/>
      <c r="D35" s="509"/>
    </row>
    <row r="36" spans="2:4" ht="16.5" thickBot="1" x14ac:dyDescent="0.25">
      <c r="B36" s="165" t="s">
        <v>25</v>
      </c>
      <c r="C36" s="548">
        <f>ROUNDDOWN(SUM(المستودعات!J23:K24)/51,0.9)</f>
        <v>0</v>
      </c>
      <c r="D36" s="549"/>
    </row>
    <row r="37" spans="2:4" ht="16.5" thickBot="1" x14ac:dyDescent="0.25">
      <c r="B37" s="165" t="s">
        <v>27</v>
      </c>
      <c r="C37" s="550"/>
      <c r="D37" s="551"/>
    </row>
    <row r="38" spans="2:4" ht="16.5" thickBot="1" x14ac:dyDescent="0.25">
      <c r="B38" s="96" t="s">
        <v>112</v>
      </c>
      <c r="C38" s="556"/>
      <c r="D38" s="557"/>
    </row>
    <row r="39" spans="2:4" ht="16.5" thickBot="1" x14ac:dyDescent="0.25">
      <c r="B39" s="165" t="s">
        <v>28</v>
      </c>
      <c r="C39" s="548">
        <f>ROUNDDOWN(SUM(المستودعات!C28:I29)/51,0.9)</f>
        <v>1</v>
      </c>
      <c r="D39" s="549"/>
    </row>
    <row r="40" spans="2:4" ht="16.5" thickBot="1" x14ac:dyDescent="0.25">
      <c r="B40" s="165" t="s">
        <v>29</v>
      </c>
      <c r="C40" s="550"/>
      <c r="D40" s="551"/>
    </row>
    <row r="41" spans="2:4" ht="21.75" customHeight="1" thickBot="1" x14ac:dyDescent="0.25">
      <c r="B41" s="507" t="s">
        <v>90</v>
      </c>
      <c r="C41" s="508"/>
      <c r="D41" s="509"/>
    </row>
    <row r="42" spans="2:4" ht="16.5" thickBot="1" x14ac:dyDescent="0.25">
      <c r="B42" s="165" t="s">
        <v>30</v>
      </c>
      <c r="C42" s="548">
        <f>ROUNDDOWN(SUM(المستودعات!Q15:Q16)/51,0.9)</f>
        <v>2</v>
      </c>
      <c r="D42" s="549"/>
    </row>
    <row r="43" spans="2:4" ht="16.5" thickBot="1" x14ac:dyDescent="0.25">
      <c r="B43" s="165" t="s">
        <v>31</v>
      </c>
      <c r="C43" s="550"/>
      <c r="D43" s="551"/>
    </row>
    <row r="44" spans="2:4" ht="16.5" thickBot="1" x14ac:dyDescent="0.25">
      <c r="B44" s="165" t="s">
        <v>32</v>
      </c>
      <c r="C44" s="548">
        <f>ROUNDDOWN(SUM(المستودعات!Q17:Q18)/51,0.9)</f>
        <v>0</v>
      </c>
      <c r="D44" s="549"/>
    </row>
    <row r="45" spans="2:4" ht="16.5" thickBot="1" x14ac:dyDescent="0.25">
      <c r="B45" s="165" t="s">
        <v>33</v>
      </c>
      <c r="C45" s="550"/>
      <c r="D45" s="551"/>
    </row>
  </sheetData>
  <customSheetViews>
    <customSheetView guid="{8317B6D8-8A99-4EB0-9DBC-8E9AE0170A4B}" state="hidden" topLeftCell="C1">
      <selection activeCell="L13" sqref="L13"/>
      <pageMargins left="0.7" right="0.7" top="0.75" bottom="0.75" header="0.3" footer="0.3"/>
    </customSheetView>
    <customSheetView guid="{18C0F7AC-4BB1-46DE-8A01-8E31FE0585FC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9" t="s">
        <v>104</v>
      </c>
      <c r="C4" s="409"/>
      <c r="D4" s="450"/>
      <c r="E4" s="562" t="s">
        <v>84</v>
      </c>
      <c r="F4" s="563"/>
      <c r="G4" s="563"/>
      <c r="H4" s="418"/>
    </row>
    <row r="5" spans="1:15" ht="15.75" thickBot="1" x14ac:dyDescent="0.25">
      <c r="A5" s="449"/>
      <c r="B5" s="417" t="s">
        <v>81</v>
      </c>
      <c r="C5" s="563"/>
      <c r="D5" s="564"/>
      <c r="E5" s="112" t="s">
        <v>81</v>
      </c>
      <c r="F5" s="417" t="s">
        <v>87</v>
      </c>
      <c r="G5" s="563"/>
      <c r="H5" s="418"/>
      <c r="K5" s="495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97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68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51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34</v>
      </c>
      <c r="M9" s="41">
        <f>'خطة الإمداد'!M34</f>
        <v>34</v>
      </c>
      <c r="N9" s="41">
        <f>'خطة الإمداد'!N34</f>
        <v>17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34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51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0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17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1086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792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2011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1582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8317B6D8-8A99-4EB0-9DBC-8E9AE0170A4B}">
      <selection activeCell="A8" sqref="A8:H8"/>
      <pageMargins left="0.7" right="0.7" top="0.75" bottom="0.75" header="0.3" footer="0.3"/>
      <pageSetup paperSize="9" orientation="portrait" r:id="rId1"/>
    </customSheetView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34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85</v>
      </c>
      <c r="C4" s="563"/>
      <c r="D4" s="563"/>
      <c r="E4" s="563"/>
      <c r="F4" s="563"/>
      <c r="G4" s="563"/>
      <c r="H4" s="418"/>
      <c r="I4" s="278" t="s">
        <v>119</v>
      </c>
    </row>
    <row r="5" spans="1:15" ht="15.75" thickBot="1" x14ac:dyDescent="0.25">
      <c r="A5" s="449"/>
      <c r="B5" s="120" t="s">
        <v>81</v>
      </c>
      <c r="C5" s="565" t="s">
        <v>87</v>
      </c>
      <c r="D5" s="534"/>
      <c r="E5" s="566"/>
      <c r="F5" s="534" t="s">
        <v>83</v>
      </c>
      <c r="G5" s="534"/>
      <c r="H5" s="535"/>
      <c r="I5" s="279" t="s">
        <v>83</v>
      </c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17</v>
      </c>
      <c r="O7" s="41">
        <f>'خطة الإمداد'!O40</f>
        <v>34</v>
      </c>
    </row>
    <row r="8" spans="1:15" ht="16.5" thickBot="1" x14ac:dyDescent="0.3">
      <c r="A8" s="110" t="s">
        <v>23</v>
      </c>
      <c r="B8" s="37">
        <f t="shared" ref="B8:B10" si="0">IF(O8&gt;50,O8,0)</f>
        <v>85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85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17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34</v>
      </c>
      <c r="N10" s="41">
        <f>'خطة الإمداد'!N43</f>
        <v>17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70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71"/>
      <c r="C16" s="52" t="s">
        <v>93</v>
      </c>
      <c r="D16" s="53">
        <f>[1]التعاون.ملخص!$D$6</f>
        <v>0</v>
      </c>
    </row>
    <row r="17" spans="2:4" ht="16.5" thickBot="1" x14ac:dyDescent="0.25">
      <c r="B17" s="571"/>
      <c r="C17" s="59" t="s">
        <v>87</v>
      </c>
      <c r="D17" s="60" t="e">
        <f>[1]موبيل.ملخص!$D$5</f>
        <v>#REF!</v>
      </c>
    </row>
    <row r="18" spans="2:4" ht="16.5" thickBot="1" x14ac:dyDescent="0.25">
      <c r="B18" s="568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7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8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7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9"/>
      <c r="C22" s="61" t="s">
        <v>87</v>
      </c>
      <c r="D22" s="62" t="e">
        <f>[1]موبيل.ملخص!$D$6</f>
        <v>#REF!</v>
      </c>
    </row>
  </sheetData>
  <customSheetViews>
    <customSheetView guid="{8317B6D8-8A99-4EB0-9DBC-8E9AE0170A4B}">
      <selection activeCell="H7" sqref="H7"/>
      <pageMargins left="0.7" right="0.7" top="0.75" bottom="0.75" header="0.3" footer="0.3"/>
    </customSheetView>
    <customSheetView guid="{18C0F7AC-4BB1-46DE-8A01-8E31FE0585FC}">
      <selection activeCell="D15" sqref="D15:D22"/>
      <pageMargins left="0.7" right="0.7" top="0.75" bottom="0.75" header="0.3" footer="0.3"/>
    </customSheetView>
  </customSheetViews>
  <mergeCells count="9">
    <mergeCell ref="K5:K6"/>
    <mergeCell ref="B19:B20"/>
    <mergeCell ref="B21:B22"/>
    <mergeCell ref="B15:B18"/>
    <mergeCell ref="A4:A6"/>
    <mergeCell ref="B4:H4"/>
    <mergeCell ref="C5:E5"/>
    <mergeCell ref="F5:H5"/>
    <mergeCell ref="C2:F2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85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8317B6D8-8A99-4EB0-9DBC-8E9AE0170A4B}" state="hidden">
      <selection activeCell="B2" sqref="B2:H5"/>
      <pageMargins left="0.7" right="0.7" top="0.75" bottom="0.75" header="0.3" footer="0.3"/>
    </customSheetView>
    <customSheetView guid="{18C0F7AC-4BB1-46DE-8A01-8E31FE0585FC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91</v>
      </c>
      <c r="C4" s="563"/>
      <c r="D4" s="563"/>
      <c r="E4" s="563"/>
      <c r="F4" s="563"/>
      <c r="G4" s="563"/>
      <c r="H4" s="563"/>
      <c r="I4" s="418"/>
    </row>
    <row r="5" spans="1:15" ht="15.75" thickBot="1" x14ac:dyDescent="0.25">
      <c r="A5" s="449"/>
      <c r="B5" s="536" t="s">
        <v>81</v>
      </c>
      <c r="C5" s="536"/>
      <c r="D5" s="556"/>
      <c r="E5" s="575" t="s">
        <v>83</v>
      </c>
      <c r="F5" s="576"/>
      <c r="G5" s="557" t="s">
        <v>87</v>
      </c>
      <c r="H5" s="536"/>
      <c r="I5" s="536"/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17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17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34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17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17</v>
      </c>
      <c r="N10" s="41">
        <f>'خطة الإمداد'!N47</f>
        <v>0</v>
      </c>
      <c r="O10" s="41">
        <f>'خطة الإمداد'!O47</f>
        <v>34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132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66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198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8317B6D8-8A99-4EB0-9DBC-8E9AE0170A4B}">
      <selection activeCell="A4" sqref="A4:I10"/>
      <pageMargins left="0.7" right="0.7" top="0.75" bottom="0.75" header="0.3" footer="0.3"/>
    </customSheetView>
    <customSheetView guid="{18C0F7AC-4BB1-46DE-8A01-8E31FE0585FC}">
      <selection activeCell="D14" sqref="D14:D21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17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8317B6D8-8A99-4EB0-9DBC-8E9AE0170A4B}" state="hidden">
      <selection activeCell="B2" sqref="B2:I5"/>
      <pageMargins left="0.7" right="0.7" top="0.75" bottom="0.75" header="0.3" footer="0.3"/>
    </customSheetView>
    <customSheetView guid="{18C0F7AC-4BB1-46DE-8A01-8E31FE0585FC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1" t="s">
        <v>0</v>
      </c>
      <c r="B1" s="401"/>
      <c r="C1" s="401"/>
      <c r="D1" s="401"/>
      <c r="E1" s="401"/>
      <c r="Q1" s="399"/>
      <c r="R1" s="399"/>
    </row>
    <row r="2" spans="1:18" ht="15.75" x14ac:dyDescent="0.25">
      <c r="A2" s="401" t="s">
        <v>1</v>
      </c>
      <c r="B2" s="401"/>
      <c r="C2" s="401"/>
      <c r="D2" s="401"/>
      <c r="E2" s="401"/>
    </row>
    <row r="3" spans="1:18" ht="15.75" x14ac:dyDescent="0.25">
      <c r="A3" s="401" t="s">
        <v>2</v>
      </c>
      <c r="B3" s="401"/>
      <c r="C3" s="401"/>
      <c r="D3" s="401"/>
      <c r="E3" s="401"/>
    </row>
    <row r="4" spans="1:18" ht="48.75" customHeight="1" thickBot="1" x14ac:dyDescent="0.3">
      <c r="F4" s="410" t="s">
        <v>195</v>
      </c>
      <c r="G4" s="410"/>
      <c r="H4" s="410"/>
      <c r="I4" s="410"/>
      <c r="J4" s="410"/>
      <c r="K4" s="410"/>
      <c r="L4" s="410"/>
      <c r="M4" s="410"/>
      <c r="P4" s="410" t="s">
        <v>51</v>
      </c>
      <c r="Q4" s="410"/>
      <c r="R4" s="30"/>
    </row>
    <row r="5" spans="1:18" ht="20.100000000000001" customHeight="1" thickBot="1" x14ac:dyDescent="0.25">
      <c r="A5" s="408" t="s">
        <v>14</v>
      </c>
      <c r="B5" s="408" t="s">
        <v>3</v>
      </c>
      <c r="C5" s="409" t="s">
        <v>5</v>
      </c>
      <c r="D5" s="409"/>
      <c r="E5" s="409"/>
      <c r="F5" s="409" t="s">
        <v>11</v>
      </c>
      <c r="G5" s="409"/>
      <c r="H5" s="409"/>
      <c r="I5" s="409" t="s">
        <v>12</v>
      </c>
      <c r="J5" s="409"/>
      <c r="K5" s="409"/>
      <c r="L5" s="409" t="s">
        <v>50</v>
      </c>
      <c r="M5" s="409"/>
      <c r="N5" s="409"/>
      <c r="O5" s="417" t="s">
        <v>45</v>
      </c>
      <c r="P5" s="418"/>
      <c r="Q5" s="405" t="s">
        <v>49</v>
      </c>
    </row>
    <row r="6" spans="1:18" ht="20.100000000000001" customHeight="1" thickBot="1" x14ac:dyDescent="0.25">
      <c r="A6" s="408"/>
      <c r="B6" s="40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0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24444</v>
      </c>
      <c r="G7" s="2">
        <f>F7*6.75</f>
        <v>164997</v>
      </c>
      <c r="H7" s="2">
        <f>F7*0.33</f>
        <v>8066.52</v>
      </c>
      <c r="I7" s="2">
        <f>'أخذ التمام الصباحي'!K5</f>
        <v>7277</v>
      </c>
      <c r="J7" s="2">
        <f>I7*7.75</f>
        <v>56396.75</v>
      </c>
      <c r="K7" s="2">
        <f>I7*0.45</f>
        <v>3274.65</v>
      </c>
      <c r="L7" s="6"/>
      <c r="M7" s="6"/>
      <c r="N7" s="6"/>
      <c r="O7" s="7">
        <f>SUM(D7,G7,J7,M7)/100</f>
        <v>2213.9375</v>
      </c>
      <c r="P7" s="10">
        <f>'أخذ التمام الصباحي'!Q5</f>
        <v>2090</v>
      </c>
      <c r="Q7" s="7">
        <f t="shared" ref="Q7:Q27" si="0">P7-O7</f>
        <v>-123.9375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32312</v>
      </c>
      <c r="G8" s="287">
        <f>F8*6.75</f>
        <v>218106</v>
      </c>
      <c r="H8" s="287">
        <f>F8*0.33</f>
        <v>10662.960000000001</v>
      </c>
      <c r="I8" s="287">
        <f>'أخذ التمام الصباحي'!K6</f>
        <v>9609</v>
      </c>
      <c r="J8" s="287">
        <f>I8*7.75</f>
        <v>74469.75</v>
      </c>
      <c r="K8" s="287">
        <f>I8*0.45</f>
        <v>4324.05</v>
      </c>
      <c r="L8" s="6"/>
      <c r="M8" s="6"/>
      <c r="N8" s="6"/>
      <c r="O8" s="7">
        <f>SUM(D8,G8,J8,M8)/100</f>
        <v>2925.7575000000002</v>
      </c>
      <c r="P8" s="10">
        <f>'أخذ التمام الصباحي'!Q6</f>
        <v>2690</v>
      </c>
      <c r="Q8" s="7">
        <f t="shared" si="0"/>
        <v>-235.75750000000016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41823</v>
      </c>
      <c r="D9" s="5">
        <f t="shared" ref="D9" si="1">C9*5.5</f>
        <v>230026.5</v>
      </c>
      <c r="E9" s="5">
        <f>C9*0.25</f>
        <v>10455.75</v>
      </c>
      <c r="F9" s="292">
        <f>'أخذ التمام الصباحي'!H7</f>
        <v>21644</v>
      </c>
      <c r="G9" s="292">
        <f t="shared" ref="G9:G27" si="2">F9*6.75</f>
        <v>146097</v>
      </c>
      <c r="H9" s="292">
        <f t="shared" ref="H9:H27" si="3">F9*0.33</f>
        <v>7142.52</v>
      </c>
      <c r="I9" s="292">
        <f>'أخذ التمام الصباحي'!K7</f>
        <v>3964</v>
      </c>
      <c r="J9" s="292">
        <f t="shared" ref="J9:J27" si="4">I9*7.75</f>
        <v>30721</v>
      </c>
      <c r="K9" s="292">
        <f t="shared" ref="K9:K27" si="5">I9*0.45</f>
        <v>1783.8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4068.4450000000002</v>
      </c>
      <c r="P9" s="10">
        <f>'أخذ التمام الصباحي'!Q7</f>
        <v>3640</v>
      </c>
      <c r="Q9" s="7">
        <f t="shared" si="0"/>
        <v>-428.44500000000016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2457</v>
      </c>
      <c r="D10" s="5">
        <f t="shared" ref="D10:D22" si="7">C10*5.5</f>
        <v>13513.5</v>
      </c>
      <c r="E10" s="5">
        <f>C10*0.25</f>
        <v>614.25</v>
      </c>
      <c r="F10" s="292">
        <f>'أخذ التمام الصباحي'!H8</f>
        <v>22554</v>
      </c>
      <c r="G10" s="292">
        <f t="shared" si="2"/>
        <v>152239.5</v>
      </c>
      <c r="H10" s="292">
        <f t="shared" si="3"/>
        <v>7442.8200000000006</v>
      </c>
      <c r="I10" s="292">
        <f>'أخذ التمام الصباحي'!K8</f>
        <v>6572</v>
      </c>
      <c r="J10" s="292">
        <f t="shared" si="4"/>
        <v>50933</v>
      </c>
      <c r="K10" s="292">
        <f t="shared" si="5"/>
        <v>2957.4</v>
      </c>
      <c r="L10" s="2">
        <f>'أخذ التمام الصباحي'!N8</f>
        <v>2621</v>
      </c>
      <c r="M10" s="2">
        <f t="shared" ref="M10:M27" si="8">L10*5.5</f>
        <v>14415.5</v>
      </c>
      <c r="N10" s="2">
        <f>L10*0.26</f>
        <v>681.46</v>
      </c>
      <c r="O10" s="7">
        <f t="shared" ref="O10:O27" si="9">SUM(D10,G10,J10,M10)/100</f>
        <v>2311.0149999999999</v>
      </c>
      <c r="P10" s="10">
        <f>'أخذ التمام الصباحي'!Q8</f>
        <v>2695</v>
      </c>
      <c r="Q10" s="7">
        <f t="shared" si="0"/>
        <v>383.98500000000013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40670</v>
      </c>
      <c r="G11" s="292">
        <f t="shared" si="2"/>
        <v>274522.5</v>
      </c>
      <c r="H11" s="292">
        <f t="shared" si="3"/>
        <v>13421.1</v>
      </c>
      <c r="I11" s="292">
        <f>'أخذ التمام الصباحي'!K9</f>
        <v>11475</v>
      </c>
      <c r="J11" s="292">
        <f t="shared" si="4"/>
        <v>88931.25</v>
      </c>
      <c r="K11" s="292">
        <f t="shared" si="5"/>
        <v>5163.75</v>
      </c>
      <c r="L11" s="6"/>
      <c r="M11" s="6"/>
      <c r="N11" s="6"/>
      <c r="O11" s="7">
        <f t="shared" si="9"/>
        <v>3634.5374999999999</v>
      </c>
      <c r="P11" s="10">
        <f>'أخذ التمام الصباحي'!Q9</f>
        <v>38520</v>
      </c>
      <c r="Q11" s="7">
        <f t="shared" si="0"/>
        <v>34885.462500000001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4407</v>
      </c>
      <c r="D12" s="5">
        <f t="shared" si="7"/>
        <v>24238.5</v>
      </c>
      <c r="E12" s="5">
        <f t="shared" si="10"/>
        <v>1101.75</v>
      </c>
      <c r="F12" s="292">
        <f>'أخذ التمام الصباحي'!H10</f>
        <v>25676</v>
      </c>
      <c r="G12" s="292">
        <f t="shared" si="2"/>
        <v>173313</v>
      </c>
      <c r="H12" s="292">
        <f t="shared" si="3"/>
        <v>8473.08</v>
      </c>
      <c r="I12" s="6"/>
      <c r="J12" s="6"/>
      <c r="K12" s="6"/>
      <c r="L12" s="20">
        <f>'أخذ التمام الصباحي'!N10</f>
        <v>9699</v>
      </c>
      <c r="M12" s="2">
        <f t="shared" si="8"/>
        <v>53344.5</v>
      </c>
      <c r="N12" s="2">
        <f>L12*0.26</f>
        <v>2521.7400000000002</v>
      </c>
      <c r="O12" s="7">
        <f t="shared" si="9"/>
        <v>2508.96</v>
      </c>
      <c r="P12" s="10">
        <f>'أخذ التمام الصباحي'!Q10</f>
        <v>2970</v>
      </c>
      <c r="Q12" s="7">
        <f t="shared" si="0"/>
        <v>461.03999999999996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6628</v>
      </c>
      <c r="D13" s="5">
        <f t="shared" si="7"/>
        <v>36454</v>
      </c>
      <c r="E13" s="5">
        <f t="shared" si="10"/>
        <v>1657</v>
      </c>
      <c r="F13" s="292">
        <f>'أخذ التمام الصباحي'!H11</f>
        <v>20299</v>
      </c>
      <c r="G13" s="292">
        <f t="shared" si="2"/>
        <v>137018.25</v>
      </c>
      <c r="H13" s="292">
        <f t="shared" si="3"/>
        <v>6698.67</v>
      </c>
      <c r="I13" s="6"/>
      <c r="J13" s="6"/>
      <c r="K13" s="6"/>
      <c r="L13" s="20">
        <f>'أخذ التمام الصباحي'!N11</f>
        <v>20978</v>
      </c>
      <c r="M13" s="2">
        <f t="shared" si="8"/>
        <v>115379</v>
      </c>
      <c r="N13" s="2">
        <f>L13*0.26</f>
        <v>5454.28</v>
      </c>
      <c r="O13" s="7">
        <f t="shared" si="9"/>
        <v>2888.5124999999998</v>
      </c>
      <c r="P13" s="10">
        <f>'أخذ التمام الصباحي'!Q11</f>
        <v>3140</v>
      </c>
      <c r="Q13" s="7">
        <f t="shared" si="0"/>
        <v>251.48750000000018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42686</v>
      </c>
      <c r="G14" s="292">
        <f t="shared" si="2"/>
        <v>288130.5</v>
      </c>
      <c r="H14" s="292">
        <f t="shared" si="3"/>
        <v>14086.380000000001</v>
      </c>
      <c r="I14" s="292">
        <f>'أخذ التمام الصباحي'!K12</f>
        <v>11080</v>
      </c>
      <c r="J14" s="292">
        <f t="shared" si="4"/>
        <v>85870</v>
      </c>
      <c r="K14" s="292">
        <f t="shared" si="5"/>
        <v>4986</v>
      </c>
      <c r="L14" s="6"/>
      <c r="M14" s="6"/>
      <c r="N14" s="6"/>
      <c r="O14" s="7">
        <f t="shared" si="9"/>
        <v>3740.0050000000001</v>
      </c>
      <c r="P14" s="10">
        <f>'أخذ التمام الصباحي'!Q12</f>
        <v>3290</v>
      </c>
      <c r="Q14" s="7">
        <f t="shared" si="0"/>
        <v>-450.00500000000011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40378</v>
      </c>
      <c r="G15" s="292">
        <f t="shared" si="2"/>
        <v>272551.5</v>
      </c>
      <c r="H15" s="292">
        <f t="shared" si="3"/>
        <v>13324.74</v>
      </c>
      <c r="I15" s="292">
        <f>'أخذ التمام الصباحي'!K13</f>
        <v>10894</v>
      </c>
      <c r="J15" s="292">
        <f t="shared" si="4"/>
        <v>84428.5</v>
      </c>
      <c r="K15" s="292">
        <f t="shared" si="5"/>
        <v>4902.3</v>
      </c>
      <c r="L15" s="20">
        <f>'أخذ التمام الصباحي'!N13</f>
        <v>34569</v>
      </c>
      <c r="M15" s="2">
        <f t="shared" si="8"/>
        <v>190129.5</v>
      </c>
      <c r="N15" s="2">
        <f>L15*0.26</f>
        <v>8987.94</v>
      </c>
      <c r="O15" s="7">
        <f t="shared" si="9"/>
        <v>5471.0950000000003</v>
      </c>
      <c r="P15" s="10">
        <f>'أخذ التمام الصباحي'!Q13</f>
        <v>0</v>
      </c>
      <c r="Q15" s="7">
        <f t="shared" si="0"/>
        <v>-5471.0950000000003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6448</v>
      </c>
      <c r="G16" s="292">
        <f t="shared" si="2"/>
        <v>43524</v>
      </c>
      <c r="H16" s="292">
        <f t="shared" si="3"/>
        <v>2127.84</v>
      </c>
      <c r="I16" s="292">
        <f>'أخذ التمام الصباحي'!K14</f>
        <v>3444</v>
      </c>
      <c r="J16" s="292">
        <f t="shared" si="4"/>
        <v>26691</v>
      </c>
      <c r="K16" s="292">
        <f t="shared" si="5"/>
        <v>1549.8</v>
      </c>
      <c r="L16" s="20">
        <f>'أخذ التمام الصباحي'!N14</f>
        <v>56821</v>
      </c>
      <c r="M16" s="2">
        <f t="shared" si="8"/>
        <v>312515.5</v>
      </c>
      <c r="N16" s="139">
        <f>L16*0.26</f>
        <v>14773.460000000001</v>
      </c>
      <c r="O16" s="7">
        <f t="shared" si="9"/>
        <v>3827.3049999999998</v>
      </c>
      <c r="P16" s="10">
        <f>'أخذ التمام الصباحي'!Q14</f>
        <v>6890</v>
      </c>
      <c r="Q16" s="7">
        <f t="shared" si="0"/>
        <v>3062.6950000000002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10339</v>
      </c>
      <c r="G17" s="292">
        <f t="shared" si="2"/>
        <v>69788.25</v>
      </c>
      <c r="H17" s="292">
        <f t="shared" si="3"/>
        <v>3411.8700000000003</v>
      </c>
      <c r="I17" s="292">
        <f>'أخذ التمام الصباحي'!K15</f>
        <v>3660</v>
      </c>
      <c r="J17" s="292">
        <f t="shared" si="4"/>
        <v>28365</v>
      </c>
      <c r="K17" s="292">
        <f t="shared" si="5"/>
        <v>1647</v>
      </c>
      <c r="L17" s="20">
        <f>'أخذ التمام الصباحي'!N15</f>
        <v>3552</v>
      </c>
      <c r="M17" s="2">
        <f t="shared" si="8"/>
        <v>19536</v>
      </c>
      <c r="N17" s="139">
        <f>L17*0.26</f>
        <v>923.52</v>
      </c>
      <c r="O17" s="7">
        <f t="shared" si="9"/>
        <v>1176.8924999999999</v>
      </c>
      <c r="P17" s="10">
        <f>'أخذ التمام الصباحي'!Q15</f>
        <v>1520</v>
      </c>
      <c r="Q17" s="7">
        <f t="shared" si="0"/>
        <v>343.10750000000007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3699</v>
      </c>
      <c r="G18" s="292">
        <f t="shared" si="2"/>
        <v>24968.25</v>
      </c>
      <c r="H18" s="292">
        <f t="shared" si="3"/>
        <v>1220.67</v>
      </c>
      <c r="I18" s="292">
        <f>'أخذ التمام الصباحي'!K16</f>
        <v>767</v>
      </c>
      <c r="J18" s="292">
        <f t="shared" si="4"/>
        <v>5944.25</v>
      </c>
      <c r="K18" s="292">
        <f t="shared" si="5"/>
        <v>345.15000000000003</v>
      </c>
      <c r="L18" s="6"/>
      <c r="M18" s="6"/>
      <c r="N18" s="6"/>
      <c r="O18" s="7">
        <f t="shared" si="9"/>
        <v>309.125</v>
      </c>
      <c r="P18" s="10">
        <f>'أخذ التمام الصباحي'!Q16</f>
        <v>348</v>
      </c>
      <c r="Q18" s="7">
        <f t="shared" si="0"/>
        <v>38.875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3216</v>
      </c>
      <c r="G19" s="292">
        <f t="shared" si="2"/>
        <v>21708</v>
      </c>
      <c r="H19" s="292">
        <f t="shared" si="3"/>
        <v>1061.28</v>
      </c>
      <c r="I19" s="292">
        <f>'أخذ التمام الصباحي'!K17</f>
        <v>1051</v>
      </c>
      <c r="J19" s="292">
        <f t="shared" si="4"/>
        <v>8145.25</v>
      </c>
      <c r="K19" s="292">
        <f t="shared" si="5"/>
        <v>472.95</v>
      </c>
      <c r="L19" s="20">
        <f>'أخذ التمام الصباحي'!N17</f>
        <v>7540</v>
      </c>
      <c r="M19" s="2">
        <f t="shared" si="8"/>
        <v>41470</v>
      </c>
      <c r="N19" s="2">
        <f>L19*0.26</f>
        <v>1960.4</v>
      </c>
      <c r="O19" s="7">
        <f t="shared" si="9"/>
        <v>713.23249999999996</v>
      </c>
      <c r="P19" s="10">
        <f>'أخذ التمام الصباحي'!Q17</f>
        <v>1359</v>
      </c>
      <c r="Q19" s="7">
        <f t="shared" si="0"/>
        <v>645.76750000000004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16505</v>
      </c>
      <c r="G20" s="292">
        <f t="shared" si="2"/>
        <v>111408.75</v>
      </c>
      <c r="H20" s="292">
        <f t="shared" si="3"/>
        <v>5446.6500000000005</v>
      </c>
      <c r="I20" s="292">
        <f>'أخذ التمام الصباحي'!K18</f>
        <v>4648</v>
      </c>
      <c r="J20" s="292">
        <f t="shared" si="4"/>
        <v>36022</v>
      </c>
      <c r="K20" s="292">
        <f t="shared" si="5"/>
        <v>2091.6</v>
      </c>
      <c r="L20" s="20">
        <f>'أخذ التمام الصباحي'!N18</f>
        <v>22063</v>
      </c>
      <c r="M20" s="2">
        <f t="shared" si="8"/>
        <v>121346.5</v>
      </c>
      <c r="N20" s="139">
        <f>L20*0.26</f>
        <v>5736.38</v>
      </c>
      <c r="O20" s="7">
        <f t="shared" si="9"/>
        <v>2687.7725</v>
      </c>
      <c r="P20" s="10">
        <f>'أخذ التمام الصباحي'!Q18</f>
        <v>3360</v>
      </c>
      <c r="Q20" s="7">
        <f t="shared" si="0"/>
        <v>672.22749999999996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7094</v>
      </c>
      <c r="G21" s="292">
        <f t="shared" si="2"/>
        <v>47884.5</v>
      </c>
      <c r="H21" s="292">
        <f t="shared" si="3"/>
        <v>2341.02</v>
      </c>
      <c r="I21" s="292">
        <f>'أخذ التمام الصباحي'!K19</f>
        <v>1284</v>
      </c>
      <c r="J21" s="292">
        <f t="shared" si="4"/>
        <v>9951</v>
      </c>
      <c r="K21" s="292">
        <f t="shared" si="5"/>
        <v>577.80000000000007</v>
      </c>
      <c r="L21" s="6"/>
      <c r="M21" s="6"/>
      <c r="N21" s="6"/>
      <c r="O21" s="7">
        <f t="shared" si="9"/>
        <v>578.35500000000002</v>
      </c>
      <c r="P21" s="10">
        <f>'أخذ التمام الصباحي'!Q19</f>
        <v>700</v>
      </c>
      <c r="Q21" s="7">
        <f t="shared" si="0"/>
        <v>121.64499999999998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285</v>
      </c>
      <c r="D22" s="5">
        <f t="shared" si="7"/>
        <v>1567.5</v>
      </c>
      <c r="E22" s="5">
        <f>C22*0.25</f>
        <v>71.25</v>
      </c>
      <c r="F22" s="292">
        <f>'أخذ التمام الصباحي'!H20</f>
        <v>1159</v>
      </c>
      <c r="G22" s="292">
        <f t="shared" si="2"/>
        <v>7823.25</v>
      </c>
      <c r="H22" s="292">
        <f t="shared" si="3"/>
        <v>382.47</v>
      </c>
      <c r="I22" s="6"/>
      <c r="J22" s="6"/>
      <c r="K22" s="6"/>
      <c r="L22" s="20">
        <f>'أخذ التمام الصباحي'!N20</f>
        <v>9260</v>
      </c>
      <c r="M22" s="2">
        <f t="shared" si="8"/>
        <v>50930</v>
      </c>
      <c r="N22" s="2">
        <f t="shared" ref="N22:N27" si="11">L22*0.26</f>
        <v>2407.6</v>
      </c>
      <c r="O22" s="7">
        <f t="shared" si="9"/>
        <v>603.20749999999998</v>
      </c>
      <c r="P22" s="10">
        <f>'أخذ التمام الصباحي'!Q20</f>
        <v>810</v>
      </c>
      <c r="Q22" s="7">
        <f t="shared" si="0"/>
        <v>206.79250000000002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3552</v>
      </c>
      <c r="G23" s="292">
        <f t="shared" si="2"/>
        <v>23976</v>
      </c>
      <c r="H23" s="292">
        <f t="shared" si="3"/>
        <v>1172.1600000000001</v>
      </c>
      <c r="I23" s="6"/>
      <c r="J23" s="6"/>
      <c r="K23" s="6"/>
      <c r="L23" s="20">
        <f>'أخذ التمام الصباحي'!N21</f>
        <v>4071</v>
      </c>
      <c r="M23" s="2">
        <f t="shared" si="8"/>
        <v>22390.5</v>
      </c>
      <c r="N23" s="183">
        <f t="shared" si="11"/>
        <v>1058.46</v>
      </c>
      <c r="O23" s="7">
        <f t="shared" si="9"/>
        <v>463.66500000000002</v>
      </c>
      <c r="P23" s="10">
        <f>'أخذ التمام الصباحي'!Q21</f>
        <v>520</v>
      </c>
      <c r="Q23" s="7">
        <f t="shared" si="0"/>
        <v>56.33499999999998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13513</v>
      </c>
      <c r="G24" s="292">
        <f t="shared" si="2"/>
        <v>91212.75</v>
      </c>
      <c r="H24" s="292">
        <f t="shared" si="3"/>
        <v>4459.29</v>
      </c>
      <c r="I24" s="292">
        <f>'أخذ التمام الصباحي'!K22</f>
        <v>1700</v>
      </c>
      <c r="J24" s="292">
        <f t="shared" si="4"/>
        <v>13175</v>
      </c>
      <c r="K24" s="292">
        <f t="shared" si="5"/>
        <v>765</v>
      </c>
      <c r="L24" s="20">
        <f>'أخذ التمام الصباحي'!N22</f>
        <v>52301</v>
      </c>
      <c r="M24" s="2">
        <f t="shared" si="8"/>
        <v>287655.5</v>
      </c>
      <c r="N24" s="183">
        <f t="shared" si="11"/>
        <v>13598.26</v>
      </c>
      <c r="O24" s="7">
        <f t="shared" si="9"/>
        <v>3920.4324999999999</v>
      </c>
      <c r="P24" s="10">
        <f>'أخذ التمام الصباحي'!Q22</f>
        <v>5540</v>
      </c>
      <c r="Q24" s="7">
        <f t="shared" si="0"/>
        <v>1619.5675000000001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15832</v>
      </c>
      <c r="G25" s="292">
        <f t="shared" si="2"/>
        <v>106866</v>
      </c>
      <c r="H25" s="292">
        <f t="shared" si="3"/>
        <v>5224.5600000000004</v>
      </c>
      <c r="I25" s="292">
        <f>'أخذ التمام الصباحي'!K23</f>
        <v>3816</v>
      </c>
      <c r="J25" s="292">
        <f t="shared" si="4"/>
        <v>29574</v>
      </c>
      <c r="K25" s="292">
        <f t="shared" si="5"/>
        <v>1717.2</v>
      </c>
      <c r="L25" s="20">
        <f>'أخذ التمام الصباحي'!N23</f>
        <v>54178</v>
      </c>
      <c r="M25" s="2">
        <f t="shared" si="8"/>
        <v>297979</v>
      </c>
      <c r="N25" s="183">
        <f t="shared" si="11"/>
        <v>14086.28</v>
      </c>
      <c r="O25" s="7">
        <f t="shared" si="9"/>
        <v>4344.1899999999996</v>
      </c>
      <c r="P25" s="10">
        <f>'أخذ التمام الصباحي'!Q23</f>
        <v>5835</v>
      </c>
      <c r="Q25" s="7">
        <f t="shared" si="0"/>
        <v>1490.8100000000004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12764</v>
      </c>
      <c r="G26" s="292">
        <f t="shared" si="2"/>
        <v>86157</v>
      </c>
      <c r="H26" s="292">
        <f t="shared" si="3"/>
        <v>4212.12</v>
      </c>
      <c r="I26" s="292">
        <f>'أخذ التمام الصباحي'!K24</f>
        <v>2309</v>
      </c>
      <c r="J26" s="292">
        <f t="shared" si="4"/>
        <v>17894.75</v>
      </c>
      <c r="K26" s="292">
        <f t="shared" si="5"/>
        <v>1039.05</v>
      </c>
      <c r="L26" s="20">
        <f>'أخذ التمام الصباحي'!N24</f>
        <v>29761</v>
      </c>
      <c r="M26" s="2">
        <f t="shared" si="8"/>
        <v>163685.5</v>
      </c>
      <c r="N26" s="183">
        <f t="shared" si="11"/>
        <v>7737.8600000000006</v>
      </c>
      <c r="O26" s="7">
        <f t="shared" si="9"/>
        <v>2677.3724999999999</v>
      </c>
      <c r="P26" s="10">
        <f>'أخذ التمام الصباحي'!Q24</f>
        <v>3160</v>
      </c>
      <c r="Q26" s="7">
        <f t="shared" si="0"/>
        <v>482.62750000000005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8050</v>
      </c>
      <c r="G27" s="292">
        <f t="shared" si="2"/>
        <v>54337.5</v>
      </c>
      <c r="H27" s="292">
        <f t="shared" si="3"/>
        <v>2656.5</v>
      </c>
      <c r="I27" s="292">
        <f>'أخذ التمام الصباحي'!K25</f>
        <v>1093</v>
      </c>
      <c r="J27" s="292">
        <f t="shared" si="4"/>
        <v>8470.75</v>
      </c>
      <c r="K27" s="292">
        <f t="shared" si="5"/>
        <v>491.85</v>
      </c>
      <c r="L27" s="20">
        <f>'أخذ التمام الصباحي'!N25</f>
        <v>24957</v>
      </c>
      <c r="M27" s="2">
        <f t="shared" si="8"/>
        <v>137263.5</v>
      </c>
      <c r="N27" s="183">
        <f t="shared" si="11"/>
        <v>6488.8200000000006</v>
      </c>
      <c r="O27" s="7">
        <f t="shared" si="9"/>
        <v>2000.7175</v>
      </c>
      <c r="P27" s="10">
        <f>'أخذ التمام الصباحي'!Q25</f>
        <v>2805</v>
      </c>
      <c r="Q27" s="7">
        <f t="shared" si="0"/>
        <v>804.28250000000003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3762</v>
      </c>
      <c r="D28" s="5">
        <f t="shared" ref="D28" si="12">C28*5.5</f>
        <v>20691</v>
      </c>
      <c r="E28" s="5">
        <f t="shared" ref="E28" si="13">C28*0.25</f>
        <v>940.5</v>
      </c>
      <c r="F28" s="301">
        <f>'أخذ التمام الصباحي'!H26</f>
        <v>8533</v>
      </c>
      <c r="G28" s="301">
        <f t="shared" ref="G28" si="14">F28*6.75</f>
        <v>57597.75</v>
      </c>
      <c r="H28" s="301">
        <f t="shared" ref="H28" si="15">F28*0.33</f>
        <v>2815.8900000000003</v>
      </c>
      <c r="I28" s="301">
        <f>'أخذ التمام الصباحي'!K26</f>
        <v>1936</v>
      </c>
      <c r="J28" s="301">
        <f t="shared" ref="J28" si="16">I28*7.75</f>
        <v>15004</v>
      </c>
      <c r="K28" s="301">
        <f t="shared" ref="K28" si="17">I28*0.45</f>
        <v>871.2</v>
      </c>
      <c r="L28" s="301">
        <f>'أخذ التمام الصباحي'!N26</f>
        <v>13250</v>
      </c>
      <c r="M28" s="301">
        <f t="shared" ref="M28" si="18">L28*5.5</f>
        <v>72875</v>
      </c>
      <c r="N28" s="301">
        <f t="shared" ref="N28" si="19">L28*0.26</f>
        <v>3445</v>
      </c>
      <c r="O28" s="7">
        <f t="shared" ref="O28" si="20">SUM(D28,G28,J28,M28)/100</f>
        <v>1661.6775</v>
      </c>
      <c r="P28" s="10">
        <f>'أخذ التمام الصباحي'!Q26</f>
        <v>1100</v>
      </c>
      <c r="Q28" s="7">
        <f t="shared" ref="Q28" si="21">P28-O28</f>
        <v>-561.67750000000001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8144</v>
      </c>
      <c r="G29" s="321">
        <f t="shared" ref="G29:G33" si="24">F29*6.75</f>
        <v>54972</v>
      </c>
      <c r="H29" s="321">
        <f t="shared" ref="H29:H33" si="25">F29*0.33</f>
        <v>2687.52</v>
      </c>
      <c r="I29" s="5">
        <f>'أخذ التمام الصباحي'!K27</f>
        <v>1506</v>
      </c>
      <c r="J29" s="321">
        <f t="shared" ref="J29:J33" si="26">I29*7.75</f>
        <v>11671.5</v>
      </c>
      <c r="K29" s="321">
        <f t="shared" ref="K29:K33" si="27">I29*0.45</f>
        <v>677.7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666.43499999999995</v>
      </c>
      <c r="P29" s="10">
        <f>'أخذ التمام الصباحي'!Q27</f>
        <v>195</v>
      </c>
      <c r="Q29" s="7">
        <f t="shared" ref="Q29:Q33" si="31">P29-O29</f>
        <v>-471.43499999999995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28792</v>
      </c>
      <c r="G30" s="321">
        <f t="shared" si="24"/>
        <v>194346</v>
      </c>
      <c r="H30" s="321">
        <f t="shared" si="25"/>
        <v>9501.36</v>
      </c>
      <c r="I30" s="5">
        <f>'أخذ التمام الصباحي'!K28</f>
        <v>12029</v>
      </c>
      <c r="J30" s="321">
        <f t="shared" si="26"/>
        <v>93224.75</v>
      </c>
      <c r="K30" s="321">
        <f t="shared" si="27"/>
        <v>5413.05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2875.7075</v>
      </c>
      <c r="P30" s="10">
        <f>'أخذ التمام الصباحي'!Q28</f>
        <v>1580</v>
      </c>
      <c r="Q30" s="7">
        <f t="shared" si="31"/>
        <v>-1295.7075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31961</v>
      </c>
      <c r="G31" s="321">
        <f t="shared" si="24"/>
        <v>215736.75</v>
      </c>
      <c r="H31" s="321">
        <f t="shared" si="25"/>
        <v>10547.130000000001</v>
      </c>
      <c r="I31" s="5">
        <f>'أخذ التمام الصباحي'!K29</f>
        <v>10604</v>
      </c>
      <c r="J31" s="321">
        <f t="shared" si="26"/>
        <v>82181</v>
      </c>
      <c r="K31" s="321">
        <f t="shared" si="27"/>
        <v>4771.8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2979.1774999999998</v>
      </c>
      <c r="P31" s="10">
        <f>'أخذ التمام الصباحي'!Q29</f>
        <v>3500</v>
      </c>
      <c r="Q31" s="7">
        <f t="shared" si="31"/>
        <v>520.82250000000022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38327</v>
      </c>
      <c r="G32" s="321">
        <f t="shared" si="24"/>
        <v>258707.25</v>
      </c>
      <c r="H32" s="321">
        <f t="shared" si="25"/>
        <v>12647.91</v>
      </c>
      <c r="I32" s="5">
        <f>'أخذ التمام الصباحي'!K30</f>
        <v>9327</v>
      </c>
      <c r="J32" s="321">
        <f t="shared" si="26"/>
        <v>72284.25</v>
      </c>
      <c r="K32" s="321">
        <f t="shared" si="27"/>
        <v>4197.1500000000005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3309.915</v>
      </c>
      <c r="P32" s="10">
        <f>'أخذ التمام الصباحي'!Q30</f>
        <v>510</v>
      </c>
      <c r="Q32" s="7">
        <f t="shared" si="31"/>
        <v>-2799.915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60196</v>
      </c>
      <c r="G33" s="321">
        <f t="shared" si="24"/>
        <v>406323</v>
      </c>
      <c r="H33" s="321">
        <f t="shared" si="25"/>
        <v>19864.68</v>
      </c>
      <c r="I33" s="5">
        <f>'أخذ التمام الصباحي'!K31</f>
        <v>15850</v>
      </c>
      <c r="J33" s="321">
        <f t="shared" si="26"/>
        <v>122837.5</v>
      </c>
      <c r="K33" s="321">
        <f t="shared" si="27"/>
        <v>7132.5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5291.6049999999996</v>
      </c>
      <c r="P33" s="10">
        <f>'أخذ التمام الصباحي'!Q31</f>
        <v>220</v>
      </c>
      <c r="Q33" s="7">
        <f t="shared" si="31"/>
        <v>-5071.6049999999996</v>
      </c>
    </row>
    <row r="34" spans="1:17" ht="25.5" customHeight="1" thickBot="1" x14ac:dyDescent="0.25">
      <c r="A34" s="358">
        <v>28</v>
      </c>
      <c r="B34" s="319" t="s">
        <v>197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7" t="s">
        <v>34</v>
      </c>
      <c r="B38" s="407"/>
      <c r="C38" s="43">
        <f>SUM(C7:C37)</f>
        <v>59362</v>
      </c>
      <c r="D38" s="43">
        <f t="shared" ref="D38:Q38" si="42">SUM(D7:D37)</f>
        <v>326491</v>
      </c>
      <c r="E38" s="43">
        <f t="shared" si="42"/>
        <v>14840.5</v>
      </c>
      <c r="F38" s="43">
        <f t="shared" si="42"/>
        <v>548787</v>
      </c>
      <c r="G38" s="43">
        <f t="shared" si="42"/>
        <v>3704312.25</v>
      </c>
      <c r="H38" s="43">
        <f t="shared" si="42"/>
        <v>181099.71</v>
      </c>
      <c r="I38" s="43">
        <f t="shared" si="42"/>
        <v>135895</v>
      </c>
      <c r="J38" s="43">
        <f t="shared" si="42"/>
        <v>1053186.25</v>
      </c>
      <c r="K38" s="43">
        <f t="shared" si="42"/>
        <v>61152.750000000007</v>
      </c>
      <c r="L38" s="43">
        <f t="shared" si="42"/>
        <v>345621</v>
      </c>
      <c r="M38" s="43">
        <f t="shared" si="42"/>
        <v>1900915.5</v>
      </c>
      <c r="N38" s="43">
        <f t="shared" si="42"/>
        <v>89861.46</v>
      </c>
      <c r="O38" s="43">
        <f t="shared" si="42"/>
        <v>69849.049999999988</v>
      </c>
      <c r="P38" s="43">
        <f t="shared" si="42"/>
        <v>98987</v>
      </c>
      <c r="Q38" s="43">
        <f t="shared" si="42"/>
        <v>29137.950000000015</v>
      </c>
    </row>
    <row r="39" spans="1:17" ht="32.25" customHeight="1" thickBot="1" x14ac:dyDescent="0.25">
      <c r="A39" s="400" t="s">
        <v>75</v>
      </c>
      <c r="B39" s="400"/>
      <c r="C39" s="411">
        <f>C38+F38+I38+L38</f>
        <v>1089665</v>
      </c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3"/>
    </row>
    <row r="40" spans="1:17" ht="30.75" customHeight="1" thickBot="1" x14ac:dyDescent="0.25">
      <c r="A40" s="400" t="s">
        <v>47</v>
      </c>
      <c r="B40" s="400"/>
      <c r="C40" s="414">
        <f>D38+G38+J38+M38</f>
        <v>6984905</v>
      </c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6"/>
    </row>
    <row r="41" spans="1:17" ht="30.75" customHeight="1" thickBot="1" x14ac:dyDescent="0.25">
      <c r="A41" s="400" t="s">
        <v>48</v>
      </c>
      <c r="B41" s="400"/>
      <c r="C41" s="402">
        <f>E38+H38+K38+N38</f>
        <v>346954.42</v>
      </c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4"/>
    </row>
  </sheetData>
  <customSheetViews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1"/>
    </customSheetView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90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109" t="s">
        <v>107</v>
      </c>
      <c r="I5" s="49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9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9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102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8317B6D8-8A99-4EB0-9DBC-8E9AE0170A4B}">
      <selection activeCell="D19" sqref="D19"/>
      <pageMargins left="0.7" right="0.7" top="0.75" bottom="0.75" header="0.3" footer="0.3"/>
      <pageSetup paperSize="9" orientation="portrait" r:id="rId1"/>
    </customSheetView>
    <customSheetView guid="{18C0F7AC-4BB1-46DE-8A01-8E31FE0585FC}">
      <selection sqref="A1:N20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165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308" t="s">
        <v>107</v>
      </c>
      <c r="I5" s="49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9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9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102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409" t="str">
        <f>'منطقة القاهرة'!B4</f>
        <v xml:space="preserve">الهايكستب </v>
      </c>
      <c r="C1" s="40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18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17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17" t="str">
        <f>'منطقة القاهرة'!F5</f>
        <v>موبيل</v>
      </c>
      <c r="G2" s="563">
        <f>'منطقة القاهرة'!G5</f>
        <v>0</v>
      </c>
      <c r="H2" s="418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1086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792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2011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70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1582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34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9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70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17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18">
        <f>'منطقة السويس'!H4</f>
        <v>0</v>
      </c>
      <c r="I13" s="276" t="s">
        <v>119</v>
      </c>
      <c r="K13" s="571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65" t="str">
        <f>'منطقة السويس'!C5</f>
        <v>موبيل</v>
      </c>
      <c r="D14" s="534">
        <f>'منطقة السويس'!D5</f>
        <v>0</v>
      </c>
      <c r="E14" s="566">
        <f>'منطقة السويس'!E5</f>
        <v>0</v>
      </c>
      <c r="F14" s="534" t="str">
        <f>'منطقة السويس'!F5</f>
        <v>مصر</v>
      </c>
      <c r="G14" s="534">
        <f>'منطقة السويس'!G5</f>
        <v>0</v>
      </c>
      <c r="H14" s="535">
        <f>'منطقة السويس'!H5</f>
        <v>0</v>
      </c>
      <c r="I14" s="275" t="s">
        <v>83</v>
      </c>
      <c r="K14" s="571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8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7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85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8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7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9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17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18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132</v>
      </c>
    </row>
    <row r="23" spans="1:13" ht="16.5" thickBot="1" x14ac:dyDescent="0.3">
      <c r="A23" s="449">
        <f>'منطقة الاسكندرية'!A5</f>
        <v>0</v>
      </c>
      <c r="B23" s="536" t="str">
        <f>'منطقة الاسكندرية'!B5</f>
        <v>تعاون</v>
      </c>
      <c r="C23" s="536">
        <f>'منطقة الاسكندرية'!C5</f>
        <v>0</v>
      </c>
      <c r="D23" s="556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7" t="str">
        <f>'منطقة الاسكندرية'!G5</f>
        <v>موبيل</v>
      </c>
      <c r="H23" s="536">
        <f>'منطقة الاسكندرية'!H5</f>
        <v>0</v>
      </c>
      <c r="I23" s="536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66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17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198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495" t="str">
        <f>'منطقة طنطا'!A4</f>
        <v>المحطة</v>
      </c>
      <c r="B31" s="417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18">
        <f>'منطقة طنطا'!F4</f>
        <v>0</v>
      </c>
      <c r="H31" s="78"/>
      <c r="I31" s="78"/>
      <c r="J31" s="78"/>
      <c r="K31" s="570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96">
        <f>'منطقة طنطا'!A5</f>
        <v>0</v>
      </c>
      <c r="B32" s="417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9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9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70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9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46" t="s">
        <v>0</v>
      </c>
      <c r="B1" s="446"/>
      <c r="C1" s="446"/>
      <c r="D1" s="446"/>
      <c r="O1" s="445"/>
      <c r="P1" s="445"/>
    </row>
    <row r="2" spans="1:17" ht="15" x14ac:dyDescent="0.2">
      <c r="A2" s="446" t="s">
        <v>1</v>
      </c>
      <c r="B2" s="446"/>
      <c r="C2" s="446"/>
      <c r="D2" s="446"/>
    </row>
    <row r="3" spans="1:17" ht="15" x14ac:dyDescent="0.2">
      <c r="A3" s="446" t="s">
        <v>2</v>
      </c>
      <c r="B3" s="446"/>
      <c r="C3" s="446"/>
      <c r="D3" s="446"/>
    </row>
    <row r="4" spans="1:17" ht="15" x14ac:dyDescent="0.2">
      <c r="A4" s="446" t="s">
        <v>53</v>
      </c>
      <c r="B4" s="446"/>
      <c r="C4" s="446"/>
      <c r="D4" s="446"/>
    </row>
    <row r="5" spans="1:17" ht="15" x14ac:dyDescent="0.2">
      <c r="A5" s="447" t="s">
        <v>196</v>
      </c>
      <c r="B5" s="447"/>
      <c r="C5" s="447"/>
      <c r="D5" s="447"/>
    </row>
    <row r="6" spans="1:17" ht="24" thickBot="1" x14ac:dyDescent="0.25">
      <c r="H6" s="441" t="s">
        <v>54</v>
      </c>
      <c r="I6" s="441"/>
      <c r="J6" s="441"/>
      <c r="K6" s="441"/>
    </row>
    <row r="7" spans="1:17" ht="20.25" customHeight="1" thickBot="1" x14ac:dyDescent="0.25">
      <c r="B7" s="424" t="s">
        <v>55</v>
      </c>
      <c r="C7" s="437"/>
      <c r="D7" s="437"/>
      <c r="E7" s="425"/>
      <c r="F7" s="17"/>
      <c r="G7" s="17"/>
      <c r="H7" s="17"/>
      <c r="I7" s="17"/>
      <c r="J7" s="17"/>
      <c r="K7" s="17"/>
      <c r="L7" s="17"/>
      <c r="M7" s="17"/>
      <c r="N7" s="17"/>
      <c r="O7" s="17"/>
      <c r="P7" s="424" t="s">
        <v>51</v>
      </c>
      <c r="Q7" s="425"/>
    </row>
    <row r="8" spans="1:17" ht="13.5" thickBot="1" x14ac:dyDescent="0.25">
      <c r="B8" s="442" t="s">
        <v>52</v>
      </c>
      <c r="C8" s="448" t="s">
        <v>5</v>
      </c>
      <c r="D8" s="448"/>
      <c r="E8" s="448"/>
      <c r="F8" s="448" t="s">
        <v>11</v>
      </c>
      <c r="G8" s="448"/>
      <c r="H8" s="448"/>
      <c r="I8" s="448" t="s">
        <v>12</v>
      </c>
      <c r="J8" s="448"/>
      <c r="K8" s="448"/>
      <c r="L8" s="448" t="s">
        <v>50</v>
      </c>
      <c r="M8" s="448"/>
      <c r="N8" s="448"/>
      <c r="O8" s="448" t="s">
        <v>56</v>
      </c>
      <c r="P8" s="448"/>
      <c r="Q8" s="448"/>
    </row>
    <row r="9" spans="1:17" ht="13.5" thickBot="1" x14ac:dyDescent="0.25">
      <c r="B9" s="442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</row>
    <row r="10" spans="1:17" ht="20.100000000000001" customHeight="1" thickBot="1" x14ac:dyDescent="0.25">
      <c r="B10" s="442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51000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595000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136000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289000</v>
      </c>
      <c r="N11" s="13" t="e">
        <f>M11/L11</f>
        <v>#DIV/0!</v>
      </c>
      <c r="O11" s="140">
        <f>C11+F11+I11+L11</f>
        <v>0</v>
      </c>
      <c r="P11" s="140">
        <f>D11+G11+J11+M11</f>
        <v>1071000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4" t="s">
        <v>61</v>
      </c>
      <c r="C15" s="437"/>
      <c r="D15" s="437"/>
      <c r="E15" s="425"/>
      <c r="P15" s="424" t="s">
        <v>51</v>
      </c>
      <c r="Q15" s="425"/>
    </row>
    <row r="16" spans="1:17" ht="13.5" thickBot="1" x14ac:dyDescent="0.25">
      <c r="B16" s="442" t="s">
        <v>52</v>
      </c>
      <c r="C16" s="448" t="s">
        <v>5</v>
      </c>
      <c r="D16" s="448"/>
      <c r="E16" s="448"/>
      <c r="F16" s="448" t="s">
        <v>11</v>
      </c>
      <c r="G16" s="448"/>
      <c r="H16" s="448"/>
      <c r="I16" s="448" t="s">
        <v>12</v>
      </c>
      <c r="J16" s="448"/>
      <c r="K16" s="448"/>
      <c r="L16" s="448" t="s">
        <v>50</v>
      </c>
      <c r="M16" s="448"/>
      <c r="N16" s="448"/>
      <c r="O16" s="448" t="s">
        <v>56</v>
      </c>
      <c r="P16" s="448"/>
      <c r="Q16" s="448"/>
    </row>
    <row r="17" spans="2:17" ht="13.5" thickBot="1" x14ac:dyDescent="0.25">
      <c r="B17" s="442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</row>
    <row r="18" spans="2:17" ht="20.100000000000001" customHeight="1" thickBot="1" x14ac:dyDescent="0.25">
      <c r="B18" s="442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59362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548787</v>
      </c>
      <c r="G19" s="209">
        <f>'موقف المحطات'!$G$20</f>
        <v>595000</v>
      </c>
      <c r="H19" s="13">
        <f>G19/F19</f>
        <v>1.0842093562711945</v>
      </c>
      <c r="I19" s="209">
        <f>'موقف المحطات'!$I$20</f>
        <v>135895</v>
      </c>
      <c r="J19" s="209">
        <f>'موقف المحطات'!$J$20</f>
        <v>136000</v>
      </c>
      <c r="K19" s="13">
        <f>J19/I19</f>
        <v>1.0007726553589169</v>
      </c>
      <c r="L19" s="209">
        <f>'موقف المحطات'!$L$20</f>
        <v>345621</v>
      </c>
      <c r="M19" s="209">
        <f>'موقف المحطات'!$M$20</f>
        <v>289000</v>
      </c>
      <c r="N19" s="13">
        <f>M19/L19</f>
        <v>0.83617604254371114</v>
      </c>
      <c r="O19" s="140">
        <f>C19+F19+I19+L19</f>
        <v>1089665</v>
      </c>
      <c r="P19" s="140">
        <f>D19+G19+J19+M19</f>
        <v>1020000</v>
      </c>
      <c r="Q19" s="13">
        <f>P19/O19</f>
        <v>0.93606750698609209</v>
      </c>
    </row>
    <row r="20" spans="2:17" ht="22.5" customHeight="1" thickBot="1" x14ac:dyDescent="0.25">
      <c r="B20" s="145" t="s">
        <v>64</v>
      </c>
      <c r="C20" s="140">
        <f>المبيعات!C38</f>
        <v>59362</v>
      </c>
      <c r="D20" s="140">
        <f>D11</f>
        <v>51000</v>
      </c>
      <c r="E20" s="13">
        <f>IFERROR(D20/C20,0)</f>
        <v>0.85913547387217415</v>
      </c>
      <c r="F20" s="140">
        <f>المبيعات!F38</f>
        <v>548787</v>
      </c>
      <c r="G20" s="140">
        <f>G11</f>
        <v>595000</v>
      </c>
      <c r="H20" s="13">
        <f>IFERROR(G20/F20,0)</f>
        <v>1.0842093562711945</v>
      </c>
      <c r="I20" s="140">
        <f>المبيعات!I38</f>
        <v>135895</v>
      </c>
      <c r="J20" s="140">
        <f>J11</f>
        <v>136000</v>
      </c>
      <c r="K20" s="13">
        <f>IFERROR(J20/I20,0)</f>
        <v>1.0007726553589169</v>
      </c>
      <c r="L20" s="140">
        <f>المبيعات!L38</f>
        <v>345621</v>
      </c>
      <c r="M20" s="140">
        <f>M11</f>
        <v>289000</v>
      </c>
      <c r="N20" s="13">
        <f>IFERROR(M20/L20,0)</f>
        <v>0.83617604254371114</v>
      </c>
      <c r="O20" s="140">
        <f>C20+F20+I20+L20</f>
        <v>1089665</v>
      </c>
      <c r="P20" s="140">
        <f>P11</f>
        <v>1071000</v>
      </c>
      <c r="Q20" s="13">
        <f>IFERROR(P20/O20,0)</f>
        <v>0.98287088233539666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4" t="s">
        <v>72</v>
      </c>
      <c r="C24" s="437"/>
      <c r="D24" s="437"/>
      <c r="E24" s="425"/>
      <c r="P24" s="443" t="s">
        <v>51</v>
      </c>
      <c r="Q24" s="444"/>
    </row>
    <row r="25" spans="2:17" ht="18" customHeight="1" thickBot="1" x14ac:dyDescent="0.25">
      <c r="B25" s="433" t="s">
        <v>52</v>
      </c>
      <c r="C25" s="422" t="s">
        <v>163</v>
      </c>
      <c r="D25" s="427"/>
      <c r="E25" s="423"/>
      <c r="F25" s="422" t="s">
        <v>158</v>
      </c>
      <c r="G25" s="427"/>
      <c r="H25" s="423"/>
      <c r="I25" s="422" t="s">
        <v>121</v>
      </c>
      <c r="J25" s="427"/>
      <c r="K25" s="423"/>
      <c r="L25" s="422" t="s">
        <v>112</v>
      </c>
      <c r="M25" s="427"/>
      <c r="N25" s="423"/>
      <c r="O25" s="422" t="s">
        <v>113</v>
      </c>
      <c r="P25" s="427"/>
      <c r="Q25" s="423"/>
    </row>
    <row r="26" spans="2:17" ht="16.5" customHeight="1" thickBot="1" x14ac:dyDescent="0.25">
      <c r="B26" s="434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32312</v>
      </c>
      <c r="D28" s="147">
        <f>'أخذ التمام الصباحي'!K6</f>
        <v>9609</v>
      </c>
      <c r="E28" s="224"/>
      <c r="F28" s="147">
        <f>'أخذ التمام الصباحي'!H7</f>
        <v>21644</v>
      </c>
      <c r="G28" s="147">
        <f>'أخذ التمام الصباحي'!K7</f>
        <v>3964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0" t="s">
        <v>173</v>
      </c>
      <c r="C32" s="431"/>
      <c r="D32" s="431"/>
      <c r="E32" s="431"/>
      <c r="F32" s="435" t="s">
        <v>60</v>
      </c>
      <c r="G32" s="436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251</v>
      </c>
      <c r="D35" s="147">
        <f>'التمام الصباحي'!J39</f>
        <v>2172</v>
      </c>
      <c r="E35" s="143">
        <f>'التمام الصباحي'!P39</f>
        <v>728</v>
      </c>
      <c r="F35" s="147">
        <f>'التمام الصباحي'!V39</f>
        <v>1962</v>
      </c>
      <c r="G35" s="147">
        <f>SUM(C35:F35)</f>
        <v>5113</v>
      </c>
    </row>
    <row r="36" spans="2:8" ht="20.25" customHeight="1" thickBot="1" x14ac:dyDescent="0.25">
      <c r="B36" s="39" t="s">
        <v>37</v>
      </c>
      <c r="C36" s="424">
        <f>'التمام الصباحي'!C42:Z42</f>
        <v>2672</v>
      </c>
      <c r="D36" s="437"/>
      <c r="E36" s="437"/>
      <c r="F36" s="437"/>
      <c r="G36" s="425"/>
      <c r="H36" s="157"/>
    </row>
    <row r="37" spans="2:8" ht="18.75" customHeight="1" thickBot="1" x14ac:dyDescent="0.25">
      <c r="B37" s="39" t="s">
        <v>68</v>
      </c>
      <c r="C37" s="424">
        <f>'احتياجات المحطات'!M29</f>
        <v>629</v>
      </c>
      <c r="D37" s="437"/>
      <c r="E37" s="437"/>
      <c r="F37" s="437"/>
      <c r="G37" s="425"/>
      <c r="H37" s="157"/>
    </row>
    <row r="38" spans="2:8" ht="21" customHeight="1" thickBot="1" x14ac:dyDescent="0.25">
      <c r="B38" s="39" t="s">
        <v>69</v>
      </c>
      <c r="C38" s="424">
        <f>G35+C37</f>
        <v>5742</v>
      </c>
      <c r="D38" s="437"/>
      <c r="E38" s="437"/>
      <c r="F38" s="437"/>
      <c r="G38" s="425"/>
      <c r="H38" s="157"/>
    </row>
    <row r="39" spans="2:8" ht="19.5" customHeight="1" thickBot="1" x14ac:dyDescent="0.25">
      <c r="B39" s="141" t="s">
        <v>70</v>
      </c>
      <c r="C39" s="424">
        <f>C36-C37</f>
        <v>2043</v>
      </c>
      <c r="D39" s="437"/>
      <c r="E39" s="437"/>
      <c r="F39" s="437"/>
      <c r="G39" s="425"/>
      <c r="H39" s="157"/>
    </row>
    <row r="40" spans="2:8" ht="20.100000000000001" customHeight="1" thickBot="1" x14ac:dyDescent="0.25">
      <c r="B40" s="141" t="s">
        <v>71</v>
      </c>
      <c r="C40" s="424">
        <f>P19/1000</f>
        <v>1020</v>
      </c>
      <c r="D40" s="437"/>
      <c r="E40" s="437"/>
      <c r="F40" s="437"/>
      <c r="G40" s="425"/>
      <c r="H40" s="157"/>
    </row>
    <row r="41" spans="2:8" ht="20.100000000000001" customHeight="1" thickBot="1" x14ac:dyDescent="0.25">
      <c r="B41" s="141" t="s">
        <v>110</v>
      </c>
      <c r="C41" s="438">
        <f>C37/C36</f>
        <v>0.23540419161676646</v>
      </c>
      <c r="D41" s="439"/>
      <c r="E41" s="439"/>
      <c r="F41" s="439"/>
      <c r="G41" s="440"/>
      <c r="H41" s="158"/>
    </row>
    <row r="42" spans="2:8" ht="20.100000000000001" customHeight="1" thickBot="1" x14ac:dyDescent="0.25">
      <c r="B42" s="147" t="s">
        <v>111</v>
      </c>
      <c r="C42" s="438">
        <f>'التمام الصباحي'!C45:Z45</f>
        <v>0.20946606688832389</v>
      </c>
      <c r="D42" s="439"/>
      <c r="E42" s="439"/>
      <c r="F42" s="439"/>
      <c r="G42" s="440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0" t="s">
        <v>174</v>
      </c>
      <c r="C46" s="431"/>
      <c r="D46" s="432"/>
      <c r="F46" s="436" t="s">
        <v>116</v>
      </c>
      <c r="G46" s="436"/>
    </row>
    <row r="47" spans="2:8" ht="18.75" customHeight="1" thickBot="1" x14ac:dyDescent="0.25">
      <c r="B47" s="144" t="s">
        <v>52</v>
      </c>
      <c r="C47" s="422" t="s">
        <v>114</v>
      </c>
      <c r="D47" s="423"/>
      <c r="E47" s="422" t="s">
        <v>115</v>
      </c>
      <c r="F47" s="423"/>
      <c r="G47" s="145" t="s">
        <v>34</v>
      </c>
    </row>
    <row r="48" spans="2:8" ht="18.75" customHeight="1" thickBot="1" x14ac:dyDescent="0.25">
      <c r="B48" s="210">
        <v>43647</v>
      </c>
      <c r="C48" s="426" t="e">
        <f>المستودعات!#REF!/51</f>
        <v>#REF!</v>
      </c>
      <c r="D48" s="425"/>
      <c r="E48" s="424"/>
      <c r="F48" s="425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0" t="s">
        <v>175</v>
      </c>
      <c r="C52" s="431"/>
      <c r="D52" s="431"/>
      <c r="E52" s="431"/>
      <c r="F52" s="431"/>
      <c r="G52" s="432"/>
    </row>
    <row r="53" spans="2:7" ht="20.100000000000001" customHeight="1" thickBot="1" x14ac:dyDescent="0.25">
      <c r="B53" s="433" t="s">
        <v>65</v>
      </c>
      <c r="C53" s="422" t="s">
        <v>73</v>
      </c>
      <c r="D53" s="427"/>
      <c r="E53" s="423"/>
      <c r="F53" s="428" t="s">
        <v>50</v>
      </c>
      <c r="G53" s="428" t="s">
        <v>74</v>
      </c>
    </row>
    <row r="54" spans="2:7" ht="20.100000000000001" customHeight="1" thickBot="1" x14ac:dyDescent="0.25">
      <c r="B54" s="434"/>
      <c r="C54" s="145">
        <v>80</v>
      </c>
      <c r="D54" s="145">
        <v>92</v>
      </c>
      <c r="E54" s="145">
        <v>95</v>
      </c>
      <c r="F54" s="429"/>
      <c r="G54" s="429"/>
    </row>
    <row r="55" spans="2:7" ht="19.5" customHeight="1" thickBot="1" x14ac:dyDescent="0.25">
      <c r="B55" s="29" t="s">
        <v>77</v>
      </c>
      <c r="C55" s="140">
        <f>المبيعات!D38</f>
        <v>326491</v>
      </c>
      <c r="D55" s="140">
        <f>المبيعات!G38</f>
        <v>3704312.25</v>
      </c>
      <c r="E55" s="149">
        <f>المبيعات!J38</f>
        <v>1053186.25</v>
      </c>
      <c r="F55" s="140">
        <f>المبيعات!M38</f>
        <v>1900915.5</v>
      </c>
      <c r="G55" s="35">
        <f>C55+D55+E55+F55</f>
        <v>6984905</v>
      </c>
    </row>
    <row r="56" spans="2:7" ht="17.25" customHeight="1" thickBot="1" x14ac:dyDescent="0.25">
      <c r="B56" s="145" t="s">
        <v>78</v>
      </c>
      <c r="C56" s="140">
        <f>المبيعات!E38</f>
        <v>14840.5</v>
      </c>
      <c r="D56" s="140">
        <f>المبيعات!H38</f>
        <v>181099.71</v>
      </c>
      <c r="E56" s="140">
        <f>المبيعات!K38</f>
        <v>61152.750000000007</v>
      </c>
      <c r="F56" s="140">
        <f>المبيعات!N38</f>
        <v>89861.46</v>
      </c>
      <c r="G56" s="35">
        <f>F56+E56+D56+C56</f>
        <v>346954.42000000004</v>
      </c>
    </row>
    <row r="57" spans="2:7" ht="17.25" customHeight="1" thickBot="1" x14ac:dyDescent="0.25">
      <c r="B57" s="145" t="s">
        <v>79</v>
      </c>
      <c r="C57" s="419">
        <f>المبيعات!P38</f>
        <v>98987</v>
      </c>
      <c r="D57" s="420"/>
      <c r="E57" s="420"/>
      <c r="F57" s="421"/>
      <c r="G57" s="36">
        <f>C57</f>
        <v>98987</v>
      </c>
    </row>
  </sheetData>
  <sheetProtection selectLockedCells="1"/>
  <customSheetViews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zoomScale="85" zoomScaleNormal="85" workbookViewId="0">
      <selection activeCell="G19" sqref="G19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409" t="s">
        <v>5</v>
      </c>
      <c r="D3" s="409"/>
      <c r="E3" s="450"/>
      <c r="F3" s="451" t="s">
        <v>11</v>
      </c>
      <c r="G3" s="409"/>
      <c r="H3" s="450"/>
      <c r="I3" s="418" t="s">
        <v>12</v>
      </c>
      <c r="J3" s="409"/>
      <c r="K3" s="417"/>
      <c r="L3" s="451" t="s">
        <v>50</v>
      </c>
      <c r="M3" s="409"/>
      <c r="N3" s="450"/>
      <c r="O3" s="418" t="s">
        <v>45</v>
      </c>
      <c r="P3" s="409"/>
      <c r="Q3" s="409"/>
      <c r="R3" s="40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0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42</v>
      </c>
      <c r="G5" s="194">
        <v>34</v>
      </c>
      <c r="H5" s="213">
        <v>24444</v>
      </c>
      <c r="I5" s="211">
        <v>9</v>
      </c>
      <c r="J5" s="5">
        <v>17</v>
      </c>
      <c r="K5" s="213">
        <v>7277</v>
      </c>
      <c r="L5" s="214"/>
      <c r="M5" s="192"/>
      <c r="N5" s="215"/>
      <c r="O5" s="217">
        <v>2090</v>
      </c>
      <c r="P5" s="218"/>
      <c r="Q5" s="294">
        <f t="shared" ref="Q5:Q26" si="0">P5+O5</f>
        <v>2090</v>
      </c>
      <c r="R5" s="220" t="s">
        <v>240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55</v>
      </c>
      <c r="G6" s="194">
        <v>17</v>
      </c>
      <c r="H6" s="213">
        <v>32312</v>
      </c>
      <c r="I6" s="211">
        <v>11</v>
      </c>
      <c r="J6" s="5">
        <v>17</v>
      </c>
      <c r="K6" s="213">
        <v>9609</v>
      </c>
      <c r="L6" s="214"/>
      <c r="M6" s="192"/>
      <c r="N6" s="215"/>
      <c r="O6" s="217">
        <v>2690</v>
      </c>
      <c r="P6" s="218"/>
      <c r="Q6" s="294">
        <f t="shared" si="0"/>
        <v>2690</v>
      </c>
      <c r="R6" s="220" t="s">
        <v>238</v>
      </c>
      <c r="S6" s="195" t="s">
        <v>237</v>
      </c>
      <c r="T6" s="195"/>
    </row>
    <row r="7" spans="1:20" ht="16.5" thickBot="1" x14ac:dyDescent="0.3">
      <c r="A7" s="299">
        <v>3</v>
      </c>
      <c r="B7" s="290" t="s">
        <v>158</v>
      </c>
      <c r="C7" s="197">
        <v>80</v>
      </c>
      <c r="D7" s="5">
        <v>51</v>
      </c>
      <c r="E7" s="213">
        <v>41823</v>
      </c>
      <c r="F7" s="211">
        <v>30</v>
      </c>
      <c r="G7" s="194">
        <v>34</v>
      </c>
      <c r="H7" s="213">
        <v>21644</v>
      </c>
      <c r="I7" s="211">
        <v>32</v>
      </c>
      <c r="J7" s="5"/>
      <c r="K7" s="213">
        <v>3964</v>
      </c>
      <c r="L7" s="214"/>
      <c r="M7" s="192"/>
      <c r="N7" s="215"/>
      <c r="O7" s="217">
        <v>3640</v>
      </c>
      <c r="P7" s="218"/>
      <c r="Q7" s="294">
        <f t="shared" si="0"/>
        <v>3640</v>
      </c>
      <c r="R7" s="220" t="s">
        <v>239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26</v>
      </c>
      <c r="D8" s="5"/>
      <c r="E8" s="213">
        <v>2457</v>
      </c>
      <c r="F8" s="211">
        <v>43</v>
      </c>
      <c r="G8" s="194">
        <v>17</v>
      </c>
      <c r="H8" s="213">
        <v>22554</v>
      </c>
      <c r="I8" s="211">
        <v>20</v>
      </c>
      <c r="J8" s="5"/>
      <c r="K8" s="213">
        <v>6572</v>
      </c>
      <c r="L8" s="211">
        <v>168</v>
      </c>
      <c r="M8" s="5"/>
      <c r="N8" s="216">
        <v>2621</v>
      </c>
      <c r="O8" s="217">
        <v>2695</v>
      </c>
      <c r="P8" s="219"/>
      <c r="Q8" s="294">
        <f t="shared" si="0"/>
        <v>2695</v>
      </c>
      <c r="R8" s="220" t="s">
        <v>244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80</v>
      </c>
      <c r="G9" s="194">
        <v>68</v>
      </c>
      <c r="H9" s="213">
        <v>40670</v>
      </c>
      <c r="I9" s="211">
        <v>19</v>
      </c>
      <c r="J9" s="5">
        <v>34</v>
      </c>
      <c r="K9" s="213">
        <v>11475</v>
      </c>
      <c r="L9" s="214"/>
      <c r="M9" s="192"/>
      <c r="N9" s="215"/>
      <c r="O9" s="217">
        <v>38520</v>
      </c>
      <c r="P9" s="218"/>
      <c r="Q9" s="294">
        <f t="shared" si="0"/>
        <v>38520</v>
      </c>
      <c r="R9" s="220" t="s">
        <v>221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21</v>
      </c>
      <c r="D10" s="5"/>
      <c r="E10" s="213">
        <v>4407</v>
      </c>
      <c r="F10" s="211">
        <v>60</v>
      </c>
      <c r="G10" s="194">
        <v>34</v>
      </c>
      <c r="H10" s="213">
        <v>25676</v>
      </c>
      <c r="I10" s="214"/>
      <c r="J10" s="192"/>
      <c r="K10" s="212"/>
      <c r="L10" s="211">
        <v>159</v>
      </c>
      <c r="M10" s="5">
        <v>17</v>
      </c>
      <c r="N10" s="216">
        <v>9699</v>
      </c>
      <c r="O10" s="217">
        <v>2970</v>
      </c>
      <c r="P10" s="219"/>
      <c r="Q10" s="294">
        <f t="shared" si="0"/>
        <v>2970</v>
      </c>
      <c r="R10" s="220" t="s">
        <v>235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22</v>
      </c>
      <c r="D11" s="5"/>
      <c r="E11" s="213">
        <v>6628</v>
      </c>
      <c r="F11" s="211">
        <v>70</v>
      </c>
      <c r="G11" s="194"/>
      <c r="H11" s="213">
        <v>20299</v>
      </c>
      <c r="I11" s="214"/>
      <c r="J11" s="192"/>
      <c r="K11" s="212"/>
      <c r="L11" s="211">
        <v>167</v>
      </c>
      <c r="M11" s="5"/>
      <c r="N11" s="216">
        <v>20978</v>
      </c>
      <c r="O11" s="217">
        <v>3140</v>
      </c>
      <c r="P11" s="219"/>
      <c r="Q11" s="294">
        <f t="shared" si="0"/>
        <v>3140</v>
      </c>
      <c r="R11" s="220" t="s">
        <v>231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170</v>
      </c>
      <c r="G12" s="194">
        <v>85</v>
      </c>
      <c r="H12" s="213">
        <v>42686</v>
      </c>
      <c r="I12" s="211">
        <v>57</v>
      </c>
      <c r="J12" s="5">
        <v>17</v>
      </c>
      <c r="K12" s="213">
        <v>11080</v>
      </c>
      <c r="L12" s="214"/>
      <c r="M12" s="192"/>
      <c r="N12" s="215"/>
      <c r="O12" s="217">
        <v>3290</v>
      </c>
      <c r="P12" s="218"/>
      <c r="Q12" s="294">
        <f t="shared" si="0"/>
        <v>3290</v>
      </c>
      <c r="R12" s="220" t="s">
        <v>232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140</v>
      </c>
      <c r="G13" s="194">
        <v>51</v>
      </c>
      <c r="H13" s="213">
        <v>40378</v>
      </c>
      <c r="I13" s="211">
        <v>32</v>
      </c>
      <c r="J13" s="5">
        <v>17</v>
      </c>
      <c r="K13" s="213">
        <v>10894</v>
      </c>
      <c r="L13" s="211">
        <v>106</v>
      </c>
      <c r="M13" s="5">
        <v>34</v>
      </c>
      <c r="N13" s="216">
        <v>34569</v>
      </c>
      <c r="O13" s="217"/>
      <c r="P13" s="219"/>
      <c r="Q13" s="294">
        <f t="shared" si="0"/>
        <v>0</v>
      </c>
      <c r="R13" s="220" t="s">
        <v>218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83</v>
      </c>
      <c r="G14" s="194"/>
      <c r="H14" s="213">
        <v>6448</v>
      </c>
      <c r="I14" s="211">
        <v>22</v>
      </c>
      <c r="J14" s="5"/>
      <c r="K14" s="213">
        <v>3444</v>
      </c>
      <c r="L14" s="211">
        <v>120</v>
      </c>
      <c r="M14" s="5">
        <v>51</v>
      </c>
      <c r="N14" s="216">
        <v>56821</v>
      </c>
      <c r="O14" s="217">
        <v>6890</v>
      </c>
      <c r="P14" s="219"/>
      <c r="Q14" s="294">
        <f t="shared" si="0"/>
        <v>6890</v>
      </c>
      <c r="R14" s="220" t="s">
        <v>241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56</v>
      </c>
      <c r="G15" s="194">
        <v>17</v>
      </c>
      <c r="H15" s="213">
        <v>10339</v>
      </c>
      <c r="I15" s="211">
        <v>6</v>
      </c>
      <c r="J15" s="5">
        <v>17</v>
      </c>
      <c r="K15" s="213">
        <v>3660</v>
      </c>
      <c r="L15" s="211">
        <v>45</v>
      </c>
      <c r="M15" s="5"/>
      <c r="N15" s="216">
        <v>3552</v>
      </c>
      <c r="O15" s="217">
        <v>1520</v>
      </c>
      <c r="P15" s="219"/>
      <c r="Q15" s="294">
        <f t="shared" si="0"/>
        <v>1520</v>
      </c>
      <c r="R15" s="220" t="s">
        <v>223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25</v>
      </c>
      <c r="G16" s="194">
        <v>17</v>
      </c>
      <c r="H16" s="213">
        <v>3699</v>
      </c>
      <c r="I16" s="211">
        <v>15</v>
      </c>
      <c r="J16" s="5"/>
      <c r="K16" s="213">
        <v>767</v>
      </c>
      <c r="L16" s="214"/>
      <c r="M16" s="192"/>
      <c r="N16" s="215"/>
      <c r="O16" s="217">
        <v>348</v>
      </c>
      <c r="P16" s="218"/>
      <c r="Q16" s="294">
        <f t="shared" si="0"/>
        <v>348</v>
      </c>
      <c r="R16" s="220" t="s">
        <v>220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75</v>
      </c>
      <c r="G17" s="194"/>
      <c r="H17" s="213">
        <v>3216</v>
      </c>
      <c r="I17" s="211">
        <v>13</v>
      </c>
      <c r="J17" s="5"/>
      <c r="K17" s="213">
        <v>1051</v>
      </c>
      <c r="L17" s="211">
        <v>168</v>
      </c>
      <c r="M17" s="5"/>
      <c r="N17" s="216">
        <v>7540</v>
      </c>
      <c r="O17" s="217">
        <v>1359</v>
      </c>
      <c r="P17" s="219"/>
      <c r="Q17" s="294">
        <f t="shared" si="0"/>
        <v>1359</v>
      </c>
      <c r="R17" s="220" t="s">
        <v>233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61</v>
      </c>
      <c r="G18" s="194">
        <v>34</v>
      </c>
      <c r="H18" s="213">
        <v>16505</v>
      </c>
      <c r="I18" s="211">
        <v>12</v>
      </c>
      <c r="J18" s="5">
        <v>17</v>
      </c>
      <c r="K18" s="213">
        <v>4648</v>
      </c>
      <c r="L18" s="211">
        <v>154</v>
      </c>
      <c r="M18" s="5"/>
      <c r="N18" s="216">
        <v>22063</v>
      </c>
      <c r="O18" s="217">
        <v>1510</v>
      </c>
      <c r="P18" s="219">
        <v>1850</v>
      </c>
      <c r="Q18" s="294">
        <f t="shared" si="0"/>
        <v>3360</v>
      </c>
      <c r="R18" s="220" t="s">
        <v>224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67</v>
      </c>
      <c r="G19" s="194"/>
      <c r="H19" s="213">
        <v>7094</v>
      </c>
      <c r="I19" s="211">
        <v>29</v>
      </c>
      <c r="J19" s="5"/>
      <c r="K19" s="213">
        <v>1284</v>
      </c>
      <c r="L19" s="214"/>
      <c r="M19" s="192"/>
      <c r="N19" s="215"/>
      <c r="O19" s="217">
        <v>700</v>
      </c>
      <c r="P19" s="218"/>
      <c r="Q19" s="294">
        <f t="shared" si="0"/>
        <v>700</v>
      </c>
      <c r="R19" s="220" t="s">
        <v>222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18</v>
      </c>
      <c r="D20" s="5"/>
      <c r="E20" s="213">
        <v>285</v>
      </c>
      <c r="F20" s="211">
        <v>40</v>
      </c>
      <c r="G20" s="194">
        <v>17</v>
      </c>
      <c r="H20" s="213">
        <v>1159</v>
      </c>
      <c r="I20" s="214"/>
      <c r="J20" s="192"/>
      <c r="K20" s="212"/>
      <c r="L20" s="211">
        <v>77</v>
      </c>
      <c r="M20" s="5">
        <v>34</v>
      </c>
      <c r="N20" s="216">
        <v>9260</v>
      </c>
      <c r="O20" s="217">
        <v>130</v>
      </c>
      <c r="P20" s="219">
        <v>680</v>
      </c>
      <c r="Q20" s="294">
        <f t="shared" si="0"/>
        <v>810</v>
      </c>
      <c r="R20" s="220" t="s">
        <v>228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38</v>
      </c>
      <c r="G21" s="194"/>
      <c r="H21" s="213">
        <v>3552</v>
      </c>
      <c r="I21" s="214"/>
      <c r="J21" s="192"/>
      <c r="K21" s="212"/>
      <c r="L21" s="211">
        <v>97</v>
      </c>
      <c r="M21" s="5"/>
      <c r="N21" s="216">
        <v>4071</v>
      </c>
      <c r="O21" s="217">
        <v>259</v>
      </c>
      <c r="P21" s="219">
        <v>261</v>
      </c>
      <c r="Q21" s="294">
        <f t="shared" si="0"/>
        <v>520</v>
      </c>
      <c r="R21" s="220" t="s">
        <v>242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85</v>
      </c>
      <c r="G22" s="194">
        <v>17</v>
      </c>
      <c r="H22" s="213">
        <v>13513</v>
      </c>
      <c r="I22" s="211">
        <v>17</v>
      </c>
      <c r="J22" s="5"/>
      <c r="K22" s="213">
        <v>1700</v>
      </c>
      <c r="L22" s="211">
        <v>117</v>
      </c>
      <c r="M22" s="5">
        <v>68</v>
      </c>
      <c r="N22" s="216">
        <v>52301</v>
      </c>
      <c r="O22" s="217">
        <v>1470</v>
      </c>
      <c r="P22" s="219">
        <v>4070</v>
      </c>
      <c r="Q22" s="294">
        <f t="shared" si="0"/>
        <v>5540</v>
      </c>
      <c r="R22" s="220" t="s">
        <v>245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73</v>
      </c>
      <c r="G23" s="194">
        <v>17</v>
      </c>
      <c r="H23" s="213">
        <v>15832</v>
      </c>
      <c r="I23" s="211">
        <v>26</v>
      </c>
      <c r="J23" s="5"/>
      <c r="K23" s="213">
        <v>3816</v>
      </c>
      <c r="L23" s="211">
        <v>115</v>
      </c>
      <c r="M23" s="5">
        <v>51</v>
      </c>
      <c r="N23" s="216">
        <v>54178</v>
      </c>
      <c r="O23" s="217">
        <v>1650</v>
      </c>
      <c r="P23" s="219">
        <v>4185</v>
      </c>
      <c r="Q23" s="294">
        <f t="shared" si="0"/>
        <v>5835</v>
      </c>
      <c r="R23" s="220" t="s">
        <v>219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68</v>
      </c>
      <c r="G24" s="194">
        <v>17</v>
      </c>
      <c r="H24" s="213">
        <v>12764</v>
      </c>
      <c r="I24" s="211">
        <v>19</v>
      </c>
      <c r="J24" s="5"/>
      <c r="K24" s="213">
        <v>2309</v>
      </c>
      <c r="L24" s="211">
        <v>157</v>
      </c>
      <c r="M24" s="5">
        <v>17</v>
      </c>
      <c r="N24" s="216">
        <v>29761</v>
      </c>
      <c r="O24" s="217">
        <v>1050</v>
      </c>
      <c r="P24" s="219">
        <v>2110</v>
      </c>
      <c r="Q24" s="294">
        <f t="shared" si="0"/>
        <v>3160</v>
      </c>
      <c r="R24" s="220" t="s">
        <v>229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83</v>
      </c>
      <c r="G25" s="194"/>
      <c r="H25" s="213">
        <v>8050</v>
      </c>
      <c r="I25" s="211">
        <v>21</v>
      </c>
      <c r="J25" s="5"/>
      <c r="K25" s="213">
        <v>1093</v>
      </c>
      <c r="L25" s="211">
        <v>149</v>
      </c>
      <c r="M25" s="5">
        <v>17</v>
      </c>
      <c r="N25" s="216">
        <v>24957</v>
      </c>
      <c r="O25" s="217">
        <v>845</v>
      </c>
      <c r="P25" s="219">
        <v>1960</v>
      </c>
      <c r="Q25" s="294">
        <f t="shared" si="0"/>
        <v>2805</v>
      </c>
      <c r="R25" s="220" t="s">
        <v>234</v>
      </c>
    </row>
    <row r="26" spans="1:20" ht="16.5" thickBot="1" x14ac:dyDescent="0.3">
      <c r="A26" s="299">
        <v>22</v>
      </c>
      <c r="B26" s="297" t="s">
        <v>112</v>
      </c>
      <c r="C26" s="197">
        <v>84</v>
      </c>
      <c r="D26" s="194"/>
      <c r="E26" s="213">
        <v>3762</v>
      </c>
      <c r="F26" s="211">
        <v>40</v>
      </c>
      <c r="G26" s="194"/>
      <c r="H26" s="213">
        <v>8533</v>
      </c>
      <c r="I26" s="211">
        <v>32</v>
      </c>
      <c r="J26" s="5"/>
      <c r="K26" s="213">
        <v>1936</v>
      </c>
      <c r="L26" s="211">
        <v>163</v>
      </c>
      <c r="M26" s="5"/>
      <c r="N26" s="216">
        <v>13250</v>
      </c>
      <c r="O26" s="217">
        <v>1100</v>
      </c>
      <c r="P26" s="219"/>
      <c r="Q26" s="294">
        <f t="shared" si="0"/>
        <v>1100</v>
      </c>
      <c r="R26" s="220" t="s">
        <v>240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103</v>
      </c>
      <c r="G27" s="194">
        <v>17</v>
      </c>
      <c r="H27" s="213">
        <v>8144</v>
      </c>
      <c r="I27" s="211">
        <v>34</v>
      </c>
      <c r="J27" s="5"/>
      <c r="K27" s="213">
        <v>1506</v>
      </c>
      <c r="L27" s="214"/>
      <c r="M27" s="192"/>
      <c r="N27" s="215"/>
      <c r="O27" s="217">
        <v>195</v>
      </c>
      <c r="P27" s="218"/>
      <c r="Q27" s="294">
        <f t="shared" ref="Q27:Q30" si="1">P27+O27</f>
        <v>195</v>
      </c>
      <c r="R27" s="220" t="s">
        <v>230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153</v>
      </c>
      <c r="G28" s="194"/>
      <c r="H28" s="213">
        <v>28792</v>
      </c>
      <c r="I28" s="211">
        <v>80</v>
      </c>
      <c r="J28" s="5"/>
      <c r="K28" s="213">
        <v>12029</v>
      </c>
      <c r="L28" s="214"/>
      <c r="M28" s="192"/>
      <c r="N28" s="215"/>
      <c r="O28" s="217">
        <v>1580</v>
      </c>
      <c r="P28" s="218"/>
      <c r="Q28" s="294">
        <f t="shared" si="1"/>
        <v>1580</v>
      </c>
      <c r="R28" s="220" t="s">
        <v>226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145</v>
      </c>
      <c r="G29" s="194">
        <v>51</v>
      </c>
      <c r="H29" s="213">
        <v>31961</v>
      </c>
      <c r="I29" s="211">
        <v>77</v>
      </c>
      <c r="J29" s="5"/>
      <c r="K29" s="213">
        <v>10604</v>
      </c>
      <c r="L29" s="214"/>
      <c r="M29" s="192"/>
      <c r="N29" s="215"/>
      <c r="O29" s="217">
        <v>3500</v>
      </c>
      <c r="P29" s="218"/>
      <c r="Q29" s="294">
        <f t="shared" si="1"/>
        <v>3500</v>
      </c>
      <c r="R29" s="220" t="s">
        <v>243</v>
      </c>
      <c r="S29" t="s">
        <v>227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155</v>
      </c>
      <c r="G30" s="194"/>
      <c r="H30" s="213">
        <v>38327</v>
      </c>
      <c r="I30" s="211">
        <v>85</v>
      </c>
      <c r="J30" s="5"/>
      <c r="K30" s="213">
        <v>9327</v>
      </c>
      <c r="L30" s="214"/>
      <c r="M30" s="192"/>
      <c r="N30" s="215"/>
      <c r="O30" s="217">
        <v>510</v>
      </c>
      <c r="P30" s="218"/>
      <c r="Q30" s="294">
        <f t="shared" si="1"/>
        <v>510</v>
      </c>
      <c r="R30" s="220" t="s">
        <v>225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132</v>
      </c>
      <c r="G31" s="194">
        <v>51</v>
      </c>
      <c r="H31" s="213">
        <v>60196</v>
      </c>
      <c r="I31" s="211">
        <v>60</v>
      </c>
      <c r="J31" s="5"/>
      <c r="K31" s="213">
        <v>15850</v>
      </c>
      <c r="L31" s="214"/>
      <c r="M31" s="192"/>
      <c r="N31" s="215"/>
      <c r="O31" s="217">
        <v>220</v>
      </c>
      <c r="P31" s="218"/>
      <c r="Q31" s="294">
        <f t="shared" ref="Q31:Q35" si="2">P31+O31</f>
        <v>220</v>
      </c>
      <c r="R31" s="220" t="s">
        <v>236</v>
      </c>
    </row>
    <row r="32" spans="1:20" ht="16.5" thickBot="1" x14ac:dyDescent="0.3">
      <c r="A32" s="359">
        <v>28</v>
      </c>
      <c r="B32" s="332" t="s">
        <v>197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51</v>
      </c>
      <c r="G39" s="193">
        <f>SUM(G5:G31)</f>
        <v>595</v>
      </c>
      <c r="J39" s="193">
        <f>SUM(J5:J31)</f>
        <v>136</v>
      </c>
      <c r="M39" s="193">
        <f>SUM(M5:M31)</f>
        <v>289</v>
      </c>
    </row>
  </sheetData>
  <sheetProtection selectLockedCells="1"/>
  <customSheetViews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1"/>
    </customSheetView>
    <customSheetView guid="{18C0F7AC-4BB1-46DE-8A01-8E31FE0585FC}" scale="85" fitToPage="1">
      <selection activeCell="G25" sqref="G25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193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28792</v>
      </c>
      <c r="F10" s="350">
        <f>'أخذ التمام الصباحي'!$K$28</f>
        <v>12029</v>
      </c>
      <c r="G10" s="342"/>
      <c r="H10" s="343">
        <f>SUM(D10:G10)</f>
        <v>40821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31961</v>
      </c>
      <c r="F11" s="350">
        <f>'أخذ التمام الصباحي'!$K$29</f>
        <v>10604</v>
      </c>
      <c r="G11" s="342"/>
      <c r="H11" s="343">
        <f t="shared" ref="H11" si="0">SUM(D11:G11)</f>
        <v>42565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38327</v>
      </c>
      <c r="F12" s="350">
        <f>'أخذ التمام الصباحي'!$K$30</f>
        <v>9327</v>
      </c>
      <c r="G12" s="342"/>
      <c r="H12" s="343">
        <f>SUM(D12:G12)</f>
        <v>47654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60196</v>
      </c>
      <c r="F13" s="350">
        <f>'أخذ التمام الصباحي'!$K$31</f>
        <v>15850</v>
      </c>
      <c r="G13" s="342"/>
      <c r="H13" s="343">
        <f>SUM(D13:G13)</f>
        <v>76046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32312</v>
      </c>
      <c r="F14" s="350">
        <f>'أخذ التمام الصباحي'!$K$6</f>
        <v>9609</v>
      </c>
      <c r="G14" s="342"/>
      <c r="H14" s="343">
        <f>SUM(D14:G14)</f>
        <v>41921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41823</v>
      </c>
      <c r="E15" s="350">
        <f>'أخذ التمام الصباحي'!$H$7</f>
        <v>21644</v>
      </c>
      <c r="F15" s="350">
        <f>'أخذ التمام الصباحي'!$K$7</f>
        <v>3964</v>
      </c>
      <c r="G15" s="342"/>
      <c r="H15" s="343">
        <f t="shared" ref="H15:H17" si="1">SUM(D15:G15)</f>
        <v>67431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3762</v>
      </c>
      <c r="E16" s="350">
        <f>'أخذ التمام الصباحي'!$H$26</f>
        <v>8533</v>
      </c>
      <c r="F16" s="350">
        <f>'أخذ التمام الصباحي'!$K$26</f>
        <v>1936</v>
      </c>
      <c r="G16" s="350">
        <f>'أخذ التمام الصباحي'!$N$26</f>
        <v>13250</v>
      </c>
      <c r="H16" s="343">
        <f t="shared" si="1"/>
        <v>27481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8144</v>
      </c>
      <c r="F17" s="350">
        <f>'أخذ التمام الصباحي'!$K$27</f>
        <v>1506</v>
      </c>
      <c r="G17" s="342"/>
      <c r="H17" s="343">
        <f t="shared" si="1"/>
        <v>9650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45585</v>
      </c>
      <c r="E18" s="351">
        <f t="shared" si="2"/>
        <v>229909</v>
      </c>
      <c r="F18" s="351">
        <f t="shared" si="2"/>
        <v>64825</v>
      </c>
      <c r="G18" s="351">
        <f t="shared" si="2"/>
        <v>13250</v>
      </c>
      <c r="H18" s="351">
        <f>SUM(H10:H17)</f>
        <v>353569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5"/>
  <sheetViews>
    <sheetView rightToLeft="1" zoomScaleNormal="100" workbookViewId="0">
      <selection activeCell="G4" sqref="G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7" t="s">
        <v>246</v>
      </c>
      <c r="C6" s="467"/>
      <c r="D6" s="467"/>
      <c r="E6" s="467"/>
      <c r="F6" s="467"/>
      <c r="G6" s="467"/>
      <c r="H6" s="467"/>
      <c r="I6" s="467"/>
      <c r="J6" s="467"/>
      <c r="K6" s="467"/>
    </row>
    <row r="7" spans="2:12" ht="15.75" x14ac:dyDescent="0.25"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68" t="s">
        <v>14</v>
      </c>
      <c r="C11" s="470" t="s">
        <v>3</v>
      </c>
      <c r="D11" s="470" t="s">
        <v>202</v>
      </c>
      <c r="E11" s="472" t="s">
        <v>203</v>
      </c>
      <c r="F11" s="473"/>
      <c r="G11" s="473"/>
      <c r="H11" s="474" t="s">
        <v>50</v>
      </c>
      <c r="I11" s="476" t="s">
        <v>183</v>
      </c>
      <c r="J11" s="472" t="s">
        <v>206</v>
      </c>
      <c r="K11" s="478"/>
    </row>
    <row r="12" spans="2:12" ht="15.75" customHeight="1" thickBot="1" x14ac:dyDescent="0.25">
      <c r="B12" s="469"/>
      <c r="C12" s="471"/>
      <c r="D12" s="471"/>
      <c r="E12" s="368">
        <v>80</v>
      </c>
      <c r="F12" s="368">
        <v>92</v>
      </c>
      <c r="G12" s="369">
        <v>95</v>
      </c>
      <c r="H12" s="475"/>
      <c r="I12" s="477"/>
      <c r="J12" s="368" t="s">
        <v>204</v>
      </c>
      <c r="K12" s="368" t="s">
        <v>202</v>
      </c>
    </row>
    <row r="13" spans="2:12" ht="16.5" customHeight="1" thickBot="1" x14ac:dyDescent="0.25">
      <c r="B13" s="370">
        <v>1</v>
      </c>
      <c r="C13" s="342" t="s">
        <v>163</v>
      </c>
      <c r="D13" s="479" t="s">
        <v>207</v>
      </c>
      <c r="E13" s="371" t="s">
        <v>208</v>
      </c>
      <c r="F13" s="371">
        <f>'تمام محطات الوكلاء'!E14</f>
        <v>32312</v>
      </c>
      <c r="G13" s="371">
        <f>'تمام محطات الوكلاء'!F14</f>
        <v>9609</v>
      </c>
      <c r="H13" s="371" t="s">
        <v>208</v>
      </c>
      <c r="I13" s="374">
        <f>SUM(E13:H13)</f>
        <v>41921</v>
      </c>
      <c r="J13" s="372">
        <f>F13*0.2525+G13*0.355</f>
        <v>11569.974999999999</v>
      </c>
      <c r="K13" s="372">
        <f>F13*0.1075+G13*0.145</f>
        <v>4866.8449999999993</v>
      </c>
    </row>
    <row r="14" spans="2:12" ht="18.75" thickBot="1" x14ac:dyDescent="0.25">
      <c r="B14" s="370">
        <v>2</v>
      </c>
      <c r="C14" s="342" t="s">
        <v>112</v>
      </c>
      <c r="D14" s="480"/>
      <c r="E14" s="373">
        <f>'تمام محطات الوكلاء'!D16</f>
        <v>3762</v>
      </c>
      <c r="F14" s="371">
        <f>'تمام محطات الوكلاء'!E16</f>
        <v>8533</v>
      </c>
      <c r="G14" s="371">
        <f>'تمام محطات الوكلاء'!F16</f>
        <v>1936</v>
      </c>
      <c r="H14" s="371">
        <f>'تمام محطات الوكلاء'!G16</f>
        <v>13250</v>
      </c>
      <c r="I14" s="374">
        <f t="shared" ref="I14:I22" si="0">SUM(E14:H14)</f>
        <v>27481</v>
      </c>
      <c r="J14" s="372">
        <f>E14*0.2105+F14*0.2525+H14*0.195+G14*0.355</f>
        <v>6217.5135</v>
      </c>
      <c r="K14" s="372">
        <f>E14*0.0695+F14*0.1075+G14*0.145+H14*0.085</f>
        <v>2585.7264999999998</v>
      </c>
    </row>
    <row r="15" spans="2:12" ht="18.75" thickBot="1" x14ac:dyDescent="0.25">
      <c r="B15" s="370">
        <v>3</v>
      </c>
      <c r="C15" s="342" t="s">
        <v>158</v>
      </c>
      <c r="D15" s="481"/>
      <c r="E15" s="373">
        <f>'تمام محطات الوكلاء'!D15</f>
        <v>41823</v>
      </c>
      <c r="F15" s="373">
        <f>'تمام محطات الوكلاء'!E15</f>
        <v>21644</v>
      </c>
      <c r="G15" s="373">
        <f>'تمام محطات الوكلاء'!F15</f>
        <v>3964</v>
      </c>
      <c r="H15" s="371" t="s">
        <v>208</v>
      </c>
      <c r="I15" s="374">
        <f t="shared" si="0"/>
        <v>67431</v>
      </c>
      <c r="J15" s="372">
        <f>E15*0.2105+F15*0.2525+G15*0.355</f>
        <v>15676.0715</v>
      </c>
      <c r="K15" s="372">
        <f>E15*0.0695+F15*0.1075+G15*0.145</f>
        <v>5808.2084999999997</v>
      </c>
    </row>
    <row r="16" spans="2:12" ht="21" thickBot="1" x14ac:dyDescent="0.25">
      <c r="B16" s="482" t="s">
        <v>209</v>
      </c>
      <c r="C16" s="483"/>
      <c r="D16" s="484"/>
      <c r="E16" s="375">
        <f>SUM(E13:E15)</f>
        <v>45585</v>
      </c>
      <c r="F16" s="375">
        <f t="shared" ref="F16:K16" si="1">SUM(F13:F15)</f>
        <v>62489</v>
      </c>
      <c r="G16" s="375">
        <f t="shared" si="1"/>
        <v>15509</v>
      </c>
      <c r="H16" s="375">
        <f t="shared" si="1"/>
        <v>13250</v>
      </c>
      <c r="I16" s="376">
        <f t="shared" si="1"/>
        <v>136833</v>
      </c>
      <c r="J16" s="375">
        <f t="shared" si="1"/>
        <v>33463.56</v>
      </c>
      <c r="K16" s="377">
        <f t="shared" si="1"/>
        <v>13260.779999999999</v>
      </c>
    </row>
    <row r="17" spans="2:11" ht="18.75" thickBot="1" x14ac:dyDescent="0.25">
      <c r="B17" s="370">
        <v>4</v>
      </c>
      <c r="C17" s="342" t="s">
        <v>121</v>
      </c>
      <c r="D17" s="485" t="s">
        <v>210</v>
      </c>
      <c r="E17" s="371" t="s">
        <v>208</v>
      </c>
      <c r="F17" s="371">
        <f>'تمام محطات الوكلاء'!E17</f>
        <v>8144</v>
      </c>
      <c r="G17" s="371">
        <f>'تمام محطات الوكلاء'!F17</f>
        <v>1506</v>
      </c>
      <c r="H17" s="371" t="s">
        <v>208</v>
      </c>
      <c r="I17" s="374">
        <f t="shared" si="0"/>
        <v>9650</v>
      </c>
      <c r="J17" s="372">
        <f>F17*0.2525+G17*0.355</f>
        <v>2590.9900000000002</v>
      </c>
      <c r="K17" s="372">
        <f>F17*0.1075+G17*0.145</f>
        <v>1093.8499999999999</v>
      </c>
    </row>
    <row r="18" spans="2:11" ht="18.75" thickBot="1" x14ac:dyDescent="0.25">
      <c r="B18" s="370">
        <v>5</v>
      </c>
      <c r="C18" s="344" t="s">
        <v>211</v>
      </c>
      <c r="D18" s="486"/>
      <c r="E18" s="371" t="s">
        <v>208</v>
      </c>
      <c r="F18" s="371">
        <f>'تمام محطات الوكلاء'!E12</f>
        <v>38327</v>
      </c>
      <c r="G18" s="371">
        <f>'تمام محطات الوكلاء'!F12</f>
        <v>9327</v>
      </c>
      <c r="H18" s="371" t="s">
        <v>208</v>
      </c>
      <c r="I18" s="374">
        <f t="shared" si="0"/>
        <v>47654</v>
      </c>
      <c r="J18" s="372">
        <f>F18*0.2525+G18*0.355</f>
        <v>12988.6525</v>
      </c>
      <c r="K18" s="372">
        <f>F18*0.1075+G18*0.145</f>
        <v>5472.5675000000001</v>
      </c>
    </row>
    <row r="19" spans="2:11" ht="18.75" thickBot="1" x14ac:dyDescent="0.25">
      <c r="B19" s="370">
        <v>6</v>
      </c>
      <c r="C19" s="342" t="s">
        <v>212</v>
      </c>
      <c r="D19" s="487"/>
      <c r="E19" s="371" t="s">
        <v>208</v>
      </c>
      <c r="F19" s="371">
        <f>'تمام محطات الوكلاء'!E10</f>
        <v>28792</v>
      </c>
      <c r="G19" s="371">
        <f>'تمام محطات الوكلاء'!F10</f>
        <v>12029</v>
      </c>
      <c r="H19" s="371" t="s">
        <v>208</v>
      </c>
      <c r="I19" s="374">
        <f t="shared" si="0"/>
        <v>40821</v>
      </c>
      <c r="J19" s="372">
        <f>F19*0.2525+G19*0.355</f>
        <v>11540.275000000001</v>
      </c>
      <c r="K19" s="372">
        <f>F19*0.1075+G19*0.145</f>
        <v>4839.3449999999993</v>
      </c>
    </row>
    <row r="20" spans="2:11" ht="21" thickBot="1" x14ac:dyDescent="0.25">
      <c r="B20" s="488" t="s">
        <v>213</v>
      </c>
      <c r="C20" s="489"/>
      <c r="D20" s="490"/>
      <c r="E20" s="378"/>
      <c r="F20" s="379">
        <f t="shared" ref="F20:K20" si="2">SUM(F17:F19)</f>
        <v>75263</v>
      </c>
      <c r="G20" s="379">
        <f t="shared" si="2"/>
        <v>22862</v>
      </c>
      <c r="H20" s="379"/>
      <c r="I20" s="380">
        <f t="shared" si="2"/>
        <v>98125</v>
      </c>
      <c r="J20" s="379">
        <f t="shared" si="2"/>
        <v>27119.917500000003</v>
      </c>
      <c r="K20" s="379">
        <f t="shared" si="2"/>
        <v>11405.762499999999</v>
      </c>
    </row>
    <row r="21" spans="2:11" ht="18.75" thickBot="1" x14ac:dyDescent="0.25">
      <c r="B21" s="370">
        <v>7</v>
      </c>
      <c r="C21" s="342" t="s">
        <v>214</v>
      </c>
      <c r="D21" s="485" t="s">
        <v>215</v>
      </c>
      <c r="E21" s="371" t="s">
        <v>208</v>
      </c>
      <c r="F21" s="371">
        <f>'تمام محطات الوكلاء'!E13</f>
        <v>60196</v>
      </c>
      <c r="G21" s="371">
        <f>'تمام محطات الوكلاء'!F13</f>
        <v>15850</v>
      </c>
      <c r="H21" s="371" t="s">
        <v>208</v>
      </c>
      <c r="I21" s="374">
        <f t="shared" si="0"/>
        <v>76046</v>
      </c>
      <c r="J21" s="372">
        <f>F21*0.2525+G21*0.355</f>
        <v>20826.239999999998</v>
      </c>
      <c r="K21" s="372">
        <f>F21*0.1075+G21*0.145</f>
        <v>8769.32</v>
      </c>
    </row>
    <row r="22" spans="2:11" ht="18.75" thickBot="1" x14ac:dyDescent="0.25">
      <c r="B22" s="370">
        <v>8</v>
      </c>
      <c r="C22" s="342" t="s">
        <v>216</v>
      </c>
      <c r="D22" s="486"/>
      <c r="E22" s="371" t="s">
        <v>208</v>
      </c>
      <c r="F22" s="371">
        <f>'تمام محطات الوكلاء'!E11</f>
        <v>31961</v>
      </c>
      <c r="G22" s="371">
        <f>'تمام محطات الوكلاء'!F11</f>
        <v>10604</v>
      </c>
      <c r="H22" s="371" t="s">
        <v>208</v>
      </c>
      <c r="I22" s="374">
        <f t="shared" si="0"/>
        <v>42565</v>
      </c>
      <c r="J22" s="372">
        <f>F22*0.2525+G22*0.355</f>
        <v>11834.5725</v>
      </c>
      <c r="K22" s="372">
        <f>F22*0.1075+G22*0.145</f>
        <v>4973.3874999999998</v>
      </c>
    </row>
    <row r="23" spans="2:11" ht="21" thickBot="1" x14ac:dyDescent="0.25">
      <c r="B23" s="464" t="s">
        <v>217</v>
      </c>
      <c r="C23" s="465"/>
      <c r="D23" s="466"/>
      <c r="E23" s="381"/>
      <c r="F23" s="381">
        <f t="shared" ref="F23:K23" si="3">SUM(F21:F22)</f>
        <v>92157</v>
      </c>
      <c r="G23" s="381">
        <f t="shared" si="3"/>
        <v>26454</v>
      </c>
      <c r="H23" s="381"/>
      <c r="I23" s="382">
        <f t="shared" si="3"/>
        <v>118611</v>
      </c>
      <c r="J23" s="381">
        <f t="shared" si="3"/>
        <v>32660.8125</v>
      </c>
      <c r="K23" s="383">
        <f t="shared" si="3"/>
        <v>13742.7075</v>
      </c>
    </row>
    <row r="24" spans="2:11" x14ac:dyDescent="0.2">
      <c r="B24" s="493" t="s">
        <v>205</v>
      </c>
      <c r="C24" s="493"/>
      <c r="D24" s="493"/>
      <c r="E24" s="491">
        <f>SUM(E16,E20,E23)</f>
        <v>45585</v>
      </c>
      <c r="F24" s="491">
        <f t="shared" ref="F24:K24" si="4">SUM(F16,F20,F23)</f>
        <v>229909</v>
      </c>
      <c r="G24" s="491">
        <f t="shared" si="4"/>
        <v>64825</v>
      </c>
      <c r="H24" s="491">
        <f t="shared" si="4"/>
        <v>13250</v>
      </c>
      <c r="I24" s="491">
        <f t="shared" si="4"/>
        <v>353569</v>
      </c>
      <c r="J24" s="491">
        <f t="shared" si="4"/>
        <v>93244.290000000008</v>
      </c>
      <c r="K24" s="491">
        <f t="shared" si="4"/>
        <v>38409.25</v>
      </c>
    </row>
    <row r="25" spans="2:11" ht="15" customHeight="1" thickBot="1" x14ac:dyDescent="0.25">
      <c r="B25" s="494"/>
      <c r="C25" s="494"/>
      <c r="D25" s="494"/>
      <c r="E25" s="492"/>
      <c r="F25" s="492"/>
      <c r="G25" s="492"/>
      <c r="H25" s="492"/>
      <c r="I25" s="492"/>
      <c r="J25" s="492"/>
      <c r="K25" s="492"/>
    </row>
  </sheetData>
  <customSheetViews>
    <customSheetView guid="{18C0F7AC-4BB1-46DE-8A01-8E31FE0585FC}" hiddenRows="1">
      <selection activeCell="G4" sqref="G4"/>
      <pageMargins left="0.7" right="0.7" top="0.75" bottom="0.75" header="0.3" footer="0.3"/>
    </customSheetView>
  </customSheetViews>
  <mergeCells count="22">
    <mergeCell ref="J24:J25"/>
    <mergeCell ref="K24:K25"/>
    <mergeCell ref="B24:D25"/>
    <mergeCell ref="E24:E25"/>
    <mergeCell ref="F24:F25"/>
    <mergeCell ref="G24:G25"/>
    <mergeCell ref="H24:H25"/>
    <mergeCell ref="I24:I25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tabSelected="1" topLeftCell="A3" zoomScale="70" zoomScaleNormal="70" workbookViewId="0">
      <selection activeCell="S27" sqref="S27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08" t="s">
        <v>3</v>
      </c>
      <c r="C2" s="500" t="s">
        <v>84</v>
      </c>
      <c r="D2" s="500"/>
      <c r="E2" s="500"/>
      <c r="F2" s="500"/>
      <c r="G2" s="500" t="s">
        <v>88</v>
      </c>
      <c r="H2" s="500"/>
      <c r="I2" s="500"/>
      <c r="N2" s="495" t="s">
        <v>3</v>
      </c>
      <c r="O2" s="501" t="s">
        <v>85</v>
      </c>
      <c r="P2" s="502"/>
      <c r="Q2" s="502"/>
      <c r="R2" s="502"/>
      <c r="S2" s="502"/>
      <c r="T2" s="503"/>
    </row>
    <row r="3" spans="1:23" ht="15.75" thickBot="1" x14ac:dyDescent="0.25">
      <c r="B3" s="408"/>
      <c r="C3" s="498" t="s">
        <v>82</v>
      </c>
      <c r="D3" s="498"/>
      <c r="E3" s="498"/>
      <c r="F3" s="188" t="s">
        <v>81</v>
      </c>
      <c r="G3" s="498" t="s">
        <v>81</v>
      </c>
      <c r="H3" s="498"/>
      <c r="I3" s="498"/>
      <c r="N3" s="496"/>
      <c r="O3" s="507" t="s">
        <v>87</v>
      </c>
      <c r="P3" s="508"/>
      <c r="Q3" s="509"/>
      <c r="R3" s="507" t="s">
        <v>164</v>
      </c>
      <c r="S3" s="508"/>
      <c r="T3" s="509"/>
    </row>
    <row r="4" spans="1:23" ht="15.75" thickBot="1" x14ac:dyDescent="0.25">
      <c r="A4" s="499"/>
      <c r="B4" s="40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9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99"/>
      <c r="B5" s="186" t="s">
        <v>15</v>
      </c>
      <c r="C5" s="184">
        <v>34</v>
      </c>
      <c r="D5" s="184">
        <v>17</v>
      </c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/>
      <c r="S5" s="293"/>
      <c r="T5" s="293">
        <v>51</v>
      </c>
    </row>
    <row r="6" spans="1:23" ht="16.5" thickBot="1" x14ac:dyDescent="0.25">
      <c r="A6" s="187"/>
      <c r="B6" s="327" t="s">
        <v>121</v>
      </c>
      <c r="C6" s="330">
        <v>17</v>
      </c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>
        <v>17</v>
      </c>
      <c r="S6" s="293">
        <v>17</v>
      </c>
      <c r="T6" s="293"/>
    </row>
    <row r="7" spans="1:23" ht="16.5" thickBot="1" x14ac:dyDescent="0.25">
      <c r="A7" s="187"/>
      <c r="B7" s="284" t="s">
        <v>163</v>
      </c>
      <c r="C7" s="287">
        <v>17</v>
      </c>
      <c r="D7" s="287">
        <v>17</v>
      </c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>
        <v>17</v>
      </c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51</v>
      </c>
      <c r="H8" s="292">
        <v>34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/>
      <c r="D9" s="184"/>
      <c r="E9" s="184"/>
      <c r="F9" s="184"/>
      <c r="G9" s="184">
        <v>0</v>
      </c>
      <c r="H9" s="184">
        <v>17</v>
      </c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34</v>
      </c>
      <c r="S9" s="5">
        <f t="shared" si="0"/>
        <v>17</v>
      </c>
      <c r="T9" s="5">
        <f t="shared" si="0"/>
        <v>51</v>
      </c>
    </row>
    <row r="10" spans="1:23" ht="16.5" thickBot="1" x14ac:dyDescent="0.25">
      <c r="A10" s="187"/>
      <c r="B10" s="186" t="s">
        <v>17</v>
      </c>
      <c r="C10" s="322">
        <v>34</v>
      </c>
      <c r="D10" s="184">
        <v>17</v>
      </c>
      <c r="E10" s="161"/>
      <c r="F10" s="161"/>
      <c r="G10" s="184"/>
      <c r="H10" s="184">
        <v>34</v>
      </c>
      <c r="I10" s="184">
        <v>17</v>
      </c>
    </row>
    <row r="11" spans="1:23" ht="16.5" thickBot="1" x14ac:dyDescent="0.25">
      <c r="B11" s="186" t="s">
        <v>18</v>
      </c>
      <c r="C11" s="184"/>
      <c r="D11" s="161"/>
      <c r="E11" s="184"/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34</v>
      </c>
      <c r="D12" s="161"/>
      <c r="E12" s="184">
        <v>17</v>
      </c>
      <c r="F12" s="184"/>
      <c r="G12" s="184"/>
      <c r="H12" s="184"/>
      <c r="I12" s="161"/>
      <c r="J12" s="285"/>
      <c r="K12" s="325"/>
      <c r="L12" s="187"/>
      <c r="P12" s="495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85</v>
      </c>
      <c r="D13" s="184">
        <v>17</v>
      </c>
      <c r="E13" s="161"/>
      <c r="F13" s="161"/>
      <c r="G13" s="161"/>
      <c r="H13" s="184"/>
      <c r="I13" s="184"/>
      <c r="P13" s="49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51</v>
      </c>
      <c r="D14" s="184">
        <v>17</v>
      </c>
      <c r="E14" s="184">
        <v>34</v>
      </c>
      <c r="F14" s="184"/>
      <c r="G14" s="161"/>
      <c r="H14" s="184"/>
      <c r="I14" s="184"/>
      <c r="P14" s="497"/>
      <c r="Q14" s="163" t="s">
        <v>50</v>
      </c>
      <c r="S14" s="163" t="s">
        <v>93</v>
      </c>
      <c r="T14" s="162">
        <f>G22+C34</f>
        <v>51</v>
      </c>
      <c r="U14" s="162">
        <f>H22+D34</f>
        <v>85</v>
      </c>
      <c r="V14" s="162">
        <f>I22</f>
        <v>17</v>
      </c>
      <c r="W14" s="162">
        <f>F22+E34</f>
        <v>0</v>
      </c>
    </row>
    <row r="15" spans="1:23" ht="16.5" thickBot="1" x14ac:dyDescent="0.25">
      <c r="A15" s="47"/>
      <c r="B15" s="332" t="s">
        <v>176</v>
      </c>
      <c r="C15" s="330"/>
      <c r="D15" s="330"/>
      <c r="E15" s="161"/>
      <c r="F15" s="161"/>
      <c r="G15" s="161"/>
      <c r="H15" s="330"/>
      <c r="I15" s="330"/>
      <c r="L15" s="227"/>
      <c r="P15" s="191" t="s">
        <v>30</v>
      </c>
      <c r="Q15" s="305">
        <v>51</v>
      </c>
      <c r="S15" s="163" t="s">
        <v>87</v>
      </c>
      <c r="T15" s="162">
        <f>H34</f>
        <v>0</v>
      </c>
      <c r="U15" s="162">
        <f>C22+O9+F34</f>
        <v>476</v>
      </c>
      <c r="V15" s="162">
        <f>D22+P9+G34</f>
        <v>102</v>
      </c>
      <c r="W15" s="162">
        <f>E22+I34+Q9</f>
        <v>136</v>
      </c>
    </row>
    <row r="16" spans="1:23" ht="16.5" thickBot="1" x14ac:dyDescent="0.25">
      <c r="A16" s="47"/>
      <c r="B16" s="327" t="s">
        <v>177</v>
      </c>
      <c r="C16" s="330">
        <v>51</v>
      </c>
      <c r="D16" s="330"/>
      <c r="E16" s="161"/>
      <c r="F16" s="161"/>
      <c r="G16" s="161"/>
      <c r="H16" s="330"/>
      <c r="I16" s="330"/>
      <c r="P16" s="191" t="s">
        <v>31</v>
      </c>
      <c r="Q16" s="305">
        <v>51</v>
      </c>
      <c r="S16" s="163" t="s">
        <v>164</v>
      </c>
      <c r="T16" s="288"/>
      <c r="U16" s="162">
        <f>R9</f>
        <v>34</v>
      </c>
      <c r="V16" s="162">
        <f>S9</f>
        <v>17</v>
      </c>
      <c r="W16" s="162">
        <f>T9</f>
        <v>51</v>
      </c>
    </row>
    <row r="17" spans="1:23" ht="16.5" thickBot="1" x14ac:dyDescent="0.25">
      <c r="A17" s="47"/>
      <c r="B17" s="327" t="s">
        <v>178</v>
      </c>
      <c r="C17" s="330"/>
      <c r="D17" s="330"/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51</v>
      </c>
      <c r="D18" s="330"/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102</v>
      </c>
      <c r="S19" s="163" t="s">
        <v>155</v>
      </c>
      <c r="T19" s="162">
        <f>'التمام الصباحي'!F39</f>
        <v>51</v>
      </c>
      <c r="U19" s="162">
        <f>'التمام الصباحي'!L39</f>
        <v>595</v>
      </c>
      <c r="V19" s="162">
        <f>'التمام الصباحي'!R39</f>
        <v>136</v>
      </c>
      <c r="W19" s="162">
        <f>'التمام الصباحي'!X39</f>
        <v>289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51</v>
      </c>
      <c r="U20" s="162">
        <f>C22+H22+D34+F34+O9+R9</f>
        <v>595</v>
      </c>
      <c r="V20" s="162">
        <f>D22+I22+G34+P9+S9</f>
        <v>136</v>
      </c>
      <c r="W20" s="162">
        <f>E22+F22+Q9+T9+E34+I34+Q19</f>
        <v>289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425</v>
      </c>
      <c r="D22" s="330">
        <f>SUM(D5:D21)+F44</f>
        <v>85</v>
      </c>
      <c r="E22" s="330">
        <f>SUM(E5:E18)+G44</f>
        <v>102</v>
      </c>
      <c r="F22" s="330">
        <f>SUM(F5:F18)+D44</f>
        <v>0</v>
      </c>
      <c r="G22" s="330">
        <f>SUM(G5:G18)</f>
        <v>51</v>
      </c>
      <c r="H22" s="330">
        <f>SUM(H5:H21)+B44</f>
        <v>85</v>
      </c>
      <c r="I22" s="330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95" t="s">
        <v>3</v>
      </c>
      <c r="C25" s="501" t="s">
        <v>86</v>
      </c>
      <c r="D25" s="502"/>
      <c r="E25" s="502"/>
      <c r="F25" s="502"/>
      <c r="G25" s="502"/>
      <c r="H25" s="502"/>
      <c r="I25" s="503"/>
      <c r="J25" s="300"/>
    </row>
    <row r="26" spans="1:23" ht="17.25" customHeight="1" thickBot="1" x14ac:dyDescent="0.25">
      <c r="B26" s="496"/>
      <c r="C26" s="498" t="s">
        <v>81</v>
      </c>
      <c r="D26" s="498"/>
      <c r="E26" s="498"/>
      <c r="F26" s="498" t="s">
        <v>87</v>
      </c>
      <c r="G26" s="498"/>
      <c r="H26" s="498"/>
      <c r="I26" s="498"/>
      <c r="J26" s="300"/>
    </row>
    <row r="27" spans="1:23" ht="15.75" thickBot="1" x14ac:dyDescent="0.25">
      <c r="B27" s="49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34</v>
      </c>
      <c r="G28" s="330">
        <v>17</v>
      </c>
      <c r="H28" s="334"/>
      <c r="I28" s="330"/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>
        <v>17</v>
      </c>
      <c r="G30" s="161"/>
      <c r="H30" s="331"/>
      <c r="I30" s="330">
        <v>34</v>
      </c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/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51</v>
      </c>
      <c r="G34" s="330">
        <f>SUM(G28:G33)+I44</f>
        <v>17</v>
      </c>
      <c r="H34" s="330">
        <f>SUM(H28:H32)+K44</f>
        <v>0</v>
      </c>
      <c r="I34" s="330">
        <f>SUM(I28:I33)+J44</f>
        <v>34</v>
      </c>
    </row>
    <row r="36" spans="1:14" ht="15" thickBot="1" x14ac:dyDescent="0.25"/>
    <row r="37" spans="1:14" ht="15.75" thickBot="1" x14ac:dyDescent="0.25">
      <c r="A37" s="495" t="s">
        <v>3</v>
      </c>
      <c r="B37" s="504" t="s">
        <v>88</v>
      </c>
      <c r="C37" s="505"/>
      <c r="D37" s="504" t="s">
        <v>84</v>
      </c>
      <c r="E37" s="506"/>
      <c r="F37" s="506"/>
      <c r="G37" s="505"/>
      <c r="H37" s="504" t="s">
        <v>86</v>
      </c>
      <c r="I37" s="506"/>
      <c r="J37" s="506"/>
      <c r="K37" s="506"/>
      <c r="L37" s="506"/>
      <c r="M37" s="506"/>
      <c r="N37" s="505"/>
    </row>
    <row r="38" spans="1:14" ht="15.75" thickBot="1" x14ac:dyDescent="0.25">
      <c r="A38" s="496"/>
      <c r="B38" s="504" t="s">
        <v>81</v>
      </c>
      <c r="C38" s="505"/>
      <c r="D38" s="329" t="s">
        <v>81</v>
      </c>
      <c r="E38" s="504" t="s">
        <v>87</v>
      </c>
      <c r="F38" s="506"/>
      <c r="G38" s="505"/>
      <c r="H38" s="504" t="s">
        <v>87</v>
      </c>
      <c r="I38" s="506"/>
      <c r="J38" s="506"/>
      <c r="K38" s="505"/>
      <c r="L38" s="504" t="s">
        <v>81</v>
      </c>
      <c r="M38" s="506"/>
      <c r="N38" s="505"/>
    </row>
    <row r="39" spans="1:14" ht="15.75" thickBot="1" x14ac:dyDescent="0.25">
      <c r="A39" s="49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/>
      <c r="G40" s="330">
        <v>17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17</v>
      </c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>
        <v>0</v>
      </c>
      <c r="E42" s="301">
        <v>17</v>
      </c>
      <c r="F42" s="301"/>
      <c r="G42" s="301">
        <v>17</v>
      </c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/>
      <c r="F43" s="230"/>
      <c r="G43" s="230">
        <v>17</v>
      </c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0</v>
      </c>
      <c r="E44" s="313">
        <f t="shared" si="2"/>
        <v>51</v>
      </c>
      <c r="F44" s="313">
        <f t="shared" si="2"/>
        <v>0</v>
      </c>
      <c r="G44" s="313">
        <f t="shared" si="2"/>
        <v>51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8317B6D8-8A99-4EB0-9DBC-8E9AE0170A4B}">
      <selection activeCell="O15" sqref="O15"/>
      <pageMargins left="0.7" right="0.7" top="0.75" bottom="0.75" header="0.3" footer="0.3"/>
      <pageSetup paperSize="9" orientation="portrait" r:id="rId1"/>
    </customSheetView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3" t="s">
        <v>159</v>
      </c>
      <c r="E5" s="523"/>
      <c r="F5" s="523"/>
      <c r="G5" s="523"/>
      <c r="H5" s="523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96" t="s">
        <v>99</v>
      </c>
      <c r="X6" s="39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96"/>
      <c r="L7" s="201" t="s">
        <v>7</v>
      </c>
      <c r="M7" s="201" t="s">
        <v>7</v>
      </c>
      <c r="N7" s="201" t="s">
        <v>7</v>
      </c>
      <c r="O7" s="201" t="s">
        <v>7</v>
      </c>
      <c r="Q7" s="396"/>
      <c r="R7" s="528"/>
      <c r="S7" s="528"/>
      <c r="T7" s="528"/>
      <c r="U7" s="529"/>
      <c r="W7" s="396"/>
      <c r="X7" s="39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0" t="s">
        <v>101</v>
      </c>
      <c r="X8" s="51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1"/>
      <c r="X9" s="51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21"/>
      <c r="X10" s="51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21"/>
      <c r="X11" s="51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6">
        <f>IF((ROUNDDOWN((SUM(M12:M13)/51)-(R12+R13),0.9))&lt;0,0,(ROUNDDOWN((SUM(M12:M13)/51)-(R12+R13),0.9)))</f>
        <v>0</v>
      </c>
      <c r="T12" s="516">
        <f t="shared" ref="T12" si="3">IF((ROUNDDOWN((SUM(O12:O13)/51)-(R12+R13),0.9))&lt;0,0,(ROUNDDOWN((SUM(O12:O13)/51)-(R12+R13),0.9)))</f>
        <v>0</v>
      </c>
      <c r="U12" s="516">
        <f t="shared" ref="U12" si="4">IF((ROUNDDOWN((SUM(L12:O13)/51)-(R12+R13+S12+T12),0.9))&lt;0,0,ROUNDDOWN((SUM(L12:O13)/51)-(R12+R13+S12+T12),0.9))</f>
        <v>0</v>
      </c>
      <c r="W12" s="521"/>
      <c r="X12" s="51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6"/>
      <c r="T13" s="516"/>
      <c r="U13" s="516"/>
      <c r="W13" s="521"/>
      <c r="X13" s="51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21"/>
      <c r="X14" s="51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2"/>
      <c r="X15" s="51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30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7">
        <f>IF((ROUNDDOWN((SUM(M17:M18)/51)-(R17+R18),0.9))&lt;0,0,(ROUNDDOWN((SUM(M17:M18)/51)-(R17+R18),0.9)))</f>
        <v>0</v>
      </c>
      <c r="T17" s="517">
        <f>IF((ROUNDDOWN((SUM(O17:O18)/51)-(R17+R18),0.9))&lt;0,0,(ROUNDDOWN((SUM(O17:O18)/51)-(R17+R18),0.9)))</f>
        <v>0</v>
      </c>
      <c r="U17" s="517">
        <f>IF((ROUNDDOWN((SUM(L17:O18)/51)-(R17+R18+S17+T17),0.9))&lt;0,0,ROUNDDOWN((SUM(L17:O18)/51)-(R17+R18+S17+T17),0.9))</f>
        <v>0</v>
      </c>
      <c r="W17" s="512"/>
      <c r="X17" s="530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8"/>
      <c r="T18" s="518"/>
      <c r="U18" s="518"/>
      <c r="W18" s="512"/>
      <c r="X18" s="530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30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30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30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6">
        <f>IF((ROUNDDOWN((SUM(M22:M23)/51)-(R22+R23),0.9))&lt;0,0,(ROUNDDOWN((SUM(M22:M23)/51)-(R22+R23),0.9)))</f>
        <v>0</v>
      </c>
      <c r="T22" s="517">
        <f>IF((ROUNDDOWN((SUM(O22:O23)/51)-(R22+R23),0.9))&lt;0,0,(ROUNDDOWN((SUM(O22:O23)/51)-(R22+R23),0.9)))</f>
        <v>0</v>
      </c>
      <c r="U22" s="517">
        <f t="shared" ref="U22" si="7">IF((ROUNDDOWN((SUM(L22:O23)/51)-(R22+R23+S22+T22),0.9))&lt;0,0,ROUNDDOWN((SUM(L22:O23)/51)-(R22+R23+S22+T22),0.9))</f>
        <v>0</v>
      </c>
      <c r="W22" s="512"/>
      <c r="X22" s="530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6"/>
      <c r="T23" s="518"/>
      <c r="U23" s="518"/>
      <c r="W23" s="512"/>
      <c r="X23" s="530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30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30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6">
        <f>IF((ROUNDDOWN((SUM(M26:M27)/51)-(R26+R27),0.9))&lt;0,0,(ROUNDDOWN((SUM(M26:M27)/51)-(R26+R27),0.9)))</f>
        <v>0</v>
      </c>
      <c r="T26" s="516">
        <f>IF((ROUNDDOWN((SUM(O26:O27)/51)-(R26+R27),0.9))&lt;0,0,(ROUNDDOWN((SUM(O26:O27)/51)-(R26+R27),0.9)))</f>
        <v>0</v>
      </c>
      <c r="U26" s="516">
        <f t="shared" ref="U26" si="10">IF((ROUNDDOWN((SUM(L26:O27)/51)-(R26+R27+S26+T26),0.9))&lt;0,0,ROUNDDOWN((SUM(L26:O27)/51)-(R26+R27+S26+T26),0.9))</f>
        <v>0</v>
      </c>
      <c r="W26" s="512"/>
      <c r="X26" s="530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9"/>
      <c r="T27" s="519"/>
      <c r="U27" s="519"/>
      <c r="W27" s="512"/>
      <c r="X27" s="530"/>
    </row>
    <row r="28" spans="4:24" ht="14.25" hidden="1" customHeight="1" x14ac:dyDescent="0.2"/>
    <row r="29" spans="4:24" ht="21" thickBot="1" x14ac:dyDescent="0.35">
      <c r="D29" s="523"/>
      <c r="E29" s="523"/>
      <c r="F29" s="523"/>
      <c r="G29" s="523"/>
      <c r="H29" s="523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96" t="s">
        <v>99</v>
      </c>
      <c r="X30" s="39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96"/>
      <c r="L31" s="201" t="s">
        <v>7</v>
      </c>
      <c r="M31" s="201" t="s">
        <v>7</v>
      </c>
      <c r="N31" s="201" t="s">
        <v>7</v>
      </c>
      <c r="O31" s="201" t="s">
        <v>7</v>
      </c>
      <c r="Q31" s="396"/>
      <c r="R31" s="528"/>
      <c r="S31" s="528"/>
      <c r="T31" s="528"/>
      <c r="U31" s="529"/>
      <c r="W31" s="396"/>
      <c r="X31" s="39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73</v>
      </c>
      <c r="G32" s="194">
        <f>'التمام الصباحي'!Q8+'التمام الصباحي'!S8</f>
        <v>29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68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20" t="s">
        <v>101</v>
      </c>
      <c r="X32" s="513">
        <f>SUM(R32:U39)/3</f>
        <v>3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64</v>
      </c>
      <c r="G33" s="194">
        <f>'التمام الصباحي'!Q9+'التمام الصباحي'!S9</f>
        <v>28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51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1"/>
      <c r="X33" s="51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46</v>
      </c>
      <c r="F34" s="194">
        <f>'التمام الصباحي'!K10+'التمام الصباحي'!M10</f>
        <v>39</v>
      </c>
      <c r="G34" s="194">
        <f>'التمام الصباحي'!Q10+'التمام الصباحي'!S10</f>
        <v>17</v>
      </c>
      <c r="H34" s="354"/>
      <c r="K34" s="233" t="s">
        <v>158</v>
      </c>
      <c r="L34" s="235">
        <f>IF(E34&gt;101,102,IF(E34&gt;84,85,IF(E34&gt;67,68,IF(E34&gt;50,51,IF(E34&gt;33,34,IF(E34&gt;16,17,0))))))</f>
        <v>34</v>
      </c>
      <c r="M34" s="235">
        <f t="shared" si="12"/>
        <v>34</v>
      </c>
      <c r="N34" s="235">
        <f t="shared" si="13"/>
        <v>17</v>
      </c>
      <c r="O34" s="234"/>
      <c r="P34" s="236"/>
      <c r="Q34" s="242" t="s">
        <v>16</v>
      </c>
      <c r="R34" s="243">
        <f t="shared" si="11"/>
        <v>1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1</v>
      </c>
      <c r="W34" s="521"/>
      <c r="X34" s="51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9</v>
      </c>
      <c r="F35" s="194">
        <f>'التمام الصباحي'!K11+'التمام الصباحي'!M11</f>
        <v>42</v>
      </c>
      <c r="G35" s="194">
        <f>'التمام الصباحي'!Q11+'التمام الصباحي'!S11</f>
        <v>18</v>
      </c>
      <c r="H35" s="194">
        <f>'التمام الصباحي'!W11+'التمام الصباحي'!Y11</f>
        <v>18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511"/>
      <c r="T35" s="511"/>
      <c r="U35" s="511"/>
      <c r="W35" s="521"/>
      <c r="X35" s="51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52</v>
      </c>
      <c r="G36" s="194">
        <f>'التمام الصباحي'!Q12+'التمام الصباحي'!S12</f>
        <v>23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6">
        <f>IF((ROUNDDOWN((SUM(M36:M37)/51)-(R36+R37),0.9))&lt;0,0,(ROUNDDOWN((SUM(M36:M37)/51)-(R36+R37),0.9)))</f>
        <v>0</v>
      </c>
      <c r="T36" s="516">
        <f t="shared" ref="T36" si="15">IF((ROUNDDOWN((SUM(O36:O37)/51)-(R36+R37),0.9))&lt;0,0,(ROUNDDOWN((SUM(O36:O37)/51)-(R36+R37),0.9)))</f>
        <v>0</v>
      </c>
      <c r="U36" s="516">
        <f t="shared" ref="U36" si="16">IF((ROUNDDOWN((SUM(L36:O37)/51)-(R36+R37+S36+T36),0.9))&lt;0,0,ROUNDDOWN((SUM(L36:O37)/51)-(R36+R37+S36+T36),0.9))</f>
        <v>0</v>
      </c>
      <c r="W36" s="521"/>
      <c r="X36" s="514"/>
    </row>
    <row r="37" spans="3:24" ht="16.5" thickBot="1" x14ac:dyDescent="0.3">
      <c r="D37" s="233" t="s">
        <v>18</v>
      </c>
      <c r="E37" s="194">
        <f>'التمام الصباحي'!E13+'التمام الصباحي'!G13</f>
        <v>13</v>
      </c>
      <c r="F37" s="194">
        <f>'التمام الصباحي'!K13+'التمام الصباحي'!M13</f>
        <v>57</v>
      </c>
      <c r="G37" s="295"/>
      <c r="H37" s="194">
        <f>'التمام الصباحي'!W13+'التمام الصباحي'!Y13</f>
        <v>29</v>
      </c>
      <c r="K37" s="233" t="s">
        <v>18</v>
      </c>
      <c r="L37" s="235">
        <f t="shared" si="14"/>
        <v>0</v>
      </c>
      <c r="M37" s="235">
        <f t="shared" si="12"/>
        <v>51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6"/>
      <c r="T37" s="516"/>
      <c r="U37" s="516"/>
      <c r="W37" s="521"/>
      <c r="X37" s="51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15</v>
      </c>
      <c r="F38" s="194">
        <f>'التمام الصباحي'!K14+'التمام الصباحي'!M14</f>
        <v>42</v>
      </c>
      <c r="G38" s="295"/>
      <c r="H38" s="194">
        <f>'التمام الصباحي'!W14+'التمام الصباحي'!Y14</f>
        <v>33</v>
      </c>
      <c r="K38" s="233" t="s">
        <v>19</v>
      </c>
      <c r="L38" s="235">
        <f t="shared" si="14"/>
        <v>0</v>
      </c>
      <c r="M38" s="235">
        <f t="shared" si="12"/>
        <v>34</v>
      </c>
      <c r="N38" s="234"/>
      <c r="O38" s="235">
        <f t="shared" si="17"/>
        <v>17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0</v>
      </c>
      <c r="W38" s="521"/>
      <c r="X38" s="51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62</v>
      </c>
      <c r="G39" s="194">
        <f>'التمام الصباحي'!Q15+'التمام الصباحي'!S15</f>
        <v>18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1"/>
      <c r="T39" s="511"/>
      <c r="U39" s="511"/>
      <c r="W39" s="522"/>
      <c r="X39" s="51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75</v>
      </c>
      <c r="G40" s="194">
        <f>'التمام الصباحي'!Q16+'التمام الصباحي'!S16</f>
        <v>24</v>
      </c>
      <c r="H40" s="194">
        <f>'التمام الصباحي'!W16+'التمام الصباحي'!Y16</f>
        <v>39</v>
      </c>
      <c r="K40" s="233" t="s">
        <v>21</v>
      </c>
      <c r="L40" s="234"/>
      <c r="M40" s="235">
        <f t="shared" si="12"/>
        <v>68</v>
      </c>
      <c r="N40" s="235">
        <f t="shared" si="13"/>
        <v>17</v>
      </c>
      <c r="O40" s="235">
        <f t="shared" si="13"/>
        <v>34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2" t="s">
        <v>85</v>
      </c>
      <c r="X40" s="513">
        <f>SUM(R40:U43)/3</f>
        <v>2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19</v>
      </c>
      <c r="G41" s="194">
        <f>'التمام الصباحي'!Q17+'التمام الصباحي'!S17</f>
        <v>14</v>
      </c>
      <c r="H41" s="194">
        <f>'التمام الصباحي'!W17+'التمام الصباحي'!Y17</f>
        <v>91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85</v>
      </c>
      <c r="P41" s="236"/>
      <c r="Q41" s="246" t="s">
        <v>23</v>
      </c>
      <c r="R41" s="247">
        <f t="shared" si="11"/>
        <v>2</v>
      </c>
      <c r="S41" s="517">
        <f>IF((ROUNDDOWN((SUM(M41:M42)/51)-(R41+R42),0.9))&lt;0,0,(ROUNDDOWN((SUM(M41:M42)/51)-(R41+R42),0.9)))</f>
        <v>0</v>
      </c>
      <c r="T41" s="517">
        <f>IF((ROUNDDOWN((SUM(O41:O42)/51)-(R41+R42),0.9))&lt;0,0,(ROUNDDOWN((SUM(O41:O42)/51)-(R41+R42),0.9)))</f>
        <v>0</v>
      </c>
      <c r="U41" s="517">
        <f>IF((ROUNDDOWN((SUM(L41:O42)/51)-(R41+R42+S41+T41),0.9))&lt;0,0,ROUNDDOWN((SUM(L41:O42)/51)-(R41+R42+S41+T41),0.9))</f>
        <v>0</v>
      </c>
      <c r="W41" s="512"/>
      <c r="X41" s="51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46</v>
      </c>
      <c r="G42" s="194">
        <f>'التمام الصباحي'!Q18+'التمام الصباحي'!S18</f>
        <v>28</v>
      </c>
      <c r="H42" s="194">
        <f>'التمام الصباحي'!W18+'التمام الصباحي'!Y18</f>
        <v>20</v>
      </c>
      <c r="K42" s="233" t="s">
        <v>23</v>
      </c>
      <c r="L42" s="234"/>
      <c r="M42" s="235">
        <f t="shared" si="12"/>
        <v>34</v>
      </c>
      <c r="N42" s="235">
        <f t="shared" si="13"/>
        <v>17</v>
      </c>
      <c r="O42" s="235">
        <f t="shared" si="13"/>
        <v>17</v>
      </c>
      <c r="P42" s="236"/>
      <c r="Q42" s="248" t="s">
        <v>24</v>
      </c>
      <c r="R42" s="249">
        <f t="shared" si="11"/>
        <v>1</v>
      </c>
      <c r="S42" s="518"/>
      <c r="T42" s="518"/>
      <c r="U42" s="518"/>
      <c r="W42" s="512"/>
      <c r="X42" s="51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40</v>
      </c>
      <c r="G43" s="194">
        <f>'التمام الصباحي'!Q19+'التمام الصباحي'!S19</f>
        <v>17</v>
      </c>
      <c r="H43" s="354"/>
      <c r="K43" s="233" t="s">
        <v>24</v>
      </c>
      <c r="L43" s="234"/>
      <c r="M43" s="235">
        <f t="shared" si="12"/>
        <v>34</v>
      </c>
      <c r="N43" s="235">
        <f t="shared" si="13"/>
        <v>17</v>
      </c>
      <c r="O43" s="234"/>
      <c r="P43" s="236"/>
      <c r="Q43" s="250" t="s">
        <v>26</v>
      </c>
      <c r="R43" s="251">
        <f t="shared" si="11"/>
        <v>1</v>
      </c>
      <c r="S43" s="252"/>
      <c r="T43" s="253"/>
      <c r="U43" s="255"/>
      <c r="W43" s="512"/>
      <c r="X43" s="51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19</v>
      </c>
      <c r="G44" s="194">
        <f>'التمام الصباحي'!Q20+'التمام الصباحي'!S20</f>
        <v>19</v>
      </c>
      <c r="H44" s="194">
        <f>'التمام الصباحي'!W20+'التمام الصباحي'!Y20</f>
        <v>19</v>
      </c>
      <c r="K44" s="233" t="s">
        <v>26</v>
      </c>
      <c r="L44" s="234"/>
      <c r="M44" s="235">
        <f t="shared" si="12"/>
        <v>17</v>
      </c>
      <c r="N44" s="235">
        <f t="shared" si="13"/>
        <v>17</v>
      </c>
      <c r="O44" s="235">
        <f t="shared" si="13"/>
        <v>17</v>
      </c>
      <c r="P44" s="236"/>
      <c r="Q44" s="242" t="s">
        <v>25</v>
      </c>
      <c r="R44" s="243">
        <f t="shared" si="11"/>
        <v>1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0</v>
      </c>
      <c r="W44" s="512" t="s">
        <v>102</v>
      </c>
      <c r="X44" s="513">
        <f>SUM(R44:U47)/3</f>
        <v>1.3333333333333333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63</v>
      </c>
      <c r="G45" s="194">
        <f>'التمام الصباحي'!Q21+'التمام الصباحي'!S21</f>
        <v>31</v>
      </c>
      <c r="H45" s="194">
        <f>'التمام الصباحي'!W21+'التمام الصباحي'!Y21</f>
        <v>48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34</v>
      </c>
      <c r="P45" s="236"/>
      <c r="Q45" s="244" t="s">
        <v>27</v>
      </c>
      <c r="R45" s="245">
        <f t="shared" si="11"/>
        <v>2</v>
      </c>
      <c r="S45" s="511"/>
      <c r="T45" s="511"/>
      <c r="U45" s="511"/>
      <c r="W45" s="512"/>
      <c r="X45" s="51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31</v>
      </c>
      <c r="G46" s="194">
        <f>'التمام الصباحي'!Q22+'التمام الصباحي'!S22</f>
        <v>3</v>
      </c>
      <c r="H46" s="354"/>
      <c r="K46" s="233" t="s">
        <v>27</v>
      </c>
      <c r="L46" s="234"/>
      <c r="M46" s="235">
        <f t="shared" si="12"/>
        <v>17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16">
        <f>IF((ROUNDDOWN((SUM(M46:M47)/51)-(R46+R47),0.9))&lt;0,0,(ROUNDDOWN((SUM(M46:M47)/51)-(R46+R47),0.9)))</f>
        <v>0</v>
      </c>
      <c r="T46" s="517">
        <f>IF((ROUNDDOWN((SUM(O46:O47)/51)-(R46+R47),0.9))&lt;0,0,(ROUNDDOWN((SUM(O46:O47)/51)-(R46+R47),0.9)))</f>
        <v>0</v>
      </c>
      <c r="U46" s="517">
        <f t="shared" ref="U46" si="20">IF((ROUNDDOWN((SUM(L46:O47)/51)-(R46+R47+S46+T46),0.9))&lt;0,0,ROUNDDOWN((SUM(L46:O47)/51)-(R46+R47+S46+T46),0.9))</f>
        <v>0</v>
      </c>
      <c r="W46" s="512"/>
      <c r="X46" s="514"/>
    </row>
    <row r="47" spans="3:24" ht="16.5" thickBot="1" x14ac:dyDescent="0.3">
      <c r="D47" s="233" t="s">
        <v>28</v>
      </c>
      <c r="E47" s="194">
        <f>'التمام الصباحي'!E23+'التمام الصباحي'!G23</f>
        <v>12.6</v>
      </c>
      <c r="F47" s="194">
        <f>'التمام الصباحي'!K23+'التمام الصباحي'!M23</f>
        <v>23</v>
      </c>
      <c r="G47" s="295"/>
      <c r="H47" s="194">
        <f>'التمام الصباحي'!W23+'التمام الصباحي'!Y23</f>
        <v>50</v>
      </c>
      <c r="K47" s="233" t="s">
        <v>28</v>
      </c>
      <c r="L47" s="235">
        <f t="shared" si="14"/>
        <v>0</v>
      </c>
      <c r="M47" s="235">
        <f t="shared" si="12"/>
        <v>17</v>
      </c>
      <c r="N47" s="234"/>
      <c r="O47" s="235">
        <f t="shared" ref="O47:O53" si="21">IF(H47&gt;101,102,IF(H47&gt;84,85,IF(H47&gt;67,68,IF(H47&gt;50,51,IF(H47&gt;33,34,IF(H47&gt;16,17,0))))))</f>
        <v>34</v>
      </c>
      <c r="P47" s="236"/>
      <c r="Q47" s="248" t="s">
        <v>29</v>
      </c>
      <c r="R47" s="249">
        <f t="shared" si="11"/>
        <v>1</v>
      </c>
      <c r="S47" s="516"/>
      <c r="T47" s="518"/>
      <c r="U47" s="518"/>
      <c r="W47" s="512"/>
      <c r="X47" s="51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28</v>
      </c>
      <c r="G48" s="295"/>
      <c r="H48" s="194">
        <f>'التمام الصباحي'!W24+'التمام الصباحي'!Y24</f>
        <v>28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1</v>
      </c>
      <c r="W48" s="512" t="s">
        <v>90</v>
      </c>
      <c r="X48" s="513">
        <f>SUM(R48:U51)/3</f>
        <v>2.3333333333333335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20</v>
      </c>
      <c r="G49" s="194">
        <f>'التمام الصباحي'!Q25+'التمام الصباحي'!S25</f>
        <v>16</v>
      </c>
      <c r="H49" s="194">
        <f>'التمام الصباحي'!W25+'التمام الصباحي'!Y25</f>
        <v>106</v>
      </c>
      <c r="K49" s="233" t="s">
        <v>30</v>
      </c>
      <c r="L49" s="234"/>
      <c r="M49" s="235">
        <f t="shared" si="12"/>
        <v>17</v>
      </c>
      <c r="N49" s="235">
        <f t="shared" si="13"/>
        <v>0</v>
      </c>
      <c r="O49" s="235">
        <f t="shared" si="21"/>
        <v>102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1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34</v>
      </c>
      <c r="G50" s="194">
        <f>'التمام الصباحي'!Q26+'التمام الصباحي'!S26</f>
        <v>8</v>
      </c>
      <c r="H50" s="194">
        <f>'التمام الصباحي'!W26+'التمام الصباحي'!Y26</f>
        <v>105</v>
      </c>
      <c r="K50" s="233" t="s">
        <v>31</v>
      </c>
      <c r="L50" s="234"/>
      <c r="M50" s="235">
        <f t="shared" si="12"/>
        <v>34</v>
      </c>
      <c r="N50" s="235">
        <f t="shared" si="13"/>
        <v>0</v>
      </c>
      <c r="O50" s="235">
        <f t="shared" si="21"/>
        <v>102</v>
      </c>
      <c r="P50" s="236"/>
      <c r="Q50" s="246" t="s">
        <v>32</v>
      </c>
      <c r="R50" s="247">
        <f t="shared" si="11"/>
        <v>2</v>
      </c>
      <c r="S50" s="516">
        <f>IF((ROUNDDOWN((SUM(M50:M51)/51)-(R50+R51),0.9))&lt;0,0,(ROUNDDOWN((SUM(M50:M51)/51)-(R50+R51),0.9)))</f>
        <v>0</v>
      </c>
      <c r="T50" s="516">
        <f>IF((ROUNDDOWN((SUM(O50:O51)/51)-(R50+R51),0.9))&lt;0,0,(ROUNDDOWN((SUM(O50:O51)/51)-(R50+R51),0.9)))</f>
        <v>0</v>
      </c>
      <c r="U50" s="516">
        <f t="shared" ref="U50" si="23">IF((ROUNDDOWN((SUM(L50:O51)/51)-(R50+R51+S50+T50),0.9))&lt;0,0,ROUNDDOWN((SUM(L50:O51)/51)-(R50+R51+S50+T50),0.9))</f>
        <v>1</v>
      </c>
      <c r="W50" s="512"/>
      <c r="X50" s="51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34</v>
      </c>
      <c r="G51" s="194">
        <f>'التمام الصباحي'!Q27+'التمام الصباحي'!S27</f>
        <v>13</v>
      </c>
      <c r="H51" s="194">
        <f>'التمام الصباحي'!W27+'التمام الصباحي'!Y27</f>
        <v>45</v>
      </c>
      <c r="K51" s="233" t="s">
        <v>32</v>
      </c>
      <c r="L51" s="234"/>
      <c r="M51" s="235">
        <f t="shared" si="12"/>
        <v>34</v>
      </c>
      <c r="N51" s="235">
        <f t="shared" si="13"/>
        <v>0</v>
      </c>
      <c r="O51" s="235">
        <f t="shared" si="21"/>
        <v>34</v>
      </c>
      <c r="P51" s="236"/>
      <c r="Q51" s="256" t="s">
        <v>33</v>
      </c>
      <c r="R51" s="257">
        <f t="shared" si="11"/>
        <v>1</v>
      </c>
      <c r="S51" s="519"/>
      <c r="T51" s="519"/>
      <c r="U51" s="519"/>
      <c r="W51" s="512"/>
      <c r="X51" s="51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16</v>
      </c>
      <c r="G52" s="194">
        <f>'التمام الصباحي'!Q28+'التمام الصباحي'!S28</f>
        <v>11</v>
      </c>
      <c r="H52" s="194">
        <f>'التمام الصباحي'!W28+'التمام الصباحي'!Y28</f>
        <v>50</v>
      </c>
      <c r="K52" s="233" t="s">
        <v>33</v>
      </c>
      <c r="L52" s="234"/>
      <c r="M52" s="235">
        <f t="shared" si="12"/>
        <v>0</v>
      </c>
      <c r="N52" s="235">
        <f t="shared" si="13"/>
        <v>0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11</v>
      </c>
      <c r="F53" s="194">
        <f>'التمام الصباحي'!K29+'التمام الصباحي'!M29</f>
        <v>14</v>
      </c>
      <c r="G53" s="194">
        <f>'التمام الصباحي'!Q29+'التمام الصباحي'!S29</f>
        <v>15</v>
      </c>
      <c r="H53" s="194">
        <f>'التمام الصباحي'!W29+'التمام الصباحي'!Y29</f>
        <v>33</v>
      </c>
      <c r="K53" s="233" t="s">
        <v>112</v>
      </c>
      <c r="L53" s="235">
        <f t="shared" si="14"/>
        <v>0</v>
      </c>
      <c r="M53" s="235">
        <f t="shared" si="12"/>
        <v>0</v>
      </c>
      <c r="N53" s="235">
        <f t="shared" si="13"/>
        <v>0</v>
      </c>
      <c r="O53" s="235">
        <f t="shared" si="21"/>
        <v>17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38</v>
      </c>
      <c r="G54" s="194">
        <f>'التمام الصباحي'!Q30+'التمام الصباحي'!S30</f>
        <v>13</v>
      </c>
      <c r="H54" s="354"/>
      <c r="K54" s="233" t="s">
        <v>121</v>
      </c>
      <c r="L54" s="234"/>
      <c r="M54" s="235">
        <f t="shared" si="12"/>
        <v>34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54</v>
      </c>
      <c r="G55" s="194">
        <f>'التمام الصباحي'!Q31+'التمام الصباحي'!S31</f>
        <v>20</v>
      </c>
      <c r="H55" s="354"/>
      <c r="K55" s="353" t="s">
        <v>168</v>
      </c>
      <c r="L55" s="234"/>
      <c r="M55" s="235">
        <f t="shared" si="12"/>
        <v>51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62</v>
      </c>
      <c r="G56" s="194">
        <f>'التمام الصباحي'!Q32+'التمام الصباحي'!S32</f>
        <v>22</v>
      </c>
      <c r="H56" s="354"/>
      <c r="K56" s="353" t="s">
        <v>169</v>
      </c>
      <c r="L56" s="234"/>
      <c r="M56" s="235">
        <f t="shared" si="12"/>
        <v>51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58</v>
      </c>
      <c r="G57" s="194">
        <f>'التمام الصباحي'!Q33+'التمام الصباحي'!S33</f>
        <v>13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0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100</v>
      </c>
      <c r="G58" s="194">
        <f>'التمام الصباحي'!Q34+'التمام الصباحي'!S34</f>
        <v>41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34</v>
      </c>
      <c r="O58" s="234"/>
    </row>
  </sheetData>
  <customSheetViews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1"/>
    </customSheetView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</v>
      </c>
    </row>
    <row r="3" spans="1:2" x14ac:dyDescent="0.2">
      <c r="A3" t="s">
        <v>85</v>
      </c>
      <c r="B3" s="138">
        <f>'خطة الإمداد'!X40</f>
        <v>2</v>
      </c>
    </row>
    <row r="4" spans="1:2" x14ac:dyDescent="0.2">
      <c r="A4" t="s">
        <v>109</v>
      </c>
      <c r="B4" s="138">
        <f>'خطة الإمداد'!X44</f>
        <v>1.3333333333333333</v>
      </c>
    </row>
    <row r="5" spans="1:2" x14ac:dyDescent="0.2">
      <c r="A5" t="s">
        <v>90</v>
      </c>
      <c r="B5" s="138">
        <f>'خطة الإمداد'!X48</f>
        <v>2.3333333333333335</v>
      </c>
    </row>
  </sheetData>
  <customSheetViews>
    <customSheetView guid="{8317B6D8-8A99-4EB0-9DBC-8E9AE0170A4B}" state="hidden">
      <selection activeCell="B6" sqref="B6"/>
      <pageMargins left="0.7" right="0.7" top="0.75" bottom="0.75" header="0.3" footer="0.3"/>
    </customSheetView>
    <customSheetView guid="{18C0F7AC-4BB1-46DE-8A01-8E31FE0585FC}" state="hidden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2019-09-12T07:45:04Z</cp:lastPrinted>
  <dcterms:created xsi:type="dcterms:W3CDTF">2018-10-24T15:18:02Z</dcterms:created>
  <dcterms:modified xsi:type="dcterms:W3CDTF">2019-09-14T04:39:09Z</dcterms:modified>
</cp:coreProperties>
</file>