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Past Months\Septemper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9" i="1" l="1"/>
  <c r="Q8" i="4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K22" i="6"/>
  <c r="I22" i="6"/>
  <c r="J22" i="6"/>
  <c r="J13" i="6"/>
  <c r="K13" i="6"/>
  <c r="I13" i="6"/>
  <c r="K21" i="6"/>
  <c r="J21" i="6"/>
  <c r="F23" i="6"/>
  <c r="I21" i="6"/>
  <c r="I23" i="6" s="1"/>
  <c r="G16" i="6"/>
  <c r="F16" i="6"/>
  <c r="J15" i="6"/>
  <c r="K15" i="6"/>
  <c r="I15" i="6"/>
  <c r="G18" i="5"/>
  <c r="H14" i="6"/>
  <c r="H16" i="6" s="1"/>
  <c r="H24" i="6" s="1"/>
  <c r="E16" i="6"/>
  <c r="E24" i="6" s="1"/>
  <c r="K14" i="6"/>
  <c r="J14" i="6"/>
  <c r="K18" i="6"/>
  <c r="I18" i="6"/>
  <c r="J18" i="6"/>
  <c r="G20" i="6"/>
  <c r="G24" i="6" s="1"/>
  <c r="J19" i="6"/>
  <c r="K19" i="6"/>
  <c r="I19" i="6"/>
  <c r="K17" i="6"/>
  <c r="I17" i="6"/>
  <c r="F20" i="6"/>
  <c r="J17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R39" i="1"/>
  <c r="X39" i="1"/>
  <c r="K23" i="6"/>
  <c r="J23" i="6"/>
  <c r="D39" i="1"/>
  <c r="F24" i="6"/>
  <c r="J16" i="6"/>
  <c r="K16" i="6"/>
  <c r="I14" i="6"/>
  <c r="I16" i="6" s="1"/>
  <c r="J20" i="6"/>
  <c r="I20" i="6"/>
  <c r="K20" i="6"/>
  <c r="K24" i="6" s="1"/>
  <c r="V39" i="1"/>
  <c r="J39" i="1"/>
  <c r="P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J24" i="6"/>
  <c r="H39" i="1"/>
  <c r="I24" i="6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H40" i="8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C28" i="2"/>
  <c r="D28" i="2" s="1"/>
  <c r="Q33" i="2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<sst xmlns="http://schemas.openxmlformats.org/spreadsheetml/2006/main" count="1163" uniqueCount="244">
  <si>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</si>
  <si>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</si>
  <si>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</si>
  <si>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</si>
  <si>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</si>
  <si>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</si>
  <si>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</si>
  <si>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</si>
  <si>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</si>
  <si>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</si>
  <si>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</si>
  <si>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</si>
  <si>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</si>
  <si>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</si>
  <si>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</si>
  <si>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</si>
  <si>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</si>
  <si>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</si>
  <si>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</si>
  <si>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</si>
  <si>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</si>
  <si>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</si>
  <si>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</si>
  <si>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</si>
  <si>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</si>
  <si>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</si>
  <si>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</si>
  <si>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</si>
  <si>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</si>
  <si>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</si>
  <si>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</si>
  <si>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</si>
  <si>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</si>
  <si>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</si>
  <si>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</si>
  <si>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</si>
  <si>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</si>
  <si>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</si>
  <si>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</si>
  <si>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</si>
  <si>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</si>
  <si>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</si>
  <si>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</si>
  <si>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</si>
  <si>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</si>
  <si>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</si>
  <si>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</si>
  <si>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</si>
  <si>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</si>
  <si>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</si>
  <si>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</si>
  <si>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</si>
  <si>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</si>
  <si>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</si>
  <si>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</si>
  <si>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</si>
  <si>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</si>
  <si>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</si>
  <si>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</si>
  <si>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</si>
  <si>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</si>
  <si>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</si>
  <si>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</si>
  <si>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</si>
  <si>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</si>
  <si>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</si>
  <si>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</si>
  <si>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</si>
  <si>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</si>
  <si>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</si>
  <si>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</si>
  <si>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</si>
  <si>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</si>
  <si>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</si>
  <si>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</si>
  <si>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</si>
  <si>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</si>
  <si>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</si>
  <si>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</si>
  <si>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</si>
  <si>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</si>
  <si>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</si>
  <si>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</si>
  <si>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</si>
  <si>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</si>
  <si>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</si>
  <si>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</si>
  <si>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</si>
  <si>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</si>
  <si>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</si>
  <si>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</si>
  <si>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</si>
  <si>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</si>
  <si>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</si>
  <si>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</si>
  <si>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</si>
  <si>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</si>
  <si>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</si>
  <si>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</si>
  <si>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</si>
  <si>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</si>
  <si>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</si>
  <si>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</si>
  <si>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</si>
  <si>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</si>
  <si>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</si>
  <si>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</si>
  <si>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</si>
  <si>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</si>
  <si>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</si>
  <si>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</si>
  <si>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</si>
  <si>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</si>
  <si>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</si>
  <si>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</si>
  <si>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</si>
  <si>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</si>
  <si>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</si>
  <si>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</si>
  <si>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</si>
  <si>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</si>
  <si>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</si>
  <si>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</si>
  <si>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</si>
  <si>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</si>
  <si>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</si>
  <si>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</si>
  <si>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</si>
  <si>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</si>
  <si>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</si>
  <si>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</si>
  <si>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</si>
  <si>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</si>
  <si>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</si>
  <si>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</si>
  <si>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</si>
  <si>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</si>
  <si>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</si>
  <si>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</si>
  <si>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</si>
  <si>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</si>
  <si>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</si>
  <si>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</si>
  <si>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</si>
  <si>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</si>
  <si>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</si>
  <si>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</si>
  <si>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</si>
  <si>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</si>
  <si>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</si>
  <si>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</si>
  <si>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</si>
  <si>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</si>
  <si>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</si>
  <si>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</si>
  <si>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</si>
  <si>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</si>
  <si>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</si>
  <si>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</si>
  <si>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</si>
  <si>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</si>
  <si>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</si>
  <si>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</si>
  <si>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</si>
  <si>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</si>
  <si>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</si>
  <si>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</si>
  <si>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</si>
  <si>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</si>
  <si>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</si>
  <si>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</si>
  <si>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</si>
  <si>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</si>
  <si>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</si>
  <si>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</si>
  <si>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</si>
  <si>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</si>
  <si>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</si>
  <si>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</si>
  <si>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</si>
  <si>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</si>
  <si>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</si>
  <si>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</si>
  <si>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</si>
  <si>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</si>
  <si>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</si>
  <si>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</si>
  <si>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</si>
  <si>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</si>
  <si>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</si>
  <si>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</si>
  <si>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</si>
  <si>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</si>
  <si>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</si>
  <si>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</si>
  <si>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</si>
  <si>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</si>
  <si>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</si>
  <si>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</si>
  <si>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</si>
  <si>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</si>
  <si>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</si>
  <si>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</si>
  <si>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</si>
  <si>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</si>
  <si>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</si>
  <si>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</si>
  <si>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</si>
  <si>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</si>
  <si>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</si>
  <si>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</si>
  <si>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</si>
  <si>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</si>
  <si>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</si>
  <si>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</si>
  <si>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</si>
  <si>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</si>
  <si>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اسامه </t>
  </si>
  <si>
    <t>عميد سيد</t>
  </si>
  <si>
    <t xml:space="preserve">جندي / ابراهيم </t>
  </si>
  <si>
    <t>نقيب/ محمود</t>
  </si>
  <si>
    <t>عقيد / احمد</t>
  </si>
  <si>
    <t>عميد / خالد</t>
  </si>
  <si>
    <t xml:space="preserve">ضابط / عادل </t>
  </si>
  <si>
    <t xml:space="preserve">عقيد /احمد </t>
  </si>
  <si>
    <t>نقيب/ حفناوى</t>
  </si>
  <si>
    <t>نقيب/ علاء</t>
  </si>
  <si>
    <t>جندي/ عبدالله</t>
  </si>
  <si>
    <t>نقيب/ صلاح</t>
  </si>
  <si>
    <t xml:space="preserve">عميد / حامد </t>
  </si>
  <si>
    <t xml:space="preserve">ضابط / احمد </t>
  </si>
  <si>
    <t xml:space="preserve">عقيد/ احمد </t>
  </si>
  <si>
    <t xml:space="preserve">عقيد / حسام </t>
  </si>
  <si>
    <t xml:space="preserve">عميد / سمير </t>
  </si>
  <si>
    <t>محاسب / ماركو</t>
  </si>
  <si>
    <t xml:space="preserve">نقيب / اسماعيل </t>
  </si>
  <si>
    <t xml:space="preserve">جندي / حاتم </t>
  </si>
  <si>
    <t xml:space="preserve">عقيد / وائل </t>
  </si>
  <si>
    <t>رائد / ايهاب</t>
  </si>
  <si>
    <t>عقيد / محمد علي</t>
  </si>
  <si>
    <t xml:space="preserve">عقيد / فتحي خيري </t>
  </si>
  <si>
    <t xml:space="preserve">عميد / هشام </t>
  </si>
  <si>
    <t>التمام الصباحي الثلاثاء الموافق  17 / 9 / 2019</t>
  </si>
  <si>
    <t xml:space="preserve">معدل البيع اليومى لمحطات وقود شل اوت التي يديرها الوكلاء (المتحدة  - ماستر اكسبريس - اينوتك) 2019/9/16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</si>
</sst>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916</v>
          </cell>
        </row>
        <row r="3">
          <cell r="D3">
            <v>1433</v>
          </cell>
        </row>
        <row r="4">
          <cell r="D4">
            <v>673</v>
          </cell>
        </row>
        <row r="5">
          <cell r="D5">
            <v>1225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7AA1D1-60D3-43AD-B153-BBDB77D197C9}" diskRevisions="1" revisionId="287" version="8">
  <header guid="{957AA1D1-60D3-43AD-B153-BBDB77D197C9}" dateTime="2019-10-28T12:28:51" maxSheetId="25" userName="pp" r:id="rId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6" ht="15.75" x14ac:dyDescent="0.25">
      <c r="A2" s="388" t="s">
        <v>1</v>
      </c>
      <c r="B2" s="388"/>
      <c r="C2" s="388"/>
      <c r="D2" s="388"/>
      <c r="E2" s="388"/>
    </row>
    <row r="3" spans="1:26" ht="15.75" x14ac:dyDescent="0.25">
      <c r="A3" s="388" t="s">
        <v>2</v>
      </c>
      <c r="B3" s="388"/>
      <c r="C3" s="388"/>
      <c r="D3" s="388"/>
      <c r="E3" s="388"/>
    </row>
    <row r="5" spans="1:26" ht="18.75" thickBot="1" x14ac:dyDescent="0.3">
      <c r="G5" s="199"/>
      <c r="I5" s="387" t="s">
        <v>242</v>
      </c>
      <c r="J5" s="387"/>
      <c r="K5" s="387"/>
      <c r="L5" s="387"/>
      <c r="M5" s="387"/>
      <c r="N5" s="387"/>
      <c r="V5" s="200" t="s">
        <v>41</v>
      </c>
    </row>
    <row r="6" spans="1:26" ht="20.100000000000001" customHeight="1" thickBot="1" x14ac:dyDescent="0.25">
      <c r="A6" s="386" t="s">
        <v>14</v>
      </c>
      <c r="B6" s="386" t="s">
        <v>3</v>
      </c>
      <c r="C6" s="386" t="s">
        <v>4</v>
      </c>
      <c r="D6" s="386" t="s">
        <v>5</v>
      </c>
      <c r="E6" s="386"/>
      <c r="F6" s="386"/>
      <c r="G6" s="386"/>
      <c r="H6" s="386"/>
      <c r="I6" s="386" t="s">
        <v>4</v>
      </c>
      <c r="J6" s="386" t="s">
        <v>11</v>
      </c>
      <c r="K6" s="386"/>
      <c r="L6" s="386"/>
      <c r="M6" s="386"/>
      <c r="N6" s="386"/>
      <c r="O6" s="386" t="s">
        <v>4</v>
      </c>
      <c r="P6" s="386" t="s">
        <v>12</v>
      </c>
      <c r="Q6" s="386"/>
      <c r="R6" s="386"/>
      <c r="S6" s="386"/>
      <c r="T6" s="386"/>
      <c r="U6" s="386" t="s">
        <v>4</v>
      </c>
      <c r="V6" s="386" t="s">
        <v>13</v>
      </c>
      <c r="W6" s="386"/>
      <c r="X6" s="386"/>
      <c r="Y6" s="386"/>
      <c r="Z6" s="386"/>
    </row>
    <row r="7" spans="1:26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82</v>
      </c>
      <c r="K8" s="221">
        <f>I8-J8</f>
        <v>8</v>
      </c>
      <c r="L8" s="335">
        <f>'أخذ التمام الصباحي'!G5</f>
        <v>0</v>
      </c>
      <c r="M8" s="335">
        <v>25</v>
      </c>
      <c r="N8" s="203">
        <f>J8/M8</f>
        <v>3.28</v>
      </c>
      <c r="O8" s="336">
        <v>30</v>
      </c>
      <c r="P8" s="335">
        <f>'أخذ التمام الصباحي'!I5</f>
        <v>24</v>
      </c>
      <c r="Q8" s="221">
        <f>O8-P8</f>
        <v>6</v>
      </c>
      <c r="R8" s="335">
        <f>'أخذ التمام الصباحي'!J5</f>
        <v>0</v>
      </c>
      <c r="S8" s="335">
        <v>8</v>
      </c>
      <c r="T8" s="203">
        <f>P8/S8</f>
        <v>3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76</v>
      </c>
      <c r="K9" s="221">
        <f>I9-J9</f>
        <v>14</v>
      </c>
      <c r="L9" s="355">
        <f>'أخذ التمام الصباحي'!G6</f>
        <v>34</v>
      </c>
      <c r="M9" s="335">
        <v>29</v>
      </c>
      <c r="N9" s="203">
        <f>J9/M9</f>
        <v>2.6206896551724137</v>
      </c>
      <c r="O9" s="336">
        <v>30</v>
      </c>
      <c r="P9" s="338">
        <f>'أخذ التمام الصباحي'!I6</f>
        <v>15</v>
      </c>
      <c r="Q9" s="221">
        <f>O9-P9</f>
        <v>15</v>
      </c>
      <c r="R9" s="338">
        <f>'أخذ التمام الصباحي'!J6</f>
        <v>17</v>
      </c>
      <c r="S9" s="335">
        <v>9</v>
      </c>
      <c r="T9" s="203">
        <f>P9/S9</f>
        <v>1.6666666666666667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49</v>
      </c>
      <c r="E10" s="221">
        <f t="shared" ref="E10:E23" si="0">C10-D10</f>
        <v>41</v>
      </c>
      <c r="F10" s="335">
        <f>'أخذ التمام الصباحي'!D7</f>
        <v>34</v>
      </c>
      <c r="G10" s="335">
        <v>36</v>
      </c>
      <c r="H10" s="204">
        <f t="shared" ref="H10:H23" si="1">D10/G10</f>
        <v>1.3611111111111112</v>
      </c>
      <c r="I10" s="336">
        <v>45</v>
      </c>
      <c r="J10" s="338">
        <f>'أخذ التمام الصباحي'!F7</f>
        <v>25</v>
      </c>
      <c r="K10" s="221">
        <f t="shared" ref="K10:K34" si="2">I10-J10</f>
        <v>20</v>
      </c>
      <c r="L10" s="355">
        <f>'أخذ التمام الصباحي'!G7</f>
        <v>17</v>
      </c>
      <c r="M10" s="335">
        <v>24</v>
      </c>
      <c r="N10" s="203">
        <f t="shared" ref="N10:N34" si="3">J10/M10</f>
        <v>1.0416666666666667</v>
      </c>
      <c r="O10" s="336">
        <v>45</v>
      </c>
      <c r="P10" s="338">
        <f>'أخذ التمام الصباحي'!I7</f>
        <v>31</v>
      </c>
      <c r="Q10" s="221">
        <f t="shared" ref="Q10:Q34" si="4">O10-P10</f>
        <v>14</v>
      </c>
      <c r="R10" s="338">
        <f>'أخذ التمام الصباحي'!J7</f>
        <v>0</v>
      </c>
      <c r="S10" s="335">
        <v>4</v>
      </c>
      <c r="T10" s="203">
        <f t="shared" ref="T10:T34" si="5">P10/S10</f>
        <v>7.75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28</v>
      </c>
      <c r="E11" s="221">
        <f t="shared" si="0"/>
        <v>2</v>
      </c>
      <c r="F11" s="338">
        <f>'أخذ التمام الصباحي'!D8</f>
        <v>0</v>
      </c>
      <c r="G11" s="335">
        <v>5</v>
      </c>
      <c r="H11" s="204">
        <f t="shared" si="1"/>
        <v>5.6</v>
      </c>
      <c r="I11" s="336">
        <v>60</v>
      </c>
      <c r="J11" s="338">
        <f>'أخذ التمام الصباحي'!F8</f>
        <v>50</v>
      </c>
      <c r="K11" s="221">
        <f t="shared" si="2"/>
        <v>10</v>
      </c>
      <c r="L11" s="355">
        <f>'أخذ التمام الصباحي'!G8</f>
        <v>17</v>
      </c>
      <c r="M11" s="335">
        <v>25</v>
      </c>
      <c r="N11" s="203">
        <f t="shared" si="3"/>
        <v>2</v>
      </c>
      <c r="O11" s="336">
        <v>30</v>
      </c>
      <c r="P11" s="338">
        <f>'أخذ التمام الصباحي'!I8</f>
        <v>16</v>
      </c>
      <c r="Q11" s="221">
        <f t="shared" si="4"/>
        <v>14</v>
      </c>
      <c r="R11" s="338">
        <f>'أخذ التمام الصباحي'!J8</f>
        <v>0</v>
      </c>
      <c r="S11" s="335">
        <v>8</v>
      </c>
      <c r="T11" s="203">
        <f t="shared" si="5"/>
        <v>2</v>
      </c>
      <c r="U11" s="336">
        <v>180</v>
      </c>
      <c r="V11" s="335">
        <f>'أخذ التمام الصباحي'!L8</f>
        <v>150</v>
      </c>
      <c r="W11" s="221">
        <f t="shared" ref="W11:W29" si="6">U11-V11</f>
        <v>30</v>
      </c>
      <c r="X11" s="335">
        <f>'أخذ التمام الصباحي'!M8</f>
        <v>34</v>
      </c>
      <c r="Y11" s="335">
        <v>6</v>
      </c>
      <c r="Z11" s="203">
        <f>V11/Y11</f>
        <v>25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80</v>
      </c>
      <c r="K12" s="221">
        <f t="shared" si="2"/>
        <v>10</v>
      </c>
      <c r="L12" s="355">
        <f>'أخذ التمام الصباحي'!G9</f>
        <v>68</v>
      </c>
      <c r="M12" s="335">
        <v>42</v>
      </c>
      <c r="N12" s="203">
        <f t="shared" si="3"/>
        <v>1.9047619047619047</v>
      </c>
      <c r="O12" s="336">
        <v>30</v>
      </c>
      <c r="P12" s="338">
        <f>'أخذ التمام الصباحي'!I9</f>
        <v>18</v>
      </c>
      <c r="Q12" s="221">
        <f t="shared" si="4"/>
        <v>12</v>
      </c>
      <c r="R12" s="338">
        <f>'أخذ التمام الصباحي'!J9</f>
        <v>17</v>
      </c>
      <c r="S12" s="335">
        <v>12</v>
      </c>
      <c r="T12" s="203">
        <f t="shared" si="5"/>
        <v>1.5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15</v>
      </c>
      <c r="E13" s="221">
        <f t="shared" si="0"/>
        <v>15</v>
      </c>
      <c r="F13" s="338">
        <f>'أخذ التمام الصباحي'!D10</f>
        <v>0</v>
      </c>
      <c r="G13" s="335">
        <v>4</v>
      </c>
      <c r="H13" s="204">
        <f t="shared" si="1"/>
        <v>3.75</v>
      </c>
      <c r="I13" s="336">
        <v>90</v>
      </c>
      <c r="J13" s="338">
        <f>'أخذ التمام الصباحي'!F10</f>
        <v>67</v>
      </c>
      <c r="K13" s="221">
        <f t="shared" si="2"/>
        <v>23</v>
      </c>
      <c r="L13" s="355">
        <f>'أخذ التمام الصباحي'!G10</f>
        <v>17</v>
      </c>
      <c r="M13" s="335">
        <v>27</v>
      </c>
      <c r="N13" s="203">
        <f t="shared" si="3"/>
        <v>2.4814814814814814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170</v>
      </c>
      <c r="W13" s="221">
        <f t="shared" si="6"/>
        <v>10</v>
      </c>
      <c r="X13" s="335">
        <f>'أخذ التمام الصباحي'!M10</f>
        <v>0</v>
      </c>
      <c r="Y13" s="335">
        <v>8</v>
      </c>
      <c r="Z13" s="203">
        <f t="shared" ref="Z13:Z29" si="7">V13/Y13</f>
        <v>21.25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20</v>
      </c>
      <c r="E14" s="221">
        <f t="shared" si="0"/>
        <v>10</v>
      </c>
      <c r="F14" s="338">
        <f>'أخذ التمام الصباحي'!D11</f>
        <v>0</v>
      </c>
      <c r="G14" s="335">
        <v>7</v>
      </c>
      <c r="H14" s="204">
        <f t="shared" si="1"/>
        <v>2.8571428571428572</v>
      </c>
      <c r="I14" s="336">
        <v>90</v>
      </c>
      <c r="J14" s="338">
        <f>'أخذ التمام الصباحي'!F11</f>
        <v>74</v>
      </c>
      <c r="K14" s="221">
        <f t="shared" si="2"/>
        <v>16</v>
      </c>
      <c r="L14" s="355">
        <f>'أخذ التمام الصباحي'!G11</f>
        <v>0</v>
      </c>
      <c r="M14" s="335">
        <v>22</v>
      </c>
      <c r="N14" s="203">
        <f t="shared" si="3"/>
        <v>3.3636363636363638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162</v>
      </c>
      <c r="W14" s="221">
        <f t="shared" si="6"/>
        <v>18</v>
      </c>
      <c r="X14" s="338">
        <f>'أخذ التمام الصباحي'!M11</f>
        <v>0</v>
      </c>
      <c r="Y14" s="335">
        <v>20</v>
      </c>
      <c r="Z14" s="203">
        <f t="shared" si="7"/>
        <v>8.1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170</v>
      </c>
      <c r="K15" s="221">
        <f t="shared" si="2"/>
        <v>10</v>
      </c>
      <c r="L15" s="355">
        <f>'أخذ التمام الصباحي'!G12</f>
        <v>0</v>
      </c>
      <c r="M15" s="335">
        <v>52</v>
      </c>
      <c r="N15" s="203">
        <f t="shared" si="3"/>
        <v>3.2692307692307692</v>
      </c>
      <c r="O15" s="336">
        <v>60</v>
      </c>
      <c r="P15" s="335">
        <f>'أخذ التمام الصباحي'!I12</f>
        <v>56</v>
      </c>
      <c r="Q15" s="221">
        <f t="shared" si="4"/>
        <v>4</v>
      </c>
      <c r="R15" s="335">
        <f>'أخذ التمام الصباحي'!J12</f>
        <v>0</v>
      </c>
      <c r="S15" s="335">
        <v>15</v>
      </c>
      <c r="T15" s="203">
        <f t="shared" si="5"/>
        <v>3.7333333333333334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172</v>
      </c>
      <c r="K16" s="221">
        <f t="shared" si="2"/>
        <v>8</v>
      </c>
      <c r="L16" s="355">
        <f>'أخذ التمام الصباحي'!G13</f>
        <v>34</v>
      </c>
      <c r="M16" s="335">
        <v>35</v>
      </c>
      <c r="N16" s="203">
        <f t="shared" si="3"/>
        <v>4.9142857142857146</v>
      </c>
      <c r="O16" s="336">
        <v>45</v>
      </c>
      <c r="P16" s="338">
        <f>'أخذ التمام الصباحي'!I13</f>
        <v>35</v>
      </c>
      <c r="Q16" s="221">
        <f t="shared" si="4"/>
        <v>10</v>
      </c>
      <c r="R16" s="338">
        <f>'أخذ التمام الصباحي'!J13</f>
        <v>17</v>
      </c>
      <c r="S16" s="335">
        <v>11</v>
      </c>
      <c r="T16" s="203">
        <f t="shared" si="5"/>
        <v>3.1818181818181817</v>
      </c>
      <c r="U16" s="336">
        <v>120</v>
      </c>
      <c r="V16" s="335">
        <f>'أخذ التمام الصباحي'!L13</f>
        <v>65</v>
      </c>
      <c r="W16" s="221">
        <f t="shared" si="6"/>
        <v>55</v>
      </c>
      <c r="X16" s="335">
        <f>'أخذ التمام الصباحي'!M13</f>
        <v>51</v>
      </c>
      <c r="Y16" s="335">
        <v>25</v>
      </c>
      <c r="Z16" s="203">
        <f t="shared" si="7"/>
        <v>2.6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73</v>
      </c>
      <c r="K17" s="221">
        <f t="shared" si="2"/>
        <v>17</v>
      </c>
      <c r="L17" s="355">
        <f>'أخذ التمام الصباحي'!G14</f>
        <v>0</v>
      </c>
      <c r="M17" s="335">
        <v>12</v>
      </c>
      <c r="N17" s="203">
        <f t="shared" si="3"/>
        <v>6.083333333333333</v>
      </c>
      <c r="O17" s="336">
        <v>30</v>
      </c>
      <c r="P17" s="338">
        <f>'أخذ التمام الصباحي'!I14</f>
        <v>17</v>
      </c>
      <c r="Q17" s="221">
        <f t="shared" si="4"/>
        <v>13</v>
      </c>
      <c r="R17" s="338">
        <f>'أخذ التمام الصباحي'!J14</f>
        <v>0</v>
      </c>
      <c r="S17" s="335">
        <v>6</v>
      </c>
      <c r="T17" s="203">
        <f>P17/S17</f>
        <v>2.8333333333333335</v>
      </c>
      <c r="U17" s="336">
        <v>180</v>
      </c>
      <c r="V17" s="338">
        <f>'أخذ التمام الصباحي'!L14</f>
        <v>135</v>
      </c>
      <c r="W17" s="221">
        <f t="shared" si="6"/>
        <v>45</v>
      </c>
      <c r="X17" s="338">
        <f>'أخذ التمام الصباحي'!M14</f>
        <v>51</v>
      </c>
      <c r="Y17" s="335">
        <v>31</v>
      </c>
      <c r="Z17" s="203">
        <f t="shared" si="7"/>
        <v>4.354838709677419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86</v>
      </c>
      <c r="K18" s="221">
        <f t="shared" si="2"/>
        <v>4</v>
      </c>
      <c r="L18" s="355">
        <f>'أخذ التمام الصباحي'!G15</f>
        <v>34</v>
      </c>
      <c r="M18" s="335">
        <v>12</v>
      </c>
      <c r="N18" s="203">
        <f t="shared" si="3"/>
        <v>7.166666666666667</v>
      </c>
      <c r="O18" s="336">
        <v>30</v>
      </c>
      <c r="P18" s="338">
        <f>'أخذ التمام الصباحي'!I15</f>
        <v>18</v>
      </c>
      <c r="Q18" s="221">
        <f t="shared" si="4"/>
        <v>12</v>
      </c>
      <c r="R18" s="338">
        <f>'أخذ التمام الصباحي'!J15</f>
        <v>0</v>
      </c>
      <c r="S18" s="335">
        <v>4</v>
      </c>
      <c r="T18" s="203">
        <f t="shared" si="5"/>
        <v>4.5</v>
      </c>
      <c r="U18" s="336">
        <v>60</v>
      </c>
      <c r="V18" s="338">
        <f>'أخذ التمام الصباحي'!L15</f>
        <v>50</v>
      </c>
      <c r="W18" s="194">
        <f t="shared" si="6"/>
        <v>10</v>
      </c>
      <c r="X18" s="338">
        <f>'أخذ التمام الصباحي'!M15</f>
        <v>0</v>
      </c>
      <c r="Y18" s="335">
        <v>5</v>
      </c>
      <c r="Z18" s="335">
        <f t="shared" si="7"/>
        <v>10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41</v>
      </c>
      <c r="K19" s="221">
        <f t="shared" si="2"/>
        <v>19</v>
      </c>
      <c r="L19" s="355">
        <f>'أخذ التمام الصباحي'!G16</f>
        <v>17</v>
      </c>
      <c r="M19" s="335">
        <v>5</v>
      </c>
      <c r="N19" s="203">
        <f t="shared" si="3"/>
        <v>8.1999999999999993</v>
      </c>
      <c r="O19" s="336">
        <v>30</v>
      </c>
      <c r="P19" s="338">
        <f>'أخذ التمام الصباحي'!I16</f>
        <v>25</v>
      </c>
      <c r="Q19" s="221">
        <f t="shared" si="4"/>
        <v>5</v>
      </c>
      <c r="R19" s="338">
        <f>'أخذ التمام الصباحي'!J16</f>
        <v>0</v>
      </c>
      <c r="S19" s="335">
        <v>2</v>
      </c>
      <c r="T19" s="203">
        <f t="shared" si="5"/>
        <v>12.5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74</v>
      </c>
      <c r="K20" s="221">
        <f t="shared" si="2"/>
        <v>16</v>
      </c>
      <c r="L20" s="355">
        <f>'أخذ التمام الصباحي'!G17</f>
        <v>0</v>
      </c>
      <c r="M20" s="335">
        <v>4</v>
      </c>
      <c r="N20" s="203">
        <f t="shared" si="3"/>
        <v>18.5</v>
      </c>
      <c r="O20" s="336">
        <v>30</v>
      </c>
      <c r="P20" s="338">
        <f>'أخذ التمام الصباحي'!I17</f>
        <v>24</v>
      </c>
      <c r="Q20" s="221">
        <f t="shared" si="4"/>
        <v>6</v>
      </c>
      <c r="R20" s="338">
        <f>'أخذ التمام الصباحي'!J17</f>
        <v>0</v>
      </c>
      <c r="S20" s="335">
        <v>2</v>
      </c>
      <c r="T20" s="203">
        <f t="shared" si="5"/>
        <v>12</v>
      </c>
      <c r="U20" s="336">
        <v>180</v>
      </c>
      <c r="V20" s="335">
        <f>'أخذ التمام الصباحي'!L17</f>
        <v>148</v>
      </c>
      <c r="W20" s="221">
        <f t="shared" si="6"/>
        <v>32</v>
      </c>
      <c r="X20" s="335">
        <f>'أخذ التمام الصباحي'!M17</f>
        <v>0</v>
      </c>
      <c r="Y20" s="335">
        <v>7</v>
      </c>
      <c r="Z20" s="203">
        <f t="shared" si="7"/>
        <v>21.142857142857142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64</v>
      </c>
      <c r="K21" s="221">
        <f t="shared" si="2"/>
        <v>26</v>
      </c>
      <c r="L21" s="355">
        <f>'أخذ التمام الصباحي'!G18</f>
        <v>17</v>
      </c>
      <c r="M21" s="335">
        <v>34</v>
      </c>
      <c r="N21" s="203">
        <f t="shared" si="3"/>
        <v>1.8823529411764706</v>
      </c>
      <c r="O21" s="336">
        <v>30</v>
      </c>
      <c r="P21" s="338">
        <f>'أخذ التمام الصباحي'!I18</f>
        <v>24</v>
      </c>
      <c r="Q21" s="221">
        <f t="shared" si="4"/>
        <v>6</v>
      </c>
      <c r="R21" s="338">
        <f>'أخذ التمام الصباحي'!J18</f>
        <v>0</v>
      </c>
      <c r="S21" s="335">
        <v>13</v>
      </c>
      <c r="T21" s="203">
        <f t="shared" si="5"/>
        <v>1.8461538461538463</v>
      </c>
      <c r="U21" s="336">
        <v>180</v>
      </c>
      <c r="V21" s="338">
        <f>'أخذ التمام الصباحي'!L18</f>
        <v>124</v>
      </c>
      <c r="W21" s="221">
        <f t="shared" si="6"/>
        <v>56</v>
      </c>
      <c r="X21" s="338">
        <f>'أخذ التمام الصباحي'!M18</f>
        <v>34</v>
      </c>
      <c r="Y21" s="335">
        <v>22</v>
      </c>
      <c r="Z21" s="203">
        <f t="shared" si="7"/>
        <v>5.6363636363636367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78</v>
      </c>
      <c r="K22" s="221">
        <f t="shared" si="2"/>
        <v>12</v>
      </c>
      <c r="L22" s="355">
        <f>'أخذ التمام الصباحي'!G19</f>
        <v>0</v>
      </c>
      <c r="M22" s="335">
        <v>8</v>
      </c>
      <c r="N22" s="203">
        <f t="shared" si="3"/>
        <v>9.75</v>
      </c>
      <c r="O22" s="336">
        <v>30</v>
      </c>
      <c r="P22" s="338">
        <f>'أخذ التمام الصباحي'!I19</f>
        <v>18</v>
      </c>
      <c r="Q22" s="221">
        <f t="shared" si="4"/>
        <v>12</v>
      </c>
      <c r="R22" s="338">
        <f>'أخذ التمام الصباحي'!J19</f>
        <v>0</v>
      </c>
      <c r="S22" s="335">
        <v>2</v>
      </c>
      <c r="T22" s="203">
        <f t="shared" si="5"/>
        <v>9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17</v>
      </c>
      <c r="E23" s="194">
        <f t="shared" si="0"/>
        <v>13</v>
      </c>
      <c r="F23" s="194">
        <f>'أخذ التمام الصباحي'!D20</f>
        <v>0</v>
      </c>
      <c r="G23" s="194">
        <v>0.6</v>
      </c>
      <c r="H23" s="194">
        <f t="shared" si="1"/>
        <v>28.333333333333336</v>
      </c>
      <c r="I23" s="336">
        <v>60</v>
      </c>
      <c r="J23" s="338">
        <f>'أخذ التمام الصباحي'!F20</f>
        <v>48</v>
      </c>
      <c r="K23" s="221">
        <f t="shared" si="2"/>
        <v>12</v>
      </c>
      <c r="L23" s="355">
        <f>'أخذ التمام الصباحي'!G20</f>
        <v>0</v>
      </c>
      <c r="M23" s="335">
        <v>3</v>
      </c>
      <c r="N23" s="203">
        <f t="shared" si="3"/>
        <v>16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96</v>
      </c>
      <c r="W23" s="221">
        <f t="shared" si="6"/>
        <v>24</v>
      </c>
      <c r="X23" s="335">
        <f>'أخذ التمام الصباحي'!M20</f>
        <v>0</v>
      </c>
      <c r="Y23" s="335">
        <v>7</v>
      </c>
      <c r="Z23" s="203">
        <f t="shared" si="7"/>
        <v>13.714285714285714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57</v>
      </c>
      <c r="K24" s="221">
        <f t="shared" si="2"/>
        <v>3</v>
      </c>
      <c r="L24" s="355">
        <f>'أخذ التمام الصباحي'!G21</f>
        <v>0</v>
      </c>
      <c r="M24" s="335">
        <v>6</v>
      </c>
      <c r="N24" s="203">
        <f t="shared" si="3"/>
        <v>9.5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108</v>
      </c>
      <c r="W24" s="221">
        <f t="shared" si="6"/>
        <v>12</v>
      </c>
      <c r="X24" s="338">
        <f>'أخذ التمام الصباحي'!M21</f>
        <v>0</v>
      </c>
      <c r="Y24" s="335">
        <v>5</v>
      </c>
      <c r="Z24" s="203">
        <f t="shared" si="7"/>
        <v>21.6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84</v>
      </c>
      <c r="K25" s="221">
        <f t="shared" si="2"/>
        <v>6</v>
      </c>
      <c r="L25" s="355">
        <f>'أخذ التمام الصباحي'!G22</f>
        <v>17</v>
      </c>
      <c r="M25" s="335">
        <v>15</v>
      </c>
      <c r="N25" s="203">
        <f t="shared" si="3"/>
        <v>5.6</v>
      </c>
      <c r="O25" s="336">
        <v>30</v>
      </c>
      <c r="P25" s="335">
        <f>'أخذ التمام الصباحي'!I22</f>
        <v>23</v>
      </c>
      <c r="Q25" s="221">
        <f t="shared" si="4"/>
        <v>7</v>
      </c>
      <c r="R25" s="335">
        <f>'أخذ التمام الصباحي'!J22</f>
        <v>0</v>
      </c>
      <c r="S25" s="335">
        <v>3</v>
      </c>
      <c r="T25" s="203">
        <f t="shared" si="5"/>
        <v>7.666666666666667</v>
      </c>
      <c r="U25" s="336">
        <v>180</v>
      </c>
      <c r="V25" s="338">
        <f>'أخذ التمام الصباحي'!L22</f>
        <v>109</v>
      </c>
      <c r="W25" s="221">
        <f t="shared" si="6"/>
        <v>71</v>
      </c>
      <c r="X25" s="338">
        <f>'أخذ التمام الصباحي'!M22</f>
        <v>68</v>
      </c>
      <c r="Y25" s="335">
        <v>43</v>
      </c>
      <c r="Z25" s="203">
        <f t="shared" si="7"/>
        <v>2.5348837209302326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73</v>
      </c>
      <c r="K26" s="221">
        <f t="shared" si="2"/>
        <v>17</v>
      </c>
      <c r="L26" s="355">
        <f>'أخذ التمام الصباحي'!G23</f>
        <v>17</v>
      </c>
      <c r="M26" s="335">
        <v>17</v>
      </c>
      <c r="N26" s="203">
        <f t="shared" si="3"/>
        <v>4.2941176470588234</v>
      </c>
      <c r="O26" s="336">
        <v>30</v>
      </c>
      <c r="P26" s="338">
        <f>'أخذ التمام الصباحي'!I23</f>
        <v>25</v>
      </c>
      <c r="Q26" s="221">
        <f t="shared" si="4"/>
        <v>5</v>
      </c>
      <c r="R26" s="338">
        <f>'أخذ التمام الصباحي'!J23</f>
        <v>0</v>
      </c>
      <c r="S26" s="335">
        <v>4</v>
      </c>
      <c r="T26" s="203">
        <f t="shared" si="5"/>
        <v>6.25</v>
      </c>
      <c r="U26" s="336">
        <v>180</v>
      </c>
      <c r="V26" s="338">
        <f>'أخذ التمام الصباحي'!L23</f>
        <v>129</v>
      </c>
      <c r="W26" s="221">
        <f t="shared" si="6"/>
        <v>51</v>
      </c>
      <c r="X26" s="338">
        <f>'أخذ التمام الصباحي'!M23</f>
        <v>51</v>
      </c>
      <c r="Y26" s="335">
        <v>40</v>
      </c>
      <c r="Z26" s="203">
        <f t="shared" si="7"/>
        <v>3.2250000000000001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78</v>
      </c>
      <c r="K27" s="221">
        <f t="shared" si="2"/>
        <v>12</v>
      </c>
      <c r="L27" s="355">
        <f>'أخذ التمام الصباحي'!G24</f>
        <v>0</v>
      </c>
      <c r="M27" s="335">
        <v>12</v>
      </c>
      <c r="N27" s="203">
        <f t="shared" si="3"/>
        <v>6.5</v>
      </c>
      <c r="O27" s="336">
        <v>30</v>
      </c>
      <c r="P27" s="338">
        <f>'أخذ التمام الصباحي'!I24</f>
        <v>27</v>
      </c>
      <c r="Q27" s="221">
        <f t="shared" si="4"/>
        <v>3</v>
      </c>
      <c r="R27" s="338">
        <f>'أخذ التمام الصباحي'!J24</f>
        <v>0</v>
      </c>
      <c r="S27" s="335">
        <v>2</v>
      </c>
      <c r="T27" s="203">
        <f t="shared" si="5"/>
        <v>13.5</v>
      </c>
      <c r="U27" s="336">
        <v>180</v>
      </c>
      <c r="V27" s="338">
        <f>'أخذ التمام الصباحي'!L24</f>
        <v>125</v>
      </c>
      <c r="W27" s="221">
        <f t="shared" si="6"/>
        <v>55</v>
      </c>
      <c r="X27" s="338">
        <f>'أخذ التمام الصباحي'!M24</f>
        <v>51</v>
      </c>
      <c r="Y27" s="335">
        <v>22</v>
      </c>
      <c r="Z27" s="203">
        <f t="shared" si="7"/>
        <v>5.6818181818181817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56</v>
      </c>
      <c r="K28" s="221">
        <f t="shared" si="2"/>
        <v>34</v>
      </c>
      <c r="L28" s="355">
        <f>'أخذ التمام الصباحي'!G25</f>
        <v>34</v>
      </c>
      <c r="M28" s="335">
        <v>9</v>
      </c>
      <c r="N28" s="203">
        <f t="shared" si="3"/>
        <v>6.2222222222222223</v>
      </c>
      <c r="O28" s="336">
        <v>30</v>
      </c>
      <c r="P28" s="338">
        <f>'أخذ التمام الصباحي'!I25</f>
        <v>13</v>
      </c>
      <c r="Q28" s="221">
        <f t="shared" si="4"/>
        <v>17</v>
      </c>
      <c r="R28" s="338">
        <f>'أخذ التمام الصباحي'!J25</f>
        <v>0</v>
      </c>
      <c r="S28" s="335">
        <v>2</v>
      </c>
      <c r="T28" s="203">
        <f t="shared" si="5"/>
        <v>6.5</v>
      </c>
      <c r="U28" s="336">
        <v>180</v>
      </c>
      <c r="V28" s="338">
        <f>'أخذ التمام الصباحي'!L25</f>
        <v>136</v>
      </c>
      <c r="W28" s="221">
        <f t="shared" si="6"/>
        <v>44</v>
      </c>
      <c r="X28" s="338">
        <f>'أخذ التمام الصباحي'!M25</f>
        <v>17</v>
      </c>
      <c r="Y28" s="335">
        <v>19</v>
      </c>
      <c r="Z28" s="203">
        <f t="shared" si="7"/>
        <v>7.1578947368421053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80</v>
      </c>
      <c r="E29" s="194">
        <f t="shared" ref="E29" si="8">C29-D29</f>
        <v>10</v>
      </c>
      <c r="F29" s="194">
        <f>'أخذ التمام الصباحي'!D26</f>
        <v>0</v>
      </c>
      <c r="G29" s="194">
        <v>5</v>
      </c>
      <c r="H29" s="194">
        <f t="shared" ref="H29" si="9">D29/G29</f>
        <v>16</v>
      </c>
      <c r="I29" s="336">
        <v>45</v>
      </c>
      <c r="J29" s="338">
        <f>'أخذ التمام الصباحي'!F26</f>
        <v>15</v>
      </c>
      <c r="K29" s="221">
        <f t="shared" si="2"/>
        <v>30</v>
      </c>
      <c r="L29" s="355">
        <f>'أخذ التمام الصباحي'!G26</f>
        <v>17</v>
      </c>
      <c r="M29" s="335">
        <v>9</v>
      </c>
      <c r="N29" s="203">
        <f t="shared" si="3"/>
        <v>1.6666666666666667</v>
      </c>
      <c r="O29" s="336">
        <v>45</v>
      </c>
      <c r="P29" s="338">
        <f>'أخذ التمام الصباحي'!I26</f>
        <v>39</v>
      </c>
      <c r="Q29" s="221">
        <f t="shared" si="4"/>
        <v>6</v>
      </c>
      <c r="R29" s="338">
        <f>'أخذ التمام الصباحي'!J26</f>
        <v>0</v>
      </c>
      <c r="S29" s="335">
        <v>2</v>
      </c>
      <c r="T29" s="203">
        <f t="shared" si="5"/>
        <v>19.5</v>
      </c>
      <c r="U29" s="336">
        <v>180</v>
      </c>
      <c r="V29" s="338">
        <f>'أخذ التمام الصباحي'!L26</f>
        <v>144</v>
      </c>
      <c r="W29" s="221">
        <f t="shared" si="6"/>
        <v>36</v>
      </c>
      <c r="X29" s="338">
        <f>'أخذ التمام الصباحي'!M26</f>
        <v>34</v>
      </c>
      <c r="Y29" s="335">
        <v>16</v>
      </c>
      <c r="Z29" s="203">
        <f t="shared" si="7"/>
        <v>9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130</v>
      </c>
      <c r="K30" s="221">
        <f t="shared" si="2"/>
        <v>5</v>
      </c>
      <c r="L30" s="355">
        <f>'أخذ التمام الصباحي'!G27</f>
        <v>0</v>
      </c>
      <c r="M30" s="335">
        <v>6</v>
      </c>
      <c r="N30" s="203">
        <f t="shared" si="3"/>
        <v>21.666666666666668</v>
      </c>
      <c r="O30" s="336">
        <v>45</v>
      </c>
      <c r="P30" s="338">
        <f>'أخذ التمام الصباحي'!I27</f>
        <v>40</v>
      </c>
      <c r="Q30" s="221">
        <f t="shared" si="4"/>
        <v>5</v>
      </c>
      <c r="R30" s="338">
        <f>'أخذ التمام الصباحي'!J27</f>
        <v>0</v>
      </c>
      <c r="S30" s="335">
        <v>2</v>
      </c>
      <c r="T30" s="203">
        <f t="shared" si="5"/>
        <v>20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143</v>
      </c>
      <c r="K31" s="221">
        <f t="shared" si="2"/>
        <v>37</v>
      </c>
      <c r="L31" s="355">
        <f>'أخذ التمام الصباحي'!G28</f>
        <v>34</v>
      </c>
      <c r="M31" s="339">
        <v>27</v>
      </c>
      <c r="N31" s="203">
        <f t="shared" si="3"/>
        <v>5.2962962962962967</v>
      </c>
      <c r="O31" s="336">
        <v>90</v>
      </c>
      <c r="P31" s="338">
        <f>'أخذ التمام الصباحي'!I28</f>
        <v>73</v>
      </c>
      <c r="Q31" s="221">
        <f t="shared" si="4"/>
        <v>17</v>
      </c>
      <c r="R31" s="338">
        <f>'أخذ التمام الصباحي'!J28</f>
        <v>17</v>
      </c>
      <c r="S31" s="339">
        <v>10</v>
      </c>
      <c r="T31" s="203">
        <f t="shared" si="5"/>
        <v>7.3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162</v>
      </c>
      <c r="K32" s="221">
        <f t="shared" si="2"/>
        <v>18</v>
      </c>
      <c r="L32" s="355">
        <f>'أخذ التمام الصباحي'!G29</f>
        <v>34</v>
      </c>
      <c r="M32" s="339">
        <v>27</v>
      </c>
      <c r="N32" s="203">
        <f t="shared" si="3"/>
        <v>6</v>
      </c>
      <c r="O32" s="336">
        <v>90</v>
      </c>
      <c r="P32" s="338">
        <f>'أخذ التمام الصباحي'!I29</f>
        <v>78</v>
      </c>
      <c r="Q32" s="221">
        <f t="shared" si="4"/>
        <v>12</v>
      </c>
      <c r="R32" s="338">
        <f>'أخذ التمام الصباحي'!J29</f>
        <v>17</v>
      </c>
      <c r="S32" s="339">
        <v>9</v>
      </c>
      <c r="T32" s="203">
        <f t="shared" si="5"/>
        <v>8.6666666666666661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159</v>
      </c>
      <c r="K33" s="221">
        <f t="shared" si="2"/>
        <v>21</v>
      </c>
      <c r="L33" s="355">
        <f>'أخذ التمام الصباحي'!G30</f>
        <v>34</v>
      </c>
      <c r="M33" s="339">
        <v>33</v>
      </c>
      <c r="N33" s="203">
        <f t="shared" si="3"/>
        <v>4.8181818181818183</v>
      </c>
      <c r="O33" s="336">
        <v>90</v>
      </c>
      <c r="P33" s="338">
        <f>'أخذ التمام الصباحي'!I30</f>
        <v>71</v>
      </c>
      <c r="Q33" s="221">
        <f t="shared" si="4"/>
        <v>19</v>
      </c>
      <c r="R33" s="338">
        <f>'أخذ التمام الصباحي'!J30</f>
        <v>17</v>
      </c>
      <c r="S33" s="339">
        <v>8</v>
      </c>
      <c r="T33" s="203">
        <f t="shared" si="5"/>
        <v>8.875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151</v>
      </c>
      <c r="K34" s="221">
        <f t="shared" si="2"/>
        <v>29</v>
      </c>
      <c r="L34" s="355">
        <f>'أخذ التمام الصباحي'!G31</f>
        <v>34</v>
      </c>
      <c r="M34" s="339">
        <v>52</v>
      </c>
      <c r="N34" s="203">
        <f t="shared" si="3"/>
        <v>2.9038461538461537</v>
      </c>
      <c r="O34" s="336">
        <v>90</v>
      </c>
      <c r="P34" s="338">
        <f>'أخذ التمام الصباحي'!I31</f>
        <v>75</v>
      </c>
      <c r="Q34" s="221">
        <f t="shared" si="4"/>
        <v>15</v>
      </c>
      <c r="R34" s="338">
        <f>'أخذ التمام الصباحي'!J31</f>
        <v>17</v>
      </c>
      <c r="S34" s="339">
        <v>11</v>
      </c>
      <c r="T34" s="203">
        <f t="shared" si="5"/>
        <v>6.8181818181818183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8" t="s">
        <v>34</v>
      </c>
      <c r="B39" s="398"/>
      <c r="C39" s="206">
        <f>SUM(C8:C38)</f>
        <v>300</v>
      </c>
      <c r="D39" s="206">
        <f t="shared" ref="D39:Z39" si="16">SUM(D8:D38)</f>
        <v>209</v>
      </c>
      <c r="E39" s="206">
        <f t="shared" si="16"/>
        <v>91</v>
      </c>
      <c r="F39" s="206">
        <f t="shared" si="16"/>
        <v>34</v>
      </c>
      <c r="G39" s="206">
        <f t="shared" si="16"/>
        <v>57.6</v>
      </c>
      <c r="H39" s="206">
        <f t="shared" si="16"/>
        <v>57.901587301587305</v>
      </c>
      <c r="I39" s="206">
        <f t="shared" si="16"/>
        <v>3525</v>
      </c>
      <c r="J39" s="206">
        <f t="shared" si="16"/>
        <v>2368</v>
      </c>
      <c r="K39" s="206">
        <f t="shared" si="16"/>
        <v>1157</v>
      </c>
      <c r="L39" s="206">
        <f t="shared" si="16"/>
        <v>476</v>
      </c>
      <c r="M39" s="206">
        <f t="shared" si="16"/>
        <v>684</v>
      </c>
      <c r="N39" s="206">
        <f t="shared" si="16"/>
        <v>166.92610296735043</v>
      </c>
      <c r="O39" s="206">
        <f t="shared" si="16"/>
        <v>1380</v>
      </c>
      <c r="P39" s="206">
        <f t="shared" si="16"/>
        <v>785</v>
      </c>
      <c r="Q39" s="206">
        <f t="shared" si="16"/>
        <v>595</v>
      </c>
      <c r="R39" s="206">
        <f t="shared" si="16"/>
        <v>119</v>
      </c>
      <c r="S39" s="206">
        <f t="shared" si="16"/>
        <v>174</v>
      </c>
      <c r="T39" s="206">
        <f t="shared" si="16"/>
        <v>170.58782051282051</v>
      </c>
      <c r="U39" s="206">
        <f t="shared" si="16"/>
        <v>2580</v>
      </c>
      <c r="V39" s="206">
        <f t="shared" si="16"/>
        <v>1851</v>
      </c>
      <c r="W39" s="206">
        <f t="shared" si="16"/>
        <v>729</v>
      </c>
      <c r="X39" s="206">
        <f t="shared" si="16"/>
        <v>391</v>
      </c>
      <c r="Y39" s="206">
        <f t="shared" si="16"/>
        <v>306</v>
      </c>
      <c r="Z39" s="206">
        <f t="shared" si="16"/>
        <v>160.99794184277442</v>
      </c>
    </row>
    <row r="40" spans="1:26" ht="20.100000000000001" customHeight="1" thickBot="1" x14ac:dyDescent="0.25">
      <c r="A40" s="385" t="s">
        <v>35</v>
      </c>
      <c r="B40" s="385"/>
      <c r="C40" s="389">
        <f>C39+I39+O39+U39</f>
        <v>7785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1"/>
    </row>
    <row r="41" spans="1:26" ht="20.100000000000001" customHeight="1" thickBot="1" x14ac:dyDescent="0.25">
      <c r="A41" s="385" t="s">
        <v>36</v>
      </c>
      <c r="B41" s="385"/>
      <c r="C41" s="389">
        <f>D39+J39+P39+V39</f>
        <v>5213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1"/>
    </row>
    <row r="42" spans="1:26" ht="20.100000000000001" customHeight="1" thickBot="1" x14ac:dyDescent="0.25">
      <c r="A42" s="385" t="s">
        <v>37</v>
      </c>
      <c r="B42" s="385"/>
      <c r="C42" s="389">
        <f>E39+K39+Q39+W39</f>
        <v>2572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1"/>
    </row>
    <row r="43" spans="1:26" ht="20.100000000000001" customHeight="1" thickBot="1" x14ac:dyDescent="0.25">
      <c r="A43" s="385" t="s">
        <v>38</v>
      </c>
      <c r="B43" s="385"/>
      <c r="C43" s="392">
        <f>C41/C40</f>
        <v>0.6696210661528581</v>
      </c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4"/>
    </row>
    <row r="44" spans="1:26" ht="20.100000000000001" customHeight="1" thickBot="1" x14ac:dyDescent="0.25">
      <c r="A44" s="385" t="s">
        <v>39</v>
      </c>
      <c r="B44" s="385"/>
      <c r="C44" s="389">
        <f>F39+L39+R39+X39</f>
        <v>1020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1"/>
    </row>
    <row r="45" spans="1:26" ht="15.75" thickBot="1" x14ac:dyDescent="0.25">
      <c r="A45" s="385" t="s">
        <v>40</v>
      </c>
      <c r="B45" s="385"/>
      <c r="C45" s="395">
        <f>C44/'التمام الصباحي'!$C$41:$Z$41</f>
        <v>0.1956646844427393</v>
      </c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6.75" customHeight="1" thickBot="1" x14ac:dyDescent="0.3">
      <c r="G5" s="199"/>
      <c r="H5" s="387" t="s">
        <v>161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8" t="s">
        <v>34</v>
      </c>
      <c r="B28" s="398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6" ht="20.100000000000001" customHeight="1" thickBot="1" x14ac:dyDescent="0.25">
      <c r="A30" s="385" t="s">
        <v>36</v>
      </c>
      <c r="B30" s="385"/>
      <c r="C30" s="389">
        <f>D28+I28+N28+S28</f>
        <v>4605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6" ht="20.100000000000001" customHeight="1" thickBot="1" x14ac:dyDescent="0.25">
      <c r="A31" s="385" t="s">
        <v>37</v>
      </c>
      <c r="B31" s="385"/>
      <c r="C31" s="389">
        <f>E28+J28+O28+T28</f>
        <v>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6" ht="15.75" thickBot="1" x14ac:dyDescent="0.25">
      <c r="A32" s="385" t="s">
        <v>38</v>
      </c>
      <c r="B32" s="385"/>
      <c r="C32" s="392">
        <f>C30/C29</f>
        <v>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2.25" customHeight="1" thickBot="1" x14ac:dyDescent="0.3">
      <c r="G5" s="199"/>
      <c r="H5" s="387" t="s">
        <v>162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57</v>
      </c>
      <c r="J8" s="221">
        <f>'خطة الإمداد'!F32</f>
        <v>33</v>
      </c>
      <c r="K8" s="261">
        <v>19</v>
      </c>
      <c r="L8" s="203">
        <f>I8/K8</f>
        <v>3</v>
      </c>
      <c r="M8" s="262">
        <v>30</v>
      </c>
      <c r="N8" s="261">
        <f>M8-O8</f>
        <v>16</v>
      </c>
      <c r="O8" s="221">
        <f>'خطة الإمداد'!G32</f>
        <v>14</v>
      </c>
      <c r="P8" s="261">
        <v>5</v>
      </c>
      <c r="Q8" s="203">
        <f>N8/P8</f>
        <v>3.2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23</v>
      </c>
      <c r="E10" s="261">
        <f>'خطة الإمداد'!E35</f>
        <v>7</v>
      </c>
      <c r="F10" s="261">
        <v>4</v>
      </c>
      <c r="G10" s="204">
        <f>D10/F10</f>
        <v>5.75</v>
      </c>
      <c r="H10" s="262">
        <v>60</v>
      </c>
      <c r="I10" s="261">
        <f t="shared" ref="I10:I27" si="1">H10-J10</f>
        <v>25</v>
      </c>
      <c r="J10" s="221">
        <f>'خطة الإمداد'!F35</f>
        <v>35</v>
      </c>
      <c r="K10" s="261">
        <v>21</v>
      </c>
      <c r="L10" s="203">
        <f t="shared" ref="L10:L21" si="2">I10/K10</f>
        <v>1.1904761904761905</v>
      </c>
      <c r="M10" s="262">
        <v>30</v>
      </c>
      <c r="N10" s="261">
        <f t="shared" ref="N10:N27" si="3">M10-O10</f>
        <v>8</v>
      </c>
      <c r="O10" s="221">
        <f>'خطة الإمداد'!G35</f>
        <v>22</v>
      </c>
      <c r="P10" s="261">
        <v>5</v>
      </c>
      <c r="Q10" s="203">
        <f>N10/P10</f>
        <v>1.6</v>
      </c>
      <c r="R10" s="262">
        <v>180</v>
      </c>
      <c r="S10" s="221">
        <f t="shared" ref="S10:S27" si="4">R10-T10</f>
        <v>144</v>
      </c>
      <c r="T10" s="261">
        <f>'خطة الإمداد'!H35</f>
        <v>36</v>
      </c>
      <c r="U10" s="261">
        <v>3</v>
      </c>
      <c r="V10" s="203">
        <f>S10/U10</f>
        <v>48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8</v>
      </c>
      <c r="J11" s="221">
        <f>'خطة الإمداد'!F36</f>
        <v>52</v>
      </c>
      <c r="K11" s="261">
        <v>34</v>
      </c>
      <c r="L11" s="203">
        <f t="shared" si="2"/>
        <v>0.23529411764705882</v>
      </c>
      <c r="M11" s="262">
        <v>30</v>
      </c>
      <c r="N11" s="261">
        <f t="shared" si="3"/>
        <v>6</v>
      </c>
      <c r="O11" s="221">
        <f>'خطة الإمداد'!G36</f>
        <v>24</v>
      </c>
      <c r="P11" s="261">
        <v>8</v>
      </c>
      <c r="Q11" s="203">
        <f>N11/P11</f>
        <v>0.75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11</v>
      </c>
      <c r="E12" s="261">
        <f>'خطة الإمداد'!E37</f>
        <v>19</v>
      </c>
      <c r="F12" s="261">
        <v>4</v>
      </c>
      <c r="G12" s="204">
        <f>D12/F12</f>
        <v>2.75</v>
      </c>
      <c r="H12" s="262">
        <v>90</v>
      </c>
      <c r="I12" s="261">
        <f t="shared" si="1"/>
        <v>40</v>
      </c>
      <c r="J12" s="221">
        <f>'خطة الإمداد'!F37</f>
        <v>50</v>
      </c>
      <c r="K12" s="261">
        <v>19</v>
      </c>
      <c r="L12" s="203">
        <f t="shared" si="2"/>
        <v>2.1052631578947367</v>
      </c>
      <c r="M12" s="263"/>
      <c r="N12" s="263"/>
      <c r="O12" s="263"/>
      <c r="P12" s="263"/>
      <c r="Q12" s="205"/>
      <c r="R12" s="262">
        <v>180</v>
      </c>
      <c r="S12" s="221">
        <f t="shared" si="4"/>
        <v>162</v>
      </c>
      <c r="T12" s="261">
        <f>'خطة الإمداد'!H37</f>
        <v>18</v>
      </c>
      <c r="U12" s="261">
        <v>8</v>
      </c>
      <c r="V12" s="203">
        <f>S12/U12</f>
        <v>20.25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13</v>
      </c>
      <c r="E13" s="261">
        <f>'خطة الإمداد'!E38</f>
        <v>17</v>
      </c>
      <c r="F13" s="261">
        <v>4</v>
      </c>
      <c r="G13" s="204">
        <f>D13/F13</f>
        <v>3.25</v>
      </c>
      <c r="H13" s="262">
        <v>90</v>
      </c>
      <c r="I13" s="261">
        <f t="shared" si="1"/>
        <v>52</v>
      </c>
      <c r="J13" s="221">
        <f>'خطة الإمداد'!F38</f>
        <v>38</v>
      </c>
      <c r="K13" s="261">
        <v>16</v>
      </c>
      <c r="L13" s="203">
        <f t="shared" si="2"/>
        <v>3.25</v>
      </c>
      <c r="M13" s="263"/>
      <c r="N13" s="263"/>
      <c r="O13" s="263"/>
      <c r="P13" s="263"/>
      <c r="Q13" s="205"/>
      <c r="R13" s="262">
        <v>180</v>
      </c>
      <c r="S13" s="221">
        <f t="shared" si="4"/>
        <v>142</v>
      </c>
      <c r="T13" s="261">
        <f>'خطة الإمداد'!H38</f>
        <v>38</v>
      </c>
      <c r="U13" s="261">
        <v>19</v>
      </c>
      <c r="V13" s="203">
        <f>S13/U13</f>
        <v>7.4736842105263159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118</v>
      </c>
      <c r="J14" s="221">
        <f>'خطة الإمداد'!F39</f>
        <v>62</v>
      </c>
      <c r="K14" s="261">
        <v>39</v>
      </c>
      <c r="L14" s="203">
        <f t="shared" si="2"/>
        <v>3.0256410256410255</v>
      </c>
      <c r="M14" s="262">
        <v>60</v>
      </c>
      <c r="N14" s="261">
        <f t="shared" si="3"/>
        <v>41</v>
      </c>
      <c r="O14" s="221">
        <f>'خطة الإمداد'!G39</f>
        <v>19</v>
      </c>
      <c r="P14" s="261">
        <v>7</v>
      </c>
      <c r="Q14" s="203">
        <f t="shared" ref="Q14:Q21" si="5">N14/P14</f>
        <v>5.8571428571428568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137</v>
      </c>
      <c r="J15" s="221">
        <f>'خطة الإمداد'!F40</f>
        <v>43</v>
      </c>
      <c r="K15" s="261">
        <v>36</v>
      </c>
      <c r="L15" s="203">
        <f t="shared" si="2"/>
        <v>3.8055555555555554</v>
      </c>
      <c r="M15" s="262">
        <v>45</v>
      </c>
      <c r="N15" s="261">
        <f t="shared" si="3"/>
        <v>24</v>
      </c>
      <c r="O15" s="221">
        <f>'خطة الإمداد'!G40</f>
        <v>21</v>
      </c>
      <c r="P15" s="261">
        <v>8</v>
      </c>
      <c r="Q15" s="203">
        <f t="shared" si="5"/>
        <v>3</v>
      </c>
      <c r="R15" s="262">
        <v>120</v>
      </c>
      <c r="S15" s="221">
        <f t="shared" si="4"/>
        <v>40</v>
      </c>
      <c r="T15" s="261">
        <f>'خطة الإمداد'!H40</f>
        <v>80</v>
      </c>
      <c r="U15" s="261">
        <v>26</v>
      </c>
      <c r="V15" s="203">
        <f>S15/U15</f>
        <v>1.5384615384615385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61</v>
      </c>
      <c r="J16" s="221">
        <f>'خطة الإمداد'!F41</f>
        <v>29</v>
      </c>
      <c r="K16" s="261">
        <v>6</v>
      </c>
      <c r="L16" s="203">
        <f t="shared" si="2"/>
        <v>10.166666666666666</v>
      </c>
      <c r="M16" s="262">
        <v>30</v>
      </c>
      <c r="N16" s="261">
        <f t="shared" si="3"/>
        <v>11</v>
      </c>
      <c r="O16" s="221">
        <f>'خطة الإمداد'!G41</f>
        <v>19</v>
      </c>
      <c r="P16" s="261">
        <v>2</v>
      </c>
      <c r="Q16" s="203">
        <f t="shared" si="5"/>
        <v>5.5</v>
      </c>
      <c r="R16" s="262">
        <v>180</v>
      </c>
      <c r="S16" s="221">
        <f t="shared" si="4"/>
        <v>104</v>
      </c>
      <c r="T16" s="261">
        <f>'خطة الإمداد'!H41</f>
        <v>76</v>
      </c>
      <c r="U16" s="261">
        <v>56</v>
      </c>
      <c r="V16" s="203">
        <f>S16/U16</f>
        <v>1.8571428571428572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74</v>
      </c>
      <c r="J17" s="221">
        <f>'خطة الإمداد'!F42</f>
        <v>16</v>
      </c>
      <c r="K17" s="261">
        <v>5</v>
      </c>
      <c r="L17" s="203">
        <f t="shared" si="2"/>
        <v>14.8</v>
      </c>
      <c r="M17" s="262">
        <v>30</v>
      </c>
      <c r="N17" s="261">
        <f t="shared" si="3"/>
        <v>14</v>
      </c>
      <c r="O17" s="221">
        <f>'خطة الإمداد'!G42</f>
        <v>16</v>
      </c>
      <c r="P17" s="261">
        <v>1</v>
      </c>
      <c r="Q17" s="203">
        <f t="shared" si="5"/>
        <v>14</v>
      </c>
      <c r="R17" s="262">
        <v>60</v>
      </c>
      <c r="S17" s="194">
        <f t="shared" si="4"/>
        <v>45</v>
      </c>
      <c r="T17" s="261">
        <f>'خطة الإمداد'!H42</f>
        <v>15</v>
      </c>
      <c r="U17" s="261">
        <v>2</v>
      </c>
      <c r="V17" s="261">
        <f>S17/U17</f>
        <v>22.5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36</v>
      </c>
      <c r="J18" s="221">
        <f>'خطة الإمداد'!F43</f>
        <v>24</v>
      </c>
      <c r="K18" s="261">
        <v>2</v>
      </c>
      <c r="L18" s="203">
        <f t="shared" si="2"/>
        <v>18</v>
      </c>
      <c r="M18" s="262">
        <v>30</v>
      </c>
      <c r="N18" s="261">
        <f t="shared" si="3"/>
        <v>23</v>
      </c>
      <c r="O18" s="221">
        <f>'خطة الإمداد'!G43</f>
        <v>7</v>
      </c>
      <c r="P18" s="261">
        <v>5</v>
      </c>
      <c r="Q18" s="203">
        <f t="shared" si="5"/>
        <v>4.5999999999999996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70</v>
      </c>
      <c r="J19" s="221">
        <f>'خطة الإمداد'!F44</f>
        <v>20</v>
      </c>
      <c r="K19" s="261">
        <v>6</v>
      </c>
      <c r="L19" s="203">
        <f t="shared" si="2"/>
        <v>11.666666666666666</v>
      </c>
      <c r="M19" s="262">
        <v>30</v>
      </c>
      <c r="N19" s="261">
        <f t="shared" si="3"/>
        <v>22</v>
      </c>
      <c r="O19" s="221">
        <f>'خطة الإمداد'!G44</f>
        <v>8</v>
      </c>
      <c r="P19" s="261">
        <v>2</v>
      </c>
      <c r="Q19" s="203">
        <f t="shared" si="5"/>
        <v>11</v>
      </c>
      <c r="R19" s="262">
        <v>180</v>
      </c>
      <c r="S19" s="221">
        <f t="shared" si="4"/>
        <v>141</v>
      </c>
      <c r="T19" s="261">
        <f>'خطة الإمداد'!H44</f>
        <v>39</v>
      </c>
      <c r="U19" s="261">
        <v>16</v>
      </c>
      <c r="V19" s="203">
        <f>S19/U19</f>
        <v>8.8125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30</v>
      </c>
      <c r="J20" s="221">
        <f>'خطة الإمداد'!F45</f>
        <v>60</v>
      </c>
      <c r="K20" s="261">
        <v>7</v>
      </c>
      <c r="L20" s="203">
        <f t="shared" si="2"/>
        <v>4.2857142857142856</v>
      </c>
      <c r="M20" s="262">
        <v>30</v>
      </c>
      <c r="N20" s="261">
        <f t="shared" si="3"/>
        <v>11</v>
      </c>
      <c r="O20" s="221">
        <f>'خطة الإمداد'!G45</f>
        <v>19</v>
      </c>
      <c r="P20" s="261">
        <v>1</v>
      </c>
      <c r="Q20" s="203">
        <f t="shared" si="5"/>
        <v>11</v>
      </c>
      <c r="R20" s="262">
        <v>180</v>
      </c>
      <c r="S20" s="221">
        <f t="shared" si="4"/>
        <v>102</v>
      </c>
      <c r="T20" s="261">
        <f>'خطة الإمداد'!H45</f>
        <v>78</v>
      </c>
      <c r="U20" s="261">
        <v>18</v>
      </c>
      <c r="V20" s="203">
        <f>S20/U20</f>
        <v>5.666666666666667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70</v>
      </c>
      <c r="J21" s="221">
        <f>'خطة الإمداد'!F46</f>
        <v>20</v>
      </c>
      <c r="K21" s="261">
        <v>5</v>
      </c>
      <c r="L21" s="203">
        <f t="shared" si="2"/>
        <v>14</v>
      </c>
      <c r="M21" s="262">
        <v>30</v>
      </c>
      <c r="N21" s="261">
        <f t="shared" si="3"/>
        <v>16</v>
      </c>
      <c r="O21" s="221">
        <f>'خطة الإمداد'!G46</f>
        <v>14</v>
      </c>
      <c r="P21" s="261">
        <v>1</v>
      </c>
      <c r="Q21" s="203">
        <f t="shared" si="5"/>
        <v>16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16.399999999999999</v>
      </c>
      <c r="E22" s="194">
        <f>'خطة الإمداد'!E47</f>
        <v>13.6</v>
      </c>
      <c r="F22" s="194">
        <v>0.2</v>
      </c>
      <c r="G22" s="194">
        <f>D22/F22</f>
        <v>81.999999999999986</v>
      </c>
      <c r="H22" s="262">
        <v>60</v>
      </c>
      <c r="I22" s="261">
        <f t="shared" si="1"/>
        <v>45</v>
      </c>
      <c r="J22" s="221">
        <f>'خطة الإمداد'!F47</f>
        <v>15</v>
      </c>
      <c r="K22" s="261">
        <v>1</v>
      </c>
      <c r="L22" s="203">
        <f t="shared" ref="L22:L27" si="6">I22/K22</f>
        <v>45</v>
      </c>
      <c r="M22" s="263"/>
      <c r="N22" s="263"/>
      <c r="O22" s="263"/>
      <c r="P22" s="263"/>
      <c r="Q22" s="205"/>
      <c r="R22" s="262">
        <v>120</v>
      </c>
      <c r="S22" s="221">
        <f t="shared" si="4"/>
        <v>89</v>
      </c>
      <c r="T22" s="261">
        <f>'خطة الإمداد'!H47</f>
        <v>31</v>
      </c>
      <c r="U22" s="261">
        <v>14</v>
      </c>
      <c r="V22" s="203">
        <f t="shared" ref="V22:V27" si="7">S22/U22</f>
        <v>6.3571428571428568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51</v>
      </c>
      <c r="J23" s="221">
        <f>'خطة الإمداد'!F48</f>
        <v>9</v>
      </c>
      <c r="K23" s="261">
        <v>1</v>
      </c>
      <c r="L23" s="203">
        <f t="shared" si="6"/>
        <v>51</v>
      </c>
      <c r="M23" s="263"/>
      <c r="N23" s="263"/>
      <c r="O23" s="263"/>
      <c r="P23" s="263"/>
      <c r="Q23" s="205"/>
      <c r="R23" s="262">
        <v>120</v>
      </c>
      <c r="S23" s="221">
        <f t="shared" si="4"/>
        <v>103</v>
      </c>
      <c r="T23" s="261">
        <f>'خطة الإمداد'!H48</f>
        <v>17</v>
      </c>
      <c r="U23" s="261">
        <v>7</v>
      </c>
      <c r="V23" s="203">
        <f t="shared" si="7"/>
        <v>14.714285714285714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69</v>
      </c>
      <c r="J24" s="221">
        <f>'خطة الإمداد'!F49</f>
        <v>21</v>
      </c>
      <c r="K24" s="261">
        <v>11</v>
      </c>
      <c r="L24" s="203">
        <f t="shared" si="6"/>
        <v>6.2727272727272725</v>
      </c>
      <c r="M24" s="262">
        <v>30</v>
      </c>
      <c r="N24" s="261">
        <f t="shared" si="3"/>
        <v>20</v>
      </c>
      <c r="O24" s="221">
        <f>'خطة الإمداد'!G49</f>
        <v>10</v>
      </c>
      <c r="P24" s="261">
        <v>1</v>
      </c>
      <c r="Q24" s="203">
        <f>N24/P24</f>
        <v>20</v>
      </c>
      <c r="R24" s="262">
        <v>180</v>
      </c>
      <c r="S24" s="221">
        <f t="shared" si="4"/>
        <v>66</v>
      </c>
      <c r="T24" s="261">
        <f>'خطة الإمداد'!H49</f>
        <v>114</v>
      </c>
      <c r="U24" s="261">
        <v>42</v>
      </c>
      <c r="V24" s="203">
        <f t="shared" si="7"/>
        <v>1.5714285714285714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56</v>
      </c>
      <c r="J25" s="221">
        <f>'خطة الإمداد'!F50</f>
        <v>34</v>
      </c>
      <c r="K25" s="261">
        <v>14</v>
      </c>
      <c r="L25" s="203">
        <f t="shared" si="6"/>
        <v>4</v>
      </c>
      <c r="M25" s="262">
        <v>30</v>
      </c>
      <c r="N25" s="261">
        <f t="shared" si="3"/>
        <v>21</v>
      </c>
      <c r="O25" s="221">
        <f>'خطة الإمداد'!G50</f>
        <v>9</v>
      </c>
      <c r="P25" s="261">
        <v>2</v>
      </c>
      <c r="Q25" s="203">
        <f>N25/P25</f>
        <v>10.5</v>
      </c>
      <c r="R25" s="262">
        <v>180</v>
      </c>
      <c r="S25" s="221">
        <f t="shared" si="4"/>
        <v>89</v>
      </c>
      <c r="T25" s="261">
        <f>'خطة الإمداد'!H50</f>
        <v>91</v>
      </c>
      <c r="U25" s="261">
        <v>35</v>
      </c>
      <c r="V25" s="203">
        <f t="shared" si="7"/>
        <v>2.5428571428571427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66</v>
      </c>
      <c r="J26" s="221">
        <f>'خطة الإمداد'!F51</f>
        <v>24</v>
      </c>
      <c r="K26" s="261">
        <v>6</v>
      </c>
      <c r="L26" s="203">
        <f t="shared" si="6"/>
        <v>11</v>
      </c>
      <c r="M26" s="262">
        <v>30</v>
      </c>
      <c r="N26" s="261">
        <f t="shared" si="3"/>
        <v>25</v>
      </c>
      <c r="O26" s="221">
        <f>'خطة الإمداد'!G51</f>
        <v>5</v>
      </c>
      <c r="P26" s="261">
        <v>1</v>
      </c>
      <c r="Q26" s="203">
        <f>N26/P26</f>
        <v>25</v>
      </c>
      <c r="R26" s="262">
        <v>180</v>
      </c>
      <c r="S26" s="221">
        <f t="shared" si="4"/>
        <v>103</v>
      </c>
      <c r="T26" s="261">
        <f>'خطة الإمداد'!H51</f>
        <v>77</v>
      </c>
      <c r="U26" s="261">
        <v>21</v>
      </c>
      <c r="V26" s="203">
        <f t="shared" si="7"/>
        <v>4.9047619047619051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47</v>
      </c>
      <c r="J27" s="221">
        <f>'خطة الإمداد'!F52</f>
        <v>43</v>
      </c>
      <c r="K27" s="261">
        <v>7</v>
      </c>
      <c r="L27" s="203">
        <f t="shared" si="6"/>
        <v>6.7142857142857144</v>
      </c>
      <c r="M27" s="262">
        <v>30</v>
      </c>
      <c r="N27" s="261">
        <f t="shared" si="3"/>
        <v>11</v>
      </c>
      <c r="O27" s="221">
        <f>'خطة الإمداد'!G52</f>
        <v>19</v>
      </c>
      <c r="P27" s="261">
        <v>1</v>
      </c>
      <c r="Q27" s="203">
        <f>N27/P27</f>
        <v>11</v>
      </c>
      <c r="R27" s="262">
        <v>180</v>
      </c>
      <c r="S27" s="221">
        <f t="shared" si="4"/>
        <v>117</v>
      </c>
      <c r="T27" s="261">
        <f>'خطة الإمداد'!H52</f>
        <v>63</v>
      </c>
      <c r="U27" s="261">
        <v>22</v>
      </c>
      <c r="V27" s="203">
        <f t="shared" si="7"/>
        <v>5.3181818181818183</v>
      </c>
    </row>
    <row r="28" spans="1:23" ht="24.75" customHeight="1" thickBot="1" x14ac:dyDescent="0.25">
      <c r="A28" s="398" t="s">
        <v>34</v>
      </c>
      <c r="B28" s="398"/>
      <c r="C28" s="206">
        <f>SUM(C8:C27)</f>
        <v>150</v>
      </c>
      <c r="D28" s="206">
        <f>SUM(D8:D27)</f>
        <v>93.4</v>
      </c>
      <c r="E28" s="206">
        <f t="shared" ref="E28:V28" si="8">SUM(E8:E27)</f>
        <v>56.6</v>
      </c>
      <c r="F28" s="206">
        <f t="shared" si="8"/>
        <v>21.2</v>
      </c>
      <c r="G28" s="206">
        <f t="shared" si="8"/>
        <v>97.083333333333314</v>
      </c>
      <c r="H28" s="262">
        <f t="shared" si="8"/>
        <v>1740</v>
      </c>
      <c r="I28" s="206">
        <f t="shared" si="8"/>
        <v>1112</v>
      </c>
      <c r="J28" s="206">
        <f t="shared" si="8"/>
        <v>628</v>
      </c>
      <c r="K28" s="206">
        <f t="shared" si="8"/>
        <v>255</v>
      </c>
      <c r="L28" s="207">
        <f t="shared" si="8"/>
        <v>213.51829065327522</v>
      </c>
      <c r="M28" s="262">
        <f t="shared" si="8"/>
        <v>495</v>
      </c>
      <c r="N28" s="206">
        <f t="shared" si="8"/>
        <v>269</v>
      </c>
      <c r="O28" s="206">
        <f t="shared" si="8"/>
        <v>226</v>
      </c>
      <c r="P28" s="206">
        <f t="shared" si="8"/>
        <v>50</v>
      </c>
      <c r="Q28" s="207">
        <f t="shared" si="8"/>
        <v>143.00714285714287</v>
      </c>
      <c r="R28" s="262">
        <f t="shared" si="8"/>
        <v>2220</v>
      </c>
      <c r="S28" s="206">
        <f t="shared" si="8"/>
        <v>1447</v>
      </c>
      <c r="T28" s="206">
        <f t="shared" si="8"/>
        <v>773</v>
      </c>
      <c r="U28" s="206">
        <f t="shared" si="8"/>
        <v>289</v>
      </c>
      <c r="V28" s="207">
        <f t="shared" si="8"/>
        <v>151.50711328145539</v>
      </c>
    </row>
    <row r="29" spans="1:23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3" ht="20.100000000000001" customHeight="1" thickBot="1" x14ac:dyDescent="0.25">
      <c r="A30" s="385" t="s">
        <v>36</v>
      </c>
      <c r="B30" s="385"/>
      <c r="C30" s="389">
        <f>D28+I28+N28+S28</f>
        <v>2921.4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3" ht="20.100000000000001" customHeight="1" thickBot="1" x14ac:dyDescent="0.25">
      <c r="A31" s="385" t="s">
        <v>37</v>
      </c>
      <c r="B31" s="385"/>
      <c r="C31" s="389">
        <f>E28+J28+O28+T28</f>
        <v>1683.6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3" ht="20.100000000000001" customHeight="1" thickBot="1" x14ac:dyDescent="0.25">
      <c r="A32" s="385" t="s">
        <v>38</v>
      </c>
      <c r="B32" s="385"/>
      <c r="C32" s="392">
        <f>C30/C29</f>
        <v>0.63439739413680785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08" t="s">
        <v>94</v>
      </c>
      <c r="R5" s="408"/>
      <c r="S5" s="408"/>
      <c r="T5" s="408"/>
      <c r="U5" s="408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8</v>
      </c>
      <c r="E8" s="10">
        <f>'التمام الصباحي'!N8</f>
        <v>3.28</v>
      </c>
      <c r="F8" s="72">
        <f>'التمام الصباحي'!Q8</f>
        <v>6</v>
      </c>
      <c r="G8" s="10">
        <f>'التمام الصباحي'!T8</f>
        <v>3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2</v>
      </c>
      <c r="C9" s="9">
        <f>'التمام الصباحي'!H11</f>
        <v>5.6</v>
      </c>
      <c r="D9" s="72">
        <f>'التمام الصباحي'!K11</f>
        <v>10</v>
      </c>
      <c r="E9" s="10">
        <f>'التمام الصباحي'!N11</f>
        <v>2</v>
      </c>
      <c r="F9" s="72">
        <f>'التمام الصباحي'!Q11</f>
        <v>14</v>
      </c>
      <c r="G9" s="10">
        <f>'التمام الصباحي'!T11</f>
        <v>2</v>
      </c>
      <c r="H9" s="5">
        <f>'التمام الصباحي'!W11</f>
        <v>30</v>
      </c>
      <c r="I9" s="10">
        <f>'التمام الصباحي'!Z11</f>
        <v>25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17</v>
      </c>
      <c r="P9" s="81"/>
      <c r="Q9" s="86" t="s">
        <v>16</v>
      </c>
      <c r="R9" s="87">
        <f t="shared" si="0"/>
        <v>0</v>
      </c>
      <c r="S9" s="538">
        <f>IF((ROUNDDOWN((SUM(M9:M10)/51)-(R9+R10),0.9))&lt;0,0,(ROUNDDOWN((SUM(M9:M10)/51)-(R9+R10),0.9)))</f>
        <v>0</v>
      </c>
      <c r="T9" s="538">
        <f>IF((ROUNDDOWN((SUM(O9:O10)/51)-(R9+R10),0.9))&lt;0,0,(ROUNDDOWN((SUM(O9:O10)/51)-(R9+R10),0.9)))</f>
        <v>0</v>
      </c>
      <c r="U9" s="538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10</v>
      </c>
      <c r="E10" s="10">
        <f>'التمام الصباحي'!N12</f>
        <v>1.9047619047619047</v>
      </c>
      <c r="F10" s="72">
        <f>'التمام الصباحي'!Q12</f>
        <v>12</v>
      </c>
      <c r="G10" s="10">
        <f>'التمام الصباحي'!T12</f>
        <v>1.5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39"/>
      <c r="T10" s="539"/>
      <c r="U10" s="539"/>
    </row>
    <row r="11" spans="1:21" ht="17.25" thickTop="1" thickBot="1" x14ac:dyDescent="0.3">
      <c r="A11" s="77" t="s">
        <v>18</v>
      </c>
      <c r="B11" s="5">
        <f>'التمام الصباحي'!E13</f>
        <v>15</v>
      </c>
      <c r="C11" s="9">
        <f>'التمام الصباحي'!H13</f>
        <v>3.75</v>
      </c>
      <c r="D11" s="72">
        <f>'التمام الصباحي'!K13</f>
        <v>23</v>
      </c>
      <c r="E11" s="10">
        <f>'التمام الصباحي'!N13</f>
        <v>2.4814814814814814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10</v>
      </c>
      <c r="I11" s="10">
        <f>'التمام الصباحي'!Z13</f>
        <v>21.25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34">
        <f>IF((ROUNDDOWN((SUM(M11:M12)/51)-(R11+R12),0.9))&lt;0,0,(ROUNDDOWN((SUM(M11:M12)/51)-(R11+R12),0.9)))</f>
        <v>0</v>
      </c>
      <c r="T11" s="534">
        <f t="shared" ref="T11" si="5">IF((ROUNDDOWN((SUM(O11:O12)/51)-(R11+R12),0.9))&lt;0,0,(ROUNDDOWN((SUM(O11:O12)/51)-(R11+R12),0.9)))</f>
        <v>0</v>
      </c>
      <c r="U11" s="53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10</v>
      </c>
      <c r="C12" s="9">
        <f>'التمام الصباحي'!H14</f>
        <v>2.8571428571428572</v>
      </c>
      <c r="D12" s="72">
        <f>'التمام الصباحي'!K14</f>
        <v>16</v>
      </c>
      <c r="E12" s="10">
        <f>'التمام الصباحي'!N14</f>
        <v>3.3636363636363638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18</v>
      </c>
      <c r="I12" s="10">
        <f>'التمام الصباحي'!Z14</f>
        <v>8.1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34"/>
      <c r="T12" s="534"/>
      <c r="U12" s="53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10</v>
      </c>
      <c r="E13" s="10">
        <f>'التمام الصباحي'!N15</f>
        <v>3.2692307692307692</v>
      </c>
      <c r="F13" s="72">
        <f>'التمام الصباحي'!Q15</f>
        <v>4</v>
      </c>
      <c r="G13" s="10">
        <f>'التمام الصباحي'!T15</f>
        <v>3.7333333333333334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38">
        <f>IF((ROUNDDOWN((SUM(M13:M14)/51)-(R13+R14),0.9))&lt;0,0,(ROUNDDOWN((SUM(M13:M14)/51)-(R13+R14),0.9)))</f>
        <v>0</v>
      </c>
      <c r="T13" s="538">
        <f t="shared" ref="T13" si="7">IF((ROUNDDOWN((SUM(O13:O14)/51)-(R13+R14),0.9))&lt;0,0,(ROUNDDOWN((SUM(O13:O14)/51)-(R13+R14),0.9)))</f>
        <v>0</v>
      </c>
      <c r="U13" s="538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8</v>
      </c>
      <c r="E14" s="10">
        <f>'التمام الصباحي'!N16</f>
        <v>4.9142857142857146</v>
      </c>
      <c r="F14" s="72">
        <f>'التمام الصباحي'!Q16</f>
        <v>10</v>
      </c>
      <c r="G14" s="10">
        <f>'التمام الصباحي'!T16</f>
        <v>3.1818181818181817</v>
      </c>
      <c r="H14" s="5">
        <f>'التمام الصباحي'!W16</f>
        <v>55</v>
      </c>
      <c r="I14" s="10">
        <f>'التمام الصباحي'!Z16</f>
        <v>2.6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51</v>
      </c>
      <c r="P14" s="81"/>
      <c r="Q14" s="89" t="s">
        <v>21</v>
      </c>
      <c r="R14" s="90">
        <f t="shared" si="0"/>
        <v>1</v>
      </c>
      <c r="S14" s="539"/>
      <c r="T14" s="539"/>
      <c r="U14" s="539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17</v>
      </c>
      <c r="E15" s="10">
        <f>'التمام الصباحي'!N17</f>
        <v>6.083333333333333</v>
      </c>
      <c r="F15" s="72">
        <f>'التمام الصباحي'!Q17</f>
        <v>13</v>
      </c>
      <c r="G15" s="10">
        <f>'التمام الصباحي'!T17</f>
        <v>2.8333333333333335</v>
      </c>
      <c r="H15" s="5">
        <f>'التمام الصباحي'!W17</f>
        <v>45</v>
      </c>
      <c r="I15" s="10">
        <f>'التمام الصباحي'!Z17</f>
        <v>4.354838709677419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4</v>
      </c>
      <c r="E16" s="10">
        <f>'التمام الصباحي'!N18</f>
        <v>7.166666666666667</v>
      </c>
      <c r="F16" s="72">
        <f>'التمام الصباحي'!Q18</f>
        <v>12</v>
      </c>
      <c r="G16" s="10">
        <f>'التمام الصباحي'!T18</f>
        <v>4.5</v>
      </c>
      <c r="H16" s="5">
        <f>'التمام الصباحي'!W18</f>
        <v>10</v>
      </c>
      <c r="I16" s="10">
        <f>'التمام الصباحي'!Z18</f>
        <v>10</v>
      </c>
      <c r="K16" s="85" t="s">
        <v>23</v>
      </c>
      <c r="L16" s="80"/>
      <c r="M16" s="41">
        <f t="shared" si="1"/>
        <v>0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6">
        <f>IF((ROUNDDOWN((SUM(M16:M17)/51)-(R16+R17),0.9))&lt;0,0,(ROUNDDOWN((SUM(M16:M17)/51)-(R16+R17),0.9)))</f>
        <v>0</v>
      </c>
      <c r="T16" s="536">
        <f>IF((ROUNDDOWN((SUM(O16:O17)/51)-(R16+R17),0.9))&lt;0,0,(ROUNDDOWN((SUM(O16:O17)/51)-(R16+R17),0.9)))</f>
        <v>0</v>
      </c>
      <c r="U16" s="536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19</v>
      </c>
      <c r="E17" s="10">
        <f>'التمام الصباحي'!N19</f>
        <v>8.1999999999999993</v>
      </c>
      <c r="F17" s="72">
        <f>'التمام الصباحي'!Q19</f>
        <v>5</v>
      </c>
      <c r="G17" s="10">
        <f>'التمام الصباحي'!T19</f>
        <v>12.5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7"/>
      <c r="T17" s="537"/>
      <c r="U17" s="537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16</v>
      </c>
      <c r="E18" s="10">
        <f>'التمام الصباحي'!N20</f>
        <v>18.5</v>
      </c>
      <c r="F18" s="72">
        <f>'التمام الصباحي'!Q20</f>
        <v>6</v>
      </c>
      <c r="G18" s="10">
        <f>'التمام الصباحي'!T20</f>
        <v>12</v>
      </c>
      <c r="H18" s="5">
        <f>'التمام الصباحي'!W20</f>
        <v>32</v>
      </c>
      <c r="I18" s="10">
        <f>'التمام الصباحي'!Z20</f>
        <v>21.142857142857142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26</v>
      </c>
      <c r="E19" s="10">
        <f>'التمام الصباحي'!N21</f>
        <v>1.8823529411764706</v>
      </c>
      <c r="F19" s="72">
        <f>'التمام الصباحي'!Q21</f>
        <v>6</v>
      </c>
      <c r="G19" s="10">
        <f>'التمام الصباحي'!T21</f>
        <v>1.8461538461538463</v>
      </c>
      <c r="H19" s="5">
        <f>'التمام الصباحي'!W21</f>
        <v>56</v>
      </c>
      <c r="I19" s="10">
        <f>'التمام الصباحي'!Z21</f>
        <v>5.6363636363636367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51</v>
      </c>
      <c r="P19" s="81"/>
      <c r="Q19" s="86" t="s">
        <v>25</v>
      </c>
      <c r="R19" s="87">
        <f t="shared" si="0"/>
        <v>1</v>
      </c>
      <c r="S19" s="538">
        <f>IF((ROUNDDOWN((SUM(M19:M20)/51)-(R19+R20),0.9))&lt;0,0,(ROUNDDOWN((SUM(M19:M20)/51)-(R19+R20),0.9)))</f>
        <v>0</v>
      </c>
      <c r="T19" s="538">
        <f>IF((ROUNDDOWN((SUM(O19:O20)/51)-(R19+R20),0.9))&lt;0,0,(ROUNDDOWN((SUM(O19:O20)/51)-(R19+R20),0.9)))</f>
        <v>0</v>
      </c>
      <c r="U19" s="538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12</v>
      </c>
      <c r="E20" s="10">
        <f>'التمام الصباحي'!N22</f>
        <v>9.75</v>
      </c>
      <c r="F20" s="72">
        <f>'التمام الصباحي'!Q22</f>
        <v>12</v>
      </c>
      <c r="G20" s="10">
        <f>'التمام الصباحي'!T22</f>
        <v>9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39"/>
      <c r="T20" s="539"/>
      <c r="U20" s="539"/>
    </row>
    <row r="21" spans="1:21" ht="17.25" thickTop="1" thickBot="1" x14ac:dyDescent="0.3">
      <c r="A21" s="77" t="s">
        <v>28</v>
      </c>
      <c r="B21" s="5">
        <f>'التمام الصباحي'!E23</f>
        <v>13</v>
      </c>
      <c r="C21" s="9">
        <f>'التمام الصباحي'!H23</f>
        <v>28.333333333333336</v>
      </c>
      <c r="D21" s="72">
        <f>'التمام الصباحي'!K23</f>
        <v>12</v>
      </c>
      <c r="E21" s="10">
        <f>'التمام الصباحي'!N23</f>
        <v>16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24</v>
      </c>
      <c r="I21" s="10">
        <f>'التمام الصباحي'!Z23</f>
        <v>13.714285714285714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34">
        <f>IF((ROUNDDOWN((SUM(M21:M22)/51)-(R21+R22),0.9))&lt;0,0,(ROUNDDOWN((SUM(M21:M22)/51)-(R21+R22),0.9)))</f>
        <v>0</v>
      </c>
      <c r="T21" s="536">
        <f>IF((ROUNDDOWN((SUM(O21:O22)/51)-(R21+R22),0.9))&lt;0,0,(ROUNDDOWN((SUM(O21:O22)/51)-(R21+R22),0.9)))</f>
        <v>0</v>
      </c>
      <c r="U21" s="536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3</v>
      </c>
      <c r="E22" s="10">
        <f>'التمام الصباحي'!N24</f>
        <v>9.5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12</v>
      </c>
      <c r="I22" s="10">
        <f>'التمام الصباحي'!Z24</f>
        <v>21.6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34"/>
      <c r="T22" s="537"/>
      <c r="U22" s="537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6</v>
      </c>
      <c r="E23" s="10">
        <f>'التمام الصباحي'!N25</f>
        <v>5.6</v>
      </c>
      <c r="F23" s="72">
        <f>'التمام الصباحي'!Q25</f>
        <v>7</v>
      </c>
      <c r="G23" s="10">
        <f>'التمام الصباحي'!T25</f>
        <v>7.666666666666667</v>
      </c>
      <c r="H23" s="5">
        <f>'التمام الصباحي'!W25</f>
        <v>71</v>
      </c>
      <c r="I23" s="10">
        <f>'التمام الصباحي'!Z25</f>
        <v>2.5348837209302326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1</v>
      </c>
      <c r="S23" s="538">
        <f>IF((ROUNDDOWN((SUM(M23:M24)/51)-(R23+R24),0.9))&lt;0,0,(ROUNDDOWN((SUM(M23:M24)/51)-(R23+R24),0.9)))</f>
        <v>0</v>
      </c>
      <c r="T23" s="538">
        <f>IF((ROUNDDOWN((SUM(O23:O24)/51)-(R23+R24),0.9))&lt;0,0,(ROUNDDOWN((SUM(O23:O24)/51)-(R23+R24),0.9)))</f>
        <v>0</v>
      </c>
      <c r="U23" s="538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17</v>
      </c>
      <c r="E24" s="10">
        <f>'التمام الصباحي'!N26</f>
        <v>4.2941176470588234</v>
      </c>
      <c r="F24" s="72">
        <f>'التمام الصباحي'!Q26</f>
        <v>5</v>
      </c>
      <c r="G24" s="10">
        <f>'التمام الصباحي'!T26</f>
        <v>6.25</v>
      </c>
      <c r="H24" s="5">
        <f>'التمام الصباحي'!W26</f>
        <v>51</v>
      </c>
      <c r="I24" s="10">
        <f>'التمام الصباحي'!Z26</f>
        <v>3.2250000000000001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39"/>
      <c r="T24" s="539"/>
      <c r="U24" s="539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12</v>
      </c>
      <c r="E25" s="10">
        <f>'التمام الصباحي'!N27</f>
        <v>6.5</v>
      </c>
      <c r="F25" s="72">
        <f>'التمام الصباحي'!Q27</f>
        <v>3</v>
      </c>
      <c r="G25" s="10">
        <f>'التمام الصباحي'!T27</f>
        <v>13.5</v>
      </c>
      <c r="H25" s="5">
        <f>'التمام الصباحي'!W27</f>
        <v>55</v>
      </c>
      <c r="I25" s="10">
        <f>'التمام الصباحي'!Z27</f>
        <v>5.6818181818181817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51</v>
      </c>
      <c r="P25" s="81"/>
      <c r="Q25" s="92" t="s">
        <v>32</v>
      </c>
      <c r="R25" s="93">
        <f t="shared" si="0"/>
        <v>1</v>
      </c>
      <c r="S25" s="534">
        <f>IF((ROUNDDOWN((SUM(M25:M26)/51)-(R25+R26),0.9))&lt;0,0,(ROUNDDOWN((SUM(M25:M26)/51)-(R25+R26),0.9)))</f>
        <v>0</v>
      </c>
      <c r="T25" s="534">
        <f>IF((ROUNDDOWN((SUM(O25:O26)/51)-(R25+R26),0.9))&lt;0,0,(ROUNDDOWN((SUM(O25:O26)/51)-(R25+R26),0.9)))</f>
        <v>0</v>
      </c>
      <c r="U25" s="53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34</v>
      </c>
      <c r="E26" s="10">
        <f>'التمام الصباحي'!N28</f>
        <v>6.2222222222222223</v>
      </c>
      <c r="F26" s="72">
        <f>'التمام الصباحي'!Q28</f>
        <v>17</v>
      </c>
      <c r="G26" s="10">
        <f>'التمام الصباحي'!T28</f>
        <v>6.5</v>
      </c>
      <c r="H26" s="5">
        <f>'التمام الصباحي'!W28</f>
        <v>44</v>
      </c>
      <c r="I26" s="10">
        <f>'التمام الصباحي'!Z28</f>
        <v>7.1578947368421053</v>
      </c>
      <c r="K26" s="77" t="s">
        <v>33</v>
      </c>
      <c r="L26" s="80"/>
      <c r="M26" s="41">
        <f t="shared" si="1"/>
        <v>34</v>
      </c>
      <c r="N26" s="41">
        <f t="shared" si="2"/>
        <v>17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535"/>
      <c r="T26" s="535"/>
      <c r="U26" s="535"/>
    </row>
    <row r="29" spans="1:21" ht="15.75" x14ac:dyDescent="0.2">
      <c r="K29" s="159" t="s">
        <v>117</v>
      </c>
      <c r="M29">
        <f>SUM(L8:O26)</f>
        <v>544</v>
      </c>
      <c r="U29" s="138">
        <f>SUM(R8:U26)</f>
        <v>7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8" t="s">
        <v>123</v>
      </c>
      <c r="C3" s="548"/>
      <c r="D3" s="548"/>
      <c r="F3" s="548" t="s">
        <v>124</v>
      </c>
      <c r="G3" s="548"/>
      <c r="H3" s="548"/>
      <c r="J3" s="426" t="s">
        <v>125</v>
      </c>
      <c r="K3" s="426"/>
      <c r="M3" s="426" t="s">
        <v>127</v>
      </c>
      <c r="N3" s="426"/>
      <c r="P3" s="426" t="s">
        <v>126</v>
      </c>
      <c r="Q3" s="426"/>
    </row>
    <row r="4" spans="2:20" ht="15.75" thickBot="1" x14ac:dyDescent="0.25">
      <c r="B4" s="501" t="s">
        <v>3</v>
      </c>
      <c r="C4" s="418" t="s">
        <v>84</v>
      </c>
      <c r="D4" s="418" t="s">
        <v>88</v>
      </c>
      <c r="F4" s="501" t="s">
        <v>3</v>
      </c>
      <c r="G4" s="418" t="s">
        <v>84</v>
      </c>
      <c r="H4" s="418" t="s">
        <v>88</v>
      </c>
      <c r="J4" s="501" t="s">
        <v>3</v>
      </c>
      <c r="K4" s="418" t="s">
        <v>85</v>
      </c>
      <c r="L4" s="560"/>
      <c r="M4" s="501" t="s">
        <v>3</v>
      </c>
      <c r="N4" s="418" t="s">
        <v>109</v>
      </c>
      <c r="P4" s="501" t="s">
        <v>3</v>
      </c>
      <c r="Q4" s="418" t="s">
        <v>90</v>
      </c>
    </row>
    <row r="5" spans="2:20" ht="15.75" thickBot="1" x14ac:dyDescent="0.25">
      <c r="B5" s="503"/>
      <c r="C5" s="418"/>
      <c r="D5" s="418"/>
      <c r="F5" s="503"/>
      <c r="G5" s="418"/>
      <c r="H5" s="418"/>
      <c r="J5" s="503"/>
      <c r="K5" s="418"/>
      <c r="L5" s="560"/>
      <c r="M5" s="503"/>
      <c r="N5" s="418"/>
      <c r="P5" s="503"/>
      <c r="Q5" s="418"/>
    </row>
    <row r="6" spans="2:20" ht="16.5" thickBot="1" x14ac:dyDescent="0.25">
      <c r="B6" s="165" t="s">
        <v>120</v>
      </c>
      <c r="C6" s="543">
        <f>IF(G20&gt;H20,$C$21*2*$K$21,IF(G20=H20,$C$21*2*$K$21,0))</f>
        <v>0</v>
      </c>
      <c r="D6" s="543">
        <f>IF(G20&gt;H20,$D$21*2*$L$21,IF(G20=H20,$D$21*2*$L$21,0))</f>
        <v>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216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64</v>
      </c>
      <c r="D9" s="543">
        <f>IF(G20&gt;H20,$D$24*2*$L$18,IF(G20=H20,$D$24*2*$L$18,0))</f>
        <v>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304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0</v>
      </c>
      <c r="D11" s="543">
        <f>IF(G20&gt;H20,$D$26*2*$L$19,IF(G20=H20,$D$26*2*$L$19,0))</f>
        <v>0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49" t="s">
        <v>154</v>
      </c>
      <c r="K12" s="182">
        <f>K6+K7+K9</f>
        <v>0</v>
      </c>
      <c r="M12" s="549" t="s">
        <v>154</v>
      </c>
      <c r="N12" s="182">
        <f>SUM(N6:N10)</f>
        <v>304</v>
      </c>
      <c r="P12" s="549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156</v>
      </c>
      <c r="D13" s="543">
        <f>IF(G20&gt;H20,$D$28*2*$L$20,IF(G20=H20,$D$28*2*$L$20,0))</f>
        <v>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49"/>
      <c r="K13" s="182"/>
      <c r="M13" s="549"/>
      <c r="N13" s="182"/>
      <c r="P13" s="549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220</v>
      </c>
      <c r="H16" s="166">
        <f>SUM(G6:H14)</f>
        <v>0</v>
      </c>
      <c r="J16" s="556" t="s">
        <v>130</v>
      </c>
      <c r="K16" s="550" t="s">
        <v>131</v>
      </c>
      <c r="L16" s="550"/>
      <c r="M16" s="550"/>
      <c r="N16" s="550" t="s">
        <v>85</v>
      </c>
      <c r="O16" s="550" t="s">
        <v>132</v>
      </c>
      <c r="P16" s="550" t="s">
        <v>86</v>
      </c>
      <c r="Q16" s="550" t="s">
        <v>119</v>
      </c>
      <c r="R16" s="546" t="s">
        <v>133</v>
      </c>
      <c r="S16" s="546" t="s">
        <v>134</v>
      </c>
      <c r="T16" s="546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1"/>
      <c r="O17" s="551"/>
      <c r="P17" s="551"/>
      <c r="Q17" s="551"/>
      <c r="R17" s="547"/>
      <c r="S17" s="547"/>
      <c r="T17" s="547"/>
    </row>
    <row r="18" spans="2:20" ht="16.5" thickBot="1" x14ac:dyDescent="0.25">
      <c r="B18" s="548" t="s">
        <v>129</v>
      </c>
      <c r="C18" s="548"/>
      <c r="D18" s="548"/>
      <c r="F18" s="548"/>
      <c r="G18" s="548"/>
      <c r="H18" s="548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7" t="s">
        <v>84</v>
      </c>
      <c r="D19" s="50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7"/>
      <c r="D20" s="50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0</v>
      </c>
      <c r="D21" s="543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2</v>
      </c>
      <c r="D24" s="543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0</v>
      </c>
      <c r="D26" s="543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2</v>
      </c>
      <c r="D28" s="543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4" t="s">
        <v>85</v>
      </c>
      <c r="C30" s="505"/>
      <c r="D30" s="50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2">
        <f>ROUNDDOWN(SUM(المستودعات!O6:Q7)/51,0.9)</f>
        <v>0</v>
      </c>
      <c r="D32" s="553"/>
    </row>
    <row r="33" spans="2:4" ht="16.5" thickBot="1" x14ac:dyDescent="0.25">
      <c r="B33" s="165" t="s">
        <v>24</v>
      </c>
      <c r="C33" s="554"/>
      <c r="D33" s="555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4" t="s">
        <v>128</v>
      </c>
      <c r="C35" s="505"/>
      <c r="D35" s="506"/>
    </row>
    <row r="36" spans="2:4" ht="16.5" thickBot="1" x14ac:dyDescent="0.25">
      <c r="B36" s="165" t="s">
        <v>25</v>
      </c>
      <c r="C36" s="552">
        <f>ROUNDDOWN(SUM(المستودعات!J23:K24)/51,0.9)</f>
        <v>0</v>
      </c>
      <c r="D36" s="553"/>
    </row>
    <row r="37" spans="2:4" ht="16.5" thickBot="1" x14ac:dyDescent="0.25">
      <c r="B37" s="165" t="s">
        <v>27</v>
      </c>
      <c r="C37" s="554"/>
      <c r="D37" s="555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2">
        <f>ROUNDDOWN(SUM(المستودعات!C28:I29)/51,0.9)</f>
        <v>1</v>
      </c>
      <c r="D39" s="553"/>
    </row>
    <row r="40" spans="2:4" ht="16.5" thickBot="1" x14ac:dyDescent="0.25">
      <c r="B40" s="165" t="s">
        <v>29</v>
      </c>
      <c r="C40" s="554"/>
      <c r="D40" s="555"/>
    </row>
    <row r="41" spans="2:4" ht="21.75" customHeight="1" thickBot="1" x14ac:dyDescent="0.25">
      <c r="B41" s="504" t="s">
        <v>90</v>
      </c>
      <c r="C41" s="505"/>
      <c r="D41" s="506"/>
    </row>
    <row r="42" spans="2:4" ht="16.5" thickBot="1" x14ac:dyDescent="0.25">
      <c r="B42" s="165" t="s">
        <v>30</v>
      </c>
      <c r="C42" s="552">
        <f>ROUNDDOWN(SUM(المستودعات!Q15:Q16)/51,0.9)</f>
        <v>2</v>
      </c>
      <c r="D42" s="553"/>
    </row>
    <row r="43" spans="2:4" ht="16.5" thickBot="1" x14ac:dyDescent="0.25">
      <c r="B43" s="165" t="s">
        <v>31</v>
      </c>
      <c r="C43" s="554"/>
      <c r="D43" s="555"/>
    </row>
    <row r="44" spans="2:4" ht="16.5" thickBot="1" x14ac:dyDescent="0.25">
      <c r="B44" s="165" t="s">
        <v>32</v>
      </c>
      <c r="C44" s="552">
        <f>ROUNDDOWN(SUM(المستودعات!Q17:Q18)/51,0.9)</f>
        <v>0</v>
      </c>
      <c r="D44" s="553"/>
    </row>
    <row r="45" spans="2:4" ht="16.5" thickBot="1" x14ac:dyDescent="0.25">
      <c r="B45" s="165" t="s">
        <v>33</v>
      </c>
      <c r="C45" s="554"/>
      <c r="D45" s="555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399" t="s">
        <v>104</v>
      </c>
      <c r="C4" s="399"/>
      <c r="D4" s="450"/>
      <c r="E4" s="562" t="s">
        <v>84</v>
      </c>
      <c r="F4" s="563"/>
      <c r="G4" s="563"/>
      <c r="H4" s="407"/>
    </row>
    <row r="5" spans="1:15" ht="15.75" thickBot="1" x14ac:dyDescent="0.25">
      <c r="A5" s="449"/>
      <c r="B5" s="406" t="s">
        <v>81</v>
      </c>
      <c r="C5" s="563"/>
      <c r="D5" s="564"/>
      <c r="E5" s="112" t="s">
        <v>81</v>
      </c>
      <c r="F5" s="406" t="s">
        <v>87</v>
      </c>
      <c r="G5" s="563"/>
      <c r="H5" s="407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17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34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916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673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1433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1225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85</v>
      </c>
      <c r="C4" s="563"/>
      <c r="D4" s="563"/>
      <c r="E4" s="563"/>
      <c r="F4" s="563"/>
      <c r="G4" s="563"/>
      <c r="H4" s="407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40"/>
      <c r="E5" s="571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0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91</v>
      </c>
      <c r="C4" s="563"/>
      <c r="D4" s="563"/>
      <c r="E4" s="563"/>
      <c r="F4" s="563"/>
      <c r="G4" s="563"/>
      <c r="H4" s="563"/>
      <c r="I4" s="407"/>
    </row>
    <row r="5" spans="1:15" ht="15.75" thickBot="1" x14ac:dyDescent="0.25">
      <c r="A5" s="449"/>
      <c r="B5" s="542" t="s">
        <v>81</v>
      </c>
      <c r="C5" s="542"/>
      <c r="D5" s="558"/>
      <c r="E5" s="575" t="s">
        <v>83</v>
      </c>
      <c r="F5" s="576"/>
      <c r="G5" s="559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1" t="s">
        <v>0</v>
      </c>
      <c r="B1" s="411"/>
      <c r="C1" s="411"/>
      <c r="D1" s="411"/>
      <c r="E1" s="411"/>
      <c r="Q1" s="409"/>
      <c r="R1" s="409"/>
    </row>
    <row r="2" spans="1:18" ht="15.75" x14ac:dyDescent="0.25">
      <c r="A2" s="411" t="s">
        <v>1</v>
      </c>
      <c r="B2" s="411"/>
      <c r="C2" s="411"/>
      <c r="D2" s="411"/>
      <c r="E2" s="411"/>
    </row>
    <row r="3" spans="1:18" ht="15.75" x14ac:dyDescent="0.25">
      <c r="A3" s="411" t="s">
        <v>2</v>
      </c>
      <c r="B3" s="411"/>
      <c r="C3" s="411"/>
      <c r="D3" s="411"/>
      <c r="E3" s="411"/>
    </row>
    <row r="4" spans="1:18" ht="48.75" customHeight="1" thickBot="1" x14ac:dyDescent="0.3">
      <c r="F4" s="408" t="s">
        <v>194</v>
      </c>
      <c r="G4" s="408"/>
      <c r="H4" s="408"/>
      <c r="I4" s="408"/>
      <c r="J4" s="408"/>
      <c r="K4" s="408"/>
      <c r="L4" s="408"/>
      <c r="M4" s="408"/>
      <c r="P4" s="408" t="s">
        <v>51</v>
      </c>
      <c r="Q4" s="408"/>
      <c r="R4" s="30"/>
    </row>
    <row r="5" spans="1:18" ht="20.100000000000001" customHeight="1" thickBot="1" x14ac:dyDescent="0.25">
      <c r="A5" s="418" t="s">
        <v>14</v>
      </c>
      <c r="B5" s="418" t="s">
        <v>3</v>
      </c>
      <c r="C5" s="399" t="s">
        <v>5</v>
      </c>
      <c r="D5" s="399"/>
      <c r="E5" s="399"/>
      <c r="F5" s="399" t="s">
        <v>11</v>
      </c>
      <c r="G5" s="399"/>
      <c r="H5" s="399"/>
      <c r="I5" s="399" t="s">
        <v>12</v>
      </c>
      <c r="J5" s="399"/>
      <c r="K5" s="399"/>
      <c r="L5" s="399" t="s">
        <v>50</v>
      </c>
      <c r="M5" s="399"/>
      <c r="N5" s="399"/>
      <c r="O5" s="406" t="s">
        <v>45</v>
      </c>
      <c r="P5" s="407"/>
      <c r="Q5" s="415" t="s">
        <v>49</v>
      </c>
    </row>
    <row r="6" spans="1:18" ht="20.100000000000001" customHeight="1" thickBot="1" x14ac:dyDescent="0.25">
      <c r="A6" s="418"/>
      <c r="B6" s="41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22299</v>
      </c>
      <c r="G7" s="2">
        <f>F7*6.75</f>
        <v>150518.25</v>
      </c>
      <c r="H7" s="2">
        <f>F7*0.33</f>
        <v>7358.67</v>
      </c>
      <c r="I7" s="2">
        <f>'أخذ التمام الصباحي'!K5</f>
        <v>6553</v>
      </c>
      <c r="J7" s="2">
        <f>I7*7.75</f>
        <v>50785.75</v>
      </c>
      <c r="K7" s="2">
        <f>I7*0.45</f>
        <v>2948.85</v>
      </c>
      <c r="L7" s="6"/>
      <c r="M7" s="6"/>
      <c r="N7" s="6"/>
      <c r="O7" s="7">
        <f>SUM(D7,G7,J7,M7)/100</f>
        <v>2013.04</v>
      </c>
      <c r="P7" s="10">
        <f>'أخذ التمام الصباحي'!Q5</f>
        <v>2150</v>
      </c>
      <c r="Q7" s="7">
        <f t="shared" ref="Q7:Q27" si="0">P7-O7</f>
        <v>136.96000000000004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32443</v>
      </c>
      <c r="G8" s="287">
        <f>F8*6.75</f>
        <v>218990.25</v>
      </c>
      <c r="H8" s="287">
        <f>F8*0.33</f>
        <v>10706.19</v>
      </c>
      <c r="I8" s="287">
        <f>'أخذ التمام الصباحي'!K6</f>
        <v>8979</v>
      </c>
      <c r="J8" s="287">
        <f>I8*7.75</f>
        <v>69587.25</v>
      </c>
      <c r="K8" s="287">
        <f>I8*0.45</f>
        <v>4040.55</v>
      </c>
      <c r="L8" s="6"/>
      <c r="M8" s="6"/>
      <c r="N8" s="6"/>
      <c r="O8" s="7">
        <f>SUM(D8,G8,J8,M8)/100</f>
        <v>2885.7750000000001</v>
      </c>
      <c r="P8" s="10">
        <f>'أخذ التمام الصباحي'!Q6</f>
        <v>2720</v>
      </c>
      <c r="Q8" s="7">
        <f t="shared" si="0"/>
        <v>-165.77500000000009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40816</v>
      </c>
      <c r="D9" s="5">
        <f t="shared" ref="D9" si="1">C9*5.5</f>
        <v>224488</v>
      </c>
      <c r="E9" s="5">
        <f>C9*0.25</f>
        <v>10204</v>
      </c>
      <c r="F9" s="292">
        <f>'أخذ التمام الصباحي'!H7</f>
        <v>21247</v>
      </c>
      <c r="G9" s="292">
        <f t="shared" ref="G9:G27" si="2">F9*6.75</f>
        <v>143417.25</v>
      </c>
      <c r="H9" s="292">
        <f t="shared" ref="H9:H27" si="3">F9*0.33</f>
        <v>7011.51</v>
      </c>
      <c r="I9" s="292">
        <f>'أخذ التمام الصباحي'!K7</f>
        <v>3641</v>
      </c>
      <c r="J9" s="292">
        <f t="shared" ref="J9:J27" si="4">I9*7.75</f>
        <v>28217.75</v>
      </c>
      <c r="K9" s="292">
        <f t="shared" ref="K9:K27" si="5">I9*0.45</f>
        <v>1638.45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3961.23</v>
      </c>
      <c r="P9" s="10">
        <f>'أخذ التمام الصباحي'!Q7</f>
        <v>3790</v>
      </c>
      <c r="Q9" s="7">
        <f t="shared" si="0"/>
        <v>-171.23000000000002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2753</v>
      </c>
      <c r="D10" s="5">
        <f t="shared" ref="D10:D22" si="7">C10*5.5</f>
        <v>15141.5</v>
      </c>
      <c r="E10" s="5">
        <f>C10*0.25</f>
        <v>688.25</v>
      </c>
      <c r="F10" s="292">
        <f>'أخذ التمام الصباحي'!H8</f>
        <v>19407</v>
      </c>
      <c r="G10" s="292">
        <f t="shared" si="2"/>
        <v>130997.25</v>
      </c>
      <c r="H10" s="292">
        <f t="shared" si="3"/>
        <v>6404.31</v>
      </c>
      <c r="I10" s="292">
        <f>'أخذ التمام الصباحي'!K8</f>
        <v>5923</v>
      </c>
      <c r="J10" s="292">
        <f t="shared" si="4"/>
        <v>45903.25</v>
      </c>
      <c r="K10" s="292">
        <f t="shared" si="5"/>
        <v>2665.35</v>
      </c>
      <c r="L10" s="2">
        <f>'أخذ التمام الصباحي'!N8</f>
        <v>4036</v>
      </c>
      <c r="M10" s="2">
        <f t="shared" ref="M10:M27" si="8">L10*5.5</f>
        <v>22198</v>
      </c>
      <c r="N10" s="2">
        <f>L10*0.26</f>
        <v>1049.3600000000001</v>
      </c>
      <c r="O10" s="7">
        <f t="shared" ref="O10:O27" si="9">SUM(D10,G10,J10,M10)/100</f>
        <v>2142.4</v>
      </c>
      <c r="P10" s="10">
        <f>'أخذ التمام الصباحي'!Q8</f>
        <v>2310</v>
      </c>
      <c r="Q10" s="7">
        <f t="shared" si="0"/>
        <v>167.59999999999991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37788</v>
      </c>
      <c r="G11" s="292">
        <f t="shared" si="2"/>
        <v>255069</v>
      </c>
      <c r="H11" s="292">
        <f t="shared" si="3"/>
        <v>12470.04</v>
      </c>
      <c r="I11" s="292">
        <f>'أخذ التمام الصباحي'!K9</f>
        <v>11313</v>
      </c>
      <c r="J11" s="292">
        <f t="shared" si="4"/>
        <v>87675.75</v>
      </c>
      <c r="K11" s="292">
        <f t="shared" si="5"/>
        <v>5090.8500000000004</v>
      </c>
      <c r="L11" s="6"/>
      <c r="M11" s="6"/>
      <c r="N11" s="6"/>
      <c r="O11" s="7">
        <f t="shared" si="9"/>
        <v>3427.4475000000002</v>
      </c>
      <c r="P11" s="10">
        <f>'أخذ التمام الصباحي'!Q9</f>
        <v>3270</v>
      </c>
      <c r="Q11" s="7">
        <f t="shared" si="0"/>
        <v>-157.44750000000022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3737</v>
      </c>
      <c r="D12" s="5">
        <f t="shared" si="7"/>
        <v>20553.5</v>
      </c>
      <c r="E12" s="5">
        <f t="shared" si="10"/>
        <v>934.25</v>
      </c>
      <c r="F12" s="292">
        <f>'أخذ التمام الصباحي'!H10</f>
        <v>22017</v>
      </c>
      <c r="G12" s="292">
        <f t="shared" si="2"/>
        <v>148614.75</v>
      </c>
      <c r="H12" s="292">
        <f t="shared" si="3"/>
        <v>7265.6100000000006</v>
      </c>
      <c r="I12" s="6"/>
      <c r="J12" s="6"/>
      <c r="K12" s="6"/>
      <c r="L12" s="20">
        <f>'أخذ التمام الصباحي'!N10</f>
        <v>5332</v>
      </c>
      <c r="M12" s="2">
        <f t="shared" si="8"/>
        <v>29326</v>
      </c>
      <c r="N12" s="2">
        <f>L12*0.26</f>
        <v>1386.32</v>
      </c>
      <c r="O12" s="7">
        <f t="shared" si="9"/>
        <v>1984.9425000000001</v>
      </c>
      <c r="P12" s="10">
        <f>'أخذ التمام الصباحي'!Q10</f>
        <v>2375</v>
      </c>
      <c r="Q12" s="7">
        <f t="shared" si="0"/>
        <v>390.05749999999989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7031</v>
      </c>
      <c r="D13" s="5">
        <f t="shared" si="7"/>
        <v>38670.5</v>
      </c>
      <c r="E13" s="5">
        <f t="shared" si="10"/>
        <v>1757.75</v>
      </c>
      <c r="F13" s="292">
        <f>'أخذ التمام الصباحي'!H11</f>
        <v>16125</v>
      </c>
      <c r="G13" s="292">
        <f t="shared" si="2"/>
        <v>108843.75</v>
      </c>
      <c r="H13" s="292">
        <f t="shared" si="3"/>
        <v>5321.25</v>
      </c>
      <c r="I13" s="6"/>
      <c r="J13" s="6"/>
      <c r="K13" s="6"/>
      <c r="L13" s="20">
        <f>'أخذ التمام الصباحي'!N11</f>
        <v>20056</v>
      </c>
      <c r="M13" s="2">
        <f t="shared" si="8"/>
        <v>110308</v>
      </c>
      <c r="N13" s="2">
        <f>L13*0.26</f>
        <v>5214.5600000000004</v>
      </c>
      <c r="O13" s="7">
        <f t="shared" si="9"/>
        <v>2578.2224999999999</v>
      </c>
      <c r="P13" s="10">
        <f>'أخذ التمام الصباحي'!Q11</f>
        <v>2800</v>
      </c>
      <c r="Q13" s="7">
        <f t="shared" si="0"/>
        <v>221.77750000000015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38673</v>
      </c>
      <c r="G14" s="292">
        <f t="shared" si="2"/>
        <v>261042.75</v>
      </c>
      <c r="H14" s="292">
        <f t="shared" si="3"/>
        <v>12762.09</v>
      </c>
      <c r="I14" s="292">
        <f>'أخذ التمام الصباحي'!K12</f>
        <v>10563</v>
      </c>
      <c r="J14" s="292">
        <f t="shared" si="4"/>
        <v>81863.25</v>
      </c>
      <c r="K14" s="292">
        <f t="shared" si="5"/>
        <v>4753.3500000000004</v>
      </c>
      <c r="L14" s="6"/>
      <c r="M14" s="6"/>
      <c r="N14" s="6"/>
      <c r="O14" s="7">
        <f t="shared" si="9"/>
        <v>3429.06</v>
      </c>
      <c r="P14" s="10">
        <f>'أخذ التمام الصباحي'!Q12</f>
        <v>3030</v>
      </c>
      <c r="Q14" s="7">
        <f t="shared" si="0"/>
        <v>-399.05999999999995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36000</v>
      </c>
      <c r="G15" s="292">
        <f t="shared" si="2"/>
        <v>243000</v>
      </c>
      <c r="H15" s="292">
        <f t="shared" si="3"/>
        <v>11880</v>
      </c>
      <c r="I15" s="292">
        <f>'أخذ التمام الصباحي'!K13</f>
        <v>10000</v>
      </c>
      <c r="J15" s="292">
        <f t="shared" si="4"/>
        <v>77500</v>
      </c>
      <c r="K15" s="292">
        <f t="shared" si="5"/>
        <v>4500</v>
      </c>
      <c r="L15" s="20">
        <f>'أخذ التمام الصباحي'!N13</f>
        <v>32300</v>
      </c>
      <c r="M15" s="2">
        <f t="shared" si="8"/>
        <v>177650</v>
      </c>
      <c r="N15" s="2">
        <f>L15*0.26</f>
        <v>8398</v>
      </c>
      <c r="O15" s="7">
        <f t="shared" si="9"/>
        <v>4981.5</v>
      </c>
      <c r="P15" s="10">
        <f>'أخذ التمام الصباحي'!Q13</f>
        <v>0</v>
      </c>
      <c r="Q15" s="7">
        <f t="shared" si="0"/>
        <v>-4981.5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6883</v>
      </c>
      <c r="G16" s="292">
        <f t="shared" si="2"/>
        <v>46460.25</v>
      </c>
      <c r="H16" s="292">
        <f t="shared" si="3"/>
        <v>2271.3900000000003</v>
      </c>
      <c r="I16" s="292">
        <f>'أخذ التمام الصباحي'!K14</f>
        <v>3154</v>
      </c>
      <c r="J16" s="292">
        <f t="shared" si="4"/>
        <v>24443.5</v>
      </c>
      <c r="K16" s="292">
        <f t="shared" si="5"/>
        <v>1419.3</v>
      </c>
      <c r="L16" s="20">
        <f>'أخذ التمام الصباحي'!N14</f>
        <v>57023</v>
      </c>
      <c r="M16" s="2">
        <f t="shared" si="8"/>
        <v>313626.5</v>
      </c>
      <c r="N16" s="139">
        <f>L16*0.26</f>
        <v>14825.980000000001</v>
      </c>
      <c r="O16" s="7">
        <f t="shared" si="9"/>
        <v>3845.3024999999998</v>
      </c>
      <c r="P16" s="10">
        <f>'أخذ التمام الصباحي'!Q14</f>
        <v>6458</v>
      </c>
      <c r="Q16" s="7">
        <f t="shared" si="0"/>
        <v>2612.6975000000002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8190</v>
      </c>
      <c r="G17" s="292">
        <f t="shared" si="2"/>
        <v>55282.5</v>
      </c>
      <c r="H17" s="292">
        <f t="shared" si="3"/>
        <v>2702.7000000000003</v>
      </c>
      <c r="I17" s="292">
        <f>'أخذ التمام الصباحي'!K15</f>
        <v>2250</v>
      </c>
      <c r="J17" s="292">
        <f t="shared" si="4"/>
        <v>17437.5</v>
      </c>
      <c r="K17" s="292">
        <f t="shared" si="5"/>
        <v>1012.5</v>
      </c>
      <c r="L17" s="20">
        <f>'أخذ التمام الصباحي'!N15</f>
        <v>2137</v>
      </c>
      <c r="M17" s="2">
        <f t="shared" si="8"/>
        <v>11753.5</v>
      </c>
      <c r="N17" s="139">
        <f>L17*0.26</f>
        <v>555.62</v>
      </c>
      <c r="O17" s="7">
        <f t="shared" si="9"/>
        <v>844.73500000000001</v>
      </c>
      <c r="P17" s="10">
        <f>'أخذ التمام الصباحي'!Q15</f>
        <v>1040</v>
      </c>
      <c r="Q17" s="7">
        <f t="shared" si="0"/>
        <v>195.26499999999999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2838</v>
      </c>
      <c r="G18" s="292">
        <f t="shared" si="2"/>
        <v>19156.5</v>
      </c>
      <c r="H18" s="292">
        <f t="shared" si="3"/>
        <v>936.54000000000008</v>
      </c>
      <c r="I18" s="292">
        <f>'أخذ التمام الصباحي'!K16</f>
        <v>647</v>
      </c>
      <c r="J18" s="292">
        <f t="shared" si="4"/>
        <v>5014.25</v>
      </c>
      <c r="K18" s="292">
        <f t="shared" si="5"/>
        <v>291.15000000000003</v>
      </c>
      <c r="L18" s="6"/>
      <c r="M18" s="6"/>
      <c r="N18" s="6"/>
      <c r="O18" s="7">
        <f t="shared" si="9"/>
        <v>241.70750000000001</v>
      </c>
      <c r="P18" s="10">
        <f>'أخذ التمام الصباحي'!Q16</f>
        <v>217</v>
      </c>
      <c r="Q18" s="7">
        <f t="shared" si="0"/>
        <v>-24.70750000000001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3460</v>
      </c>
      <c r="G19" s="292">
        <f t="shared" si="2"/>
        <v>23355</v>
      </c>
      <c r="H19" s="292">
        <f t="shared" si="3"/>
        <v>1141.8</v>
      </c>
      <c r="I19" s="292">
        <f>'أخذ التمام الصباحي'!K17</f>
        <v>1363</v>
      </c>
      <c r="J19" s="292">
        <f t="shared" si="4"/>
        <v>10563.25</v>
      </c>
      <c r="K19" s="292">
        <f t="shared" si="5"/>
        <v>613.35</v>
      </c>
      <c r="L19" s="20">
        <f>'أخذ التمام الصباحي'!N17</f>
        <v>7720</v>
      </c>
      <c r="M19" s="2">
        <f t="shared" si="8"/>
        <v>42460</v>
      </c>
      <c r="N19" s="2">
        <f>L19*0.26</f>
        <v>2007.2</v>
      </c>
      <c r="O19" s="7">
        <f t="shared" si="9"/>
        <v>763.78250000000003</v>
      </c>
      <c r="P19" s="10">
        <f>'أخذ التمام الصباحي'!Q17</f>
        <v>1390</v>
      </c>
      <c r="Q19" s="7">
        <f t="shared" si="0"/>
        <v>626.21749999999997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13032</v>
      </c>
      <c r="G20" s="292">
        <f t="shared" si="2"/>
        <v>87966</v>
      </c>
      <c r="H20" s="292">
        <f t="shared" si="3"/>
        <v>4300.5600000000004</v>
      </c>
      <c r="I20" s="292">
        <f>'أخذ التمام الصباحي'!K18</f>
        <v>2423</v>
      </c>
      <c r="J20" s="292">
        <f t="shared" si="4"/>
        <v>18778.25</v>
      </c>
      <c r="K20" s="292">
        <f t="shared" si="5"/>
        <v>1090.3500000000001</v>
      </c>
      <c r="L20" s="20">
        <f>'أخذ التمام الصباحي'!N18</f>
        <v>26136</v>
      </c>
      <c r="M20" s="2">
        <f t="shared" si="8"/>
        <v>143748</v>
      </c>
      <c r="N20" s="139">
        <f>L20*0.26</f>
        <v>6795.3600000000006</v>
      </c>
      <c r="O20" s="7">
        <f t="shared" si="9"/>
        <v>2504.9225000000001</v>
      </c>
      <c r="P20" s="10">
        <f>'أخذ التمام الصباحي'!Q18</f>
        <v>3039</v>
      </c>
      <c r="Q20" s="7">
        <f t="shared" si="0"/>
        <v>534.07749999999987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7169</v>
      </c>
      <c r="G21" s="292">
        <f t="shared" si="2"/>
        <v>48390.75</v>
      </c>
      <c r="H21" s="292">
        <f t="shared" si="3"/>
        <v>2365.77</v>
      </c>
      <c r="I21" s="292">
        <f>'أخذ التمام الصباحي'!K19</f>
        <v>1501</v>
      </c>
      <c r="J21" s="292">
        <f t="shared" si="4"/>
        <v>11632.75</v>
      </c>
      <c r="K21" s="292">
        <f t="shared" si="5"/>
        <v>675.45</v>
      </c>
      <c r="L21" s="6"/>
      <c r="M21" s="6"/>
      <c r="N21" s="6"/>
      <c r="O21" s="7">
        <f t="shared" si="9"/>
        <v>600.23500000000001</v>
      </c>
      <c r="P21" s="10">
        <f>'أخذ التمام الصباحي'!Q19</f>
        <v>820</v>
      </c>
      <c r="Q21" s="7">
        <f t="shared" si="0"/>
        <v>219.76499999999999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486</v>
      </c>
      <c r="D22" s="5">
        <f t="shared" si="7"/>
        <v>2673</v>
      </c>
      <c r="E22" s="5">
        <f>C22*0.25</f>
        <v>121.5</v>
      </c>
      <c r="F22" s="292">
        <f>'أخذ التمام الصباحي'!H20</f>
        <v>1142</v>
      </c>
      <c r="G22" s="292">
        <f t="shared" si="2"/>
        <v>7708.5</v>
      </c>
      <c r="H22" s="292">
        <f t="shared" si="3"/>
        <v>376.86</v>
      </c>
      <c r="I22" s="6"/>
      <c r="J22" s="6"/>
      <c r="K22" s="6"/>
      <c r="L22" s="20">
        <f>'أخذ التمام الصباحي'!N20</f>
        <v>17679</v>
      </c>
      <c r="M22" s="2">
        <f t="shared" si="8"/>
        <v>97234.5</v>
      </c>
      <c r="N22" s="2">
        <f t="shared" ref="N22:N27" si="11">L22*0.26</f>
        <v>4596.54</v>
      </c>
      <c r="O22" s="7">
        <f t="shared" si="9"/>
        <v>1076.1600000000001</v>
      </c>
      <c r="P22" s="10">
        <f>'أخذ التمام الصباحي'!Q20</f>
        <v>1620</v>
      </c>
      <c r="Q22" s="7">
        <f t="shared" si="0"/>
        <v>543.83999999999992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1913</v>
      </c>
      <c r="G23" s="292">
        <f t="shared" si="2"/>
        <v>12912.75</v>
      </c>
      <c r="H23" s="292">
        <f t="shared" si="3"/>
        <v>631.29000000000008</v>
      </c>
      <c r="I23" s="6"/>
      <c r="J23" s="6"/>
      <c r="K23" s="6"/>
      <c r="L23" s="20">
        <f>'أخذ التمام الصباحي'!N21</f>
        <v>2856</v>
      </c>
      <c r="M23" s="2">
        <f t="shared" si="8"/>
        <v>15708</v>
      </c>
      <c r="N23" s="183">
        <f t="shared" si="11"/>
        <v>742.56000000000006</v>
      </c>
      <c r="O23" s="7">
        <f t="shared" si="9"/>
        <v>286.20749999999998</v>
      </c>
      <c r="P23" s="10">
        <f>'أخذ التمام الصباحي'!Q21</f>
        <v>309</v>
      </c>
      <c r="Q23" s="7">
        <f t="shared" si="0"/>
        <v>22.792500000000018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2596</v>
      </c>
      <c r="G24" s="292">
        <f t="shared" si="2"/>
        <v>17523</v>
      </c>
      <c r="H24" s="292">
        <f t="shared" si="3"/>
        <v>856.68000000000006</v>
      </c>
      <c r="I24" s="292">
        <f>'أخذ التمام الصباحي'!K22</f>
        <v>13790</v>
      </c>
      <c r="J24" s="292">
        <f t="shared" si="4"/>
        <v>106872.5</v>
      </c>
      <c r="K24" s="292">
        <f t="shared" si="5"/>
        <v>6205.5</v>
      </c>
      <c r="L24" s="20">
        <f>'أخذ التمام الصباحي'!N22</f>
        <v>55342</v>
      </c>
      <c r="M24" s="2">
        <f t="shared" si="8"/>
        <v>304381</v>
      </c>
      <c r="N24" s="183">
        <f t="shared" si="11"/>
        <v>14388.92</v>
      </c>
      <c r="O24" s="7">
        <f t="shared" si="9"/>
        <v>4287.7650000000003</v>
      </c>
      <c r="P24" s="10">
        <f>'أخذ التمام الصباحي'!Q22</f>
        <v>5900</v>
      </c>
      <c r="Q24" s="7">
        <f t="shared" si="0"/>
        <v>1612.2349999999997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14251</v>
      </c>
      <c r="G25" s="292">
        <f t="shared" si="2"/>
        <v>96194.25</v>
      </c>
      <c r="H25" s="292">
        <f t="shared" si="3"/>
        <v>4702.83</v>
      </c>
      <c r="I25" s="292">
        <f>'أخذ التمام الصباحي'!K23</f>
        <v>3241</v>
      </c>
      <c r="J25" s="292">
        <f t="shared" si="4"/>
        <v>25117.75</v>
      </c>
      <c r="K25" s="292">
        <f t="shared" si="5"/>
        <v>1458.45</v>
      </c>
      <c r="L25" s="20">
        <f>'أخذ التمام الصباحي'!N23</f>
        <v>55638</v>
      </c>
      <c r="M25" s="2">
        <f t="shared" si="8"/>
        <v>306009</v>
      </c>
      <c r="N25" s="183">
        <f t="shared" si="11"/>
        <v>14465.880000000001</v>
      </c>
      <c r="O25" s="7">
        <f t="shared" si="9"/>
        <v>4273.21</v>
      </c>
      <c r="P25" s="10">
        <f>'أخذ التمام الصباحي'!Q23</f>
        <v>5520</v>
      </c>
      <c r="Q25" s="7">
        <f t="shared" si="0"/>
        <v>1246.79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10460</v>
      </c>
      <c r="G26" s="292">
        <f t="shared" si="2"/>
        <v>70605</v>
      </c>
      <c r="H26" s="292">
        <f t="shared" si="3"/>
        <v>3451.8</v>
      </c>
      <c r="I26" s="292">
        <f>'أخذ التمام الصباحي'!K24</f>
        <v>892</v>
      </c>
      <c r="J26" s="292">
        <f t="shared" si="4"/>
        <v>6913</v>
      </c>
      <c r="K26" s="292">
        <f t="shared" si="5"/>
        <v>401.40000000000003</v>
      </c>
      <c r="L26" s="20">
        <f>'أخذ التمام الصباحي'!N24</f>
        <v>28641</v>
      </c>
      <c r="M26" s="2">
        <f t="shared" si="8"/>
        <v>157525.5</v>
      </c>
      <c r="N26" s="183">
        <f t="shared" si="11"/>
        <v>7446.66</v>
      </c>
      <c r="O26" s="7">
        <f t="shared" si="9"/>
        <v>2350.4349999999999</v>
      </c>
      <c r="P26" s="10">
        <f>'أخذ التمام الصباحي'!Q24</f>
        <v>2970</v>
      </c>
      <c r="Q26" s="7">
        <f t="shared" si="0"/>
        <v>619.56500000000005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7704</v>
      </c>
      <c r="G27" s="292">
        <f t="shared" si="2"/>
        <v>52002</v>
      </c>
      <c r="H27" s="292">
        <f t="shared" si="3"/>
        <v>2542.3200000000002</v>
      </c>
      <c r="I27" s="292">
        <f>'أخذ التمام الصباحي'!K25</f>
        <v>1495</v>
      </c>
      <c r="J27" s="292">
        <f t="shared" si="4"/>
        <v>11586.25</v>
      </c>
      <c r="K27" s="292">
        <f t="shared" si="5"/>
        <v>672.75</v>
      </c>
      <c r="L27" s="20">
        <f>'أخذ التمام الصباحي'!N25</f>
        <v>23278</v>
      </c>
      <c r="M27" s="2">
        <f t="shared" si="8"/>
        <v>128029</v>
      </c>
      <c r="N27" s="183">
        <f t="shared" si="11"/>
        <v>6052.2800000000007</v>
      </c>
      <c r="O27" s="7">
        <f t="shared" si="9"/>
        <v>1916.1724999999999</v>
      </c>
      <c r="P27" s="10">
        <f>'أخذ التمام الصباحي'!Q25</f>
        <v>2720</v>
      </c>
      <c r="Q27" s="7">
        <f t="shared" si="0"/>
        <v>803.8275000000001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4011</v>
      </c>
      <c r="D28" s="5">
        <f t="shared" ref="D28" si="12">C28*5.5</f>
        <v>22060.5</v>
      </c>
      <c r="E28" s="5">
        <f t="shared" ref="E28" si="13">C28*0.25</f>
        <v>1002.75</v>
      </c>
      <c r="F28" s="301">
        <f>'أخذ التمام الصباحي'!H26</f>
        <v>8323</v>
      </c>
      <c r="G28" s="301">
        <f t="shared" ref="G28" si="14">F28*6.75</f>
        <v>56180.25</v>
      </c>
      <c r="H28" s="301">
        <f t="shared" ref="H28" si="15">F28*0.33</f>
        <v>2746.59</v>
      </c>
      <c r="I28" s="301">
        <f>'أخذ التمام الصباحي'!K26</f>
        <v>1619</v>
      </c>
      <c r="J28" s="301">
        <f t="shared" ref="J28" si="16">I28*7.75</f>
        <v>12547.25</v>
      </c>
      <c r="K28" s="301">
        <f t="shared" ref="K28" si="17">I28*0.45</f>
        <v>728.55000000000007</v>
      </c>
      <c r="L28" s="301">
        <f>'أخذ التمام الصباحي'!N26</f>
        <v>14128</v>
      </c>
      <c r="M28" s="301">
        <f t="shared" ref="M28" si="18">L28*5.5</f>
        <v>77704</v>
      </c>
      <c r="N28" s="301">
        <f t="shared" ref="N28" si="19">L28*0.26</f>
        <v>3673.28</v>
      </c>
      <c r="O28" s="7">
        <f t="shared" ref="O28" si="20">SUM(D28,G28,J28,M28)/100</f>
        <v>1684.92</v>
      </c>
      <c r="P28" s="10">
        <f>'أخذ التمام الصباحي'!Q26</f>
        <v>1100</v>
      </c>
      <c r="Q28" s="7">
        <f t="shared" ref="Q28" si="21">P28-O28</f>
        <v>-584.92000000000007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9133</v>
      </c>
      <c r="G29" s="321">
        <f t="shared" ref="G29:G33" si="24">F29*6.75</f>
        <v>61647.75</v>
      </c>
      <c r="H29" s="321">
        <f t="shared" ref="H29:H33" si="25">F29*0.33</f>
        <v>3013.8900000000003</v>
      </c>
      <c r="I29" s="5">
        <f>'أخذ التمام الصباحي'!K27</f>
        <v>1412</v>
      </c>
      <c r="J29" s="321">
        <f t="shared" ref="J29:J33" si="26">I29*7.75</f>
        <v>10943</v>
      </c>
      <c r="K29" s="321">
        <f t="shared" ref="K29:K33" si="27">I29*0.45</f>
        <v>635.4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725.90750000000003</v>
      </c>
      <c r="P29" s="10">
        <f>'أخذ التمام الصباحي'!Q27</f>
        <v>900</v>
      </c>
      <c r="Q29" s="7">
        <f t="shared" ref="Q29:Q33" si="31">P29-O29</f>
        <v>174.09249999999997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30675</v>
      </c>
      <c r="G30" s="321">
        <f t="shared" si="24"/>
        <v>207056.25</v>
      </c>
      <c r="H30" s="321">
        <f t="shared" si="25"/>
        <v>10122.75</v>
      </c>
      <c r="I30" s="5">
        <f>'أخذ التمام الصباحي'!K28</f>
        <v>9989</v>
      </c>
      <c r="J30" s="321">
        <f t="shared" si="26"/>
        <v>77414.75</v>
      </c>
      <c r="K30" s="321">
        <f t="shared" si="27"/>
        <v>4495.05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2844.71</v>
      </c>
      <c r="P30" s="10">
        <f>'أخذ التمام الصباحي'!Q28</f>
        <v>444</v>
      </c>
      <c r="Q30" s="7">
        <f t="shared" si="31"/>
        <v>-2400.71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31714</v>
      </c>
      <c r="G31" s="321">
        <f t="shared" si="24"/>
        <v>214069.5</v>
      </c>
      <c r="H31" s="321">
        <f t="shared" si="25"/>
        <v>10465.620000000001</v>
      </c>
      <c r="I31" s="5">
        <f>'أخذ التمام الصباحي'!K29</f>
        <v>9295</v>
      </c>
      <c r="J31" s="321">
        <f t="shared" si="26"/>
        <v>72036.25</v>
      </c>
      <c r="K31" s="321">
        <f t="shared" si="27"/>
        <v>4182.75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2861.0574999999999</v>
      </c>
      <c r="P31" s="10">
        <f>'أخذ التمام الصباحي'!Q29</f>
        <v>3440</v>
      </c>
      <c r="Q31" s="7">
        <f t="shared" si="31"/>
        <v>578.94250000000011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37268</v>
      </c>
      <c r="G32" s="321">
        <f t="shared" si="24"/>
        <v>251559</v>
      </c>
      <c r="H32" s="321">
        <f t="shared" si="25"/>
        <v>12298.44</v>
      </c>
      <c r="I32" s="5">
        <f>'أخذ التمام الصباحي'!K30</f>
        <v>8811</v>
      </c>
      <c r="J32" s="321">
        <f t="shared" si="26"/>
        <v>68285.25</v>
      </c>
      <c r="K32" s="321">
        <f t="shared" si="27"/>
        <v>3964.9500000000003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3198.4425000000001</v>
      </c>
      <c r="P32" s="10">
        <f>'أخذ التمام الصباحي'!Q30</f>
        <v>0</v>
      </c>
      <c r="Q32" s="7">
        <f t="shared" si="31"/>
        <v>-3198.4425000000001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55774</v>
      </c>
      <c r="G33" s="321">
        <f t="shared" si="24"/>
        <v>376474.5</v>
      </c>
      <c r="H33" s="321">
        <f t="shared" si="25"/>
        <v>18405.420000000002</v>
      </c>
      <c r="I33" s="5">
        <f>'أخذ التمام الصباحي'!K31</f>
        <v>12632</v>
      </c>
      <c r="J33" s="321">
        <f t="shared" si="26"/>
        <v>97898</v>
      </c>
      <c r="K33" s="321">
        <f t="shared" si="27"/>
        <v>5684.4000000000005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4743.7250000000004</v>
      </c>
      <c r="P33" s="10">
        <f>'أخذ التمام الصباحي'!Q31</f>
        <v>5530</v>
      </c>
      <c r="Q33" s="7">
        <f t="shared" si="31"/>
        <v>786.27499999999964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7" t="s">
        <v>34</v>
      </c>
      <c r="B38" s="417"/>
      <c r="C38" s="43">
        <f>SUM(C7:C37)</f>
        <v>58834</v>
      </c>
      <c r="D38" s="43">
        <f t="shared" ref="D38:Q38" si="42">SUM(D7:D37)</f>
        <v>323587</v>
      </c>
      <c r="E38" s="43">
        <f t="shared" si="42"/>
        <v>14708.5</v>
      </c>
      <c r="F38" s="43">
        <f t="shared" si="42"/>
        <v>498524</v>
      </c>
      <c r="G38" s="43">
        <f t="shared" si="42"/>
        <v>3365037</v>
      </c>
      <c r="H38" s="43">
        <f t="shared" si="42"/>
        <v>164512.92000000001</v>
      </c>
      <c r="I38" s="43">
        <f t="shared" si="42"/>
        <v>131486</v>
      </c>
      <c r="J38" s="43">
        <f t="shared" si="42"/>
        <v>1019016.5</v>
      </c>
      <c r="K38" s="43">
        <f t="shared" si="42"/>
        <v>59168.700000000004</v>
      </c>
      <c r="L38" s="43">
        <f t="shared" si="42"/>
        <v>352302</v>
      </c>
      <c r="M38" s="43">
        <f t="shared" si="42"/>
        <v>1937661</v>
      </c>
      <c r="N38" s="43">
        <f t="shared" si="42"/>
        <v>91598.52</v>
      </c>
      <c r="O38" s="43">
        <f t="shared" si="42"/>
        <v>66453.014999999999</v>
      </c>
      <c r="P38" s="43">
        <f t="shared" si="42"/>
        <v>65862</v>
      </c>
      <c r="Q38" s="43">
        <f t="shared" si="42"/>
        <v>-591.01500000000124</v>
      </c>
    </row>
    <row r="39" spans="1:17" ht="32.25" customHeight="1" thickBot="1" x14ac:dyDescent="0.25">
      <c r="A39" s="410" t="s">
        <v>75</v>
      </c>
      <c r="B39" s="410"/>
      <c r="C39" s="400">
        <f>C38+F38+I38+L38</f>
        <v>1041146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</row>
    <row r="40" spans="1:17" ht="30.75" customHeight="1" thickBot="1" x14ac:dyDescent="0.25">
      <c r="A40" s="410" t="s">
        <v>47</v>
      </c>
      <c r="B40" s="410"/>
      <c r="C40" s="403">
        <f>D38+G38+J38+M38</f>
        <v>6645301.5</v>
      </c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</row>
    <row r="41" spans="1:17" ht="30.75" customHeight="1" thickBot="1" x14ac:dyDescent="0.25">
      <c r="A41" s="410" t="s">
        <v>48</v>
      </c>
      <c r="B41" s="410"/>
      <c r="C41" s="412">
        <f>E38+H38+K38+N38</f>
        <v>329988.64</v>
      </c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90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165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399" t="str">
        <f>'منطقة القاهرة'!B4</f>
        <v xml:space="preserve">الهايكستب </v>
      </c>
      <c r="C1" s="39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07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06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06" t="str">
        <f>'منطقة القاهرة'!F5</f>
        <v>موبيل</v>
      </c>
      <c r="G2" s="563">
        <f>'منطقة القاهرة'!G5</f>
        <v>0</v>
      </c>
      <c r="H2" s="407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916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673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1433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1225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06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07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40">
        <f>'منطقة السويس'!D5</f>
        <v>0</v>
      </c>
      <c r="E14" s="571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06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07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58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9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501" t="str">
        <f>'منطقة طنطا'!A4</f>
        <v>المحطة</v>
      </c>
      <c r="B31" s="406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07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06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6" t="s">
        <v>0</v>
      </c>
      <c r="B1" s="426"/>
      <c r="C1" s="426"/>
      <c r="D1" s="426"/>
      <c r="O1" s="425"/>
      <c r="P1" s="425"/>
    </row>
    <row r="2" spans="1:17" ht="15" x14ac:dyDescent="0.2">
      <c r="A2" s="426" t="s">
        <v>1</v>
      </c>
      <c r="B2" s="426"/>
      <c r="C2" s="426"/>
      <c r="D2" s="426"/>
    </row>
    <row r="3" spans="1:17" ht="15" x14ac:dyDescent="0.2">
      <c r="A3" s="426" t="s">
        <v>2</v>
      </c>
      <c r="B3" s="426"/>
      <c r="C3" s="426"/>
      <c r="D3" s="426"/>
    </row>
    <row r="4" spans="1:17" ht="15" x14ac:dyDescent="0.2">
      <c r="A4" s="426" t="s">
        <v>53</v>
      </c>
      <c r="B4" s="426"/>
      <c r="C4" s="426"/>
      <c r="D4" s="426"/>
    </row>
    <row r="5" spans="1:17" ht="15" x14ac:dyDescent="0.2">
      <c r="A5" s="419" t="s">
        <v>195</v>
      </c>
      <c r="B5" s="419"/>
      <c r="C5" s="419"/>
      <c r="D5" s="419"/>
    </row>
    <row r="6" spans="1:17" ht="24" thickBot="1" x14ac:dyDescent="0.25">
      <c r="H6" s="430" t="s">
        <v>54</v>
      </c>
      <c r="I6" s="430"/>
      <c r="J6" s="430"/>
      <c r="K6" s="430"/>
    </row>
    <row r="7" spans="1:17" ht="20.25" customHeight="1" thickBot="1" x14ac:dyDescent="0.25">
      <c r="B7" s="421" t="s">
        <v>55</v>
      </c>
      <c r="C7" s="422"/>
      <c r="D7" s="422"/>
      <c r="E7" s="423"/>
      <c r="F7" s="17"/>
      <c r="G7" s="17"/>
      <c r="H7" s="17"/>
      <c r="I7" s="17"/>
      <c r="J7" s="17"/>
      <c r="K7" s="17"/>
      <c r="L7" s="17"/>
      <c r="M7" s="17"/>
      <c r="N7" s="17"/>
      <c r="O7" s="17"/>
      <c r="P7" s="421" t="s">
        <v>51</v>
      </c>
      <c r="Q7" s="423"/>
    </row>
    <row r="8" spans="1:17" ht="13.5" thickBot="1" x14ac:dyDescent="0.25">
      <c r="B8" s="424" t="s">
        <v>52</v>
      </c>
      <c r="C8" s="420" t="s">
        <v>5</v>
      </c>
      <c r="D8" s="420"/>
      <c r="E8" s="420"/>
      <c r="F8" s="420" t="s">
        <v>11</v>
      </c>
      <c r="G8" s="420"/>
      <c r="H8" s="420"/>
      <c r="I8" s="420" t="s">
        <v>12</v>
      </c>
      <c r="J8" s="420"/>
      <c r="K8" s="420"/>
      <c r="L8" s="420" t="s">
        <v>50</v>
      </c>
      <c r="M8" s="420"/>
      <c r="N8" s="420"/>
      <c r="O8" s="420" t="s">
        <v>56</v>
      </c>
      <c r="P8" s="420"/>
      <c r="Q8" s="420"/>
    </row>
    <row r="9" spans="1:17" ht="13.5" thickBot="1" x14ac:dyDescent="0.25">
      <c r="B9" s="424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</row>
    <row r="10" spans="1:17" ht="20.100000000000001" customHeight="1" thickBot="1" x14ac:dyDescent="0.25">
      <c r="B10" s="42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34000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476000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391000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1" t="s">
        <v>61</v>
      </c>
      <c r="C15" s="422"/>
      <c r="D15" s="422"/>
      <c r="E15" s="423"/>
      <c r="P15" s="421" t="s">
        <v>51</v>
      </c>
      <c r="Q15" s="423"/>
    </row>
    <row r="16" spans="1:17" ht="13.5" thickBot="1" x14ac:dyDescent="0.25">
      <c r="B16" s="424" t="s">
        <v>52</v>
      </c>
      <c r="C16" s="420" t="s">
        <v>5</v>
      </c>
      <c r="D16" s="420"/>
      <c r="E16" s="420"/>
      <c r="F16" s="420" t="s">
        <v>11</v>
      </c>
      <c r="G16" s="420"/>
      <c r="H16" s="420"/>
      <c r="I16" s="420" t="s">
        <v>12</v>
      </c>
      <c r="J16" s="420"/>
      <c r="K16" s="420"/>
      <c r="L16" s="420" t="s">
        <v>50</v>
      </c>
      <c r="M16" s="420"/>
      <c r="N16" s="420"/>
      <c r="O16" s="420" t="s">
        <v>56</v>
      </c>
      <c r="P16" s="420"/>
      <c r="Q16" s="420"/>
    </row>
    <row r="17" spans="2:17" ht="13.5" thickBot="1" x14ac:dyDescent="0.25">
      <c r="B17" s="42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</row>
    <row r="18" spans="2:17" ht="20.100000000000001" customHeight="1" thickBot="1" x14ac:dyDescent="0.25">
      <c r="B18" s="42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58834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498524</v>
      </c>
      <c r="G19" s="209">
        <f>'موقف المحطات'!$G$20</f>
        <v>476000</v>
      </c>
      <c r="H19" s="13">
        <f>G19/F19</f>
        <v>0.95481862457975941</v>
      </c>
      <c r="I19" s="209">
        <f>'موقف المحطات'!$I$20</f>
        <v>131486</v>
      </c>
      <c r="J19" s="209">
        <f>'موقف المحطات'!$J$20</f>
        <v>119000</v>
      </c>
      <c r="K19" s="13">
        <f>J19/I19</f>
        <v>0.90503931977548946</v>
      </c>
      <c r="L19" s="209">
        <f>'موقف المحطات'!$L$20</f>
        <v>352302</v>
      </c>
      <c r="M19" s="209">
        <f>'موقف المحطات'!$M$20</f>
        <v>391000</v>
      </c>
      <c r="N19" s="13">
        <f>M19/L19</f>
        <v>1.1098432594762448</v>
      </c>
      <c r="O19" s="140">
        <f>C19+F19+I19+L19</f>
        <v>1041146</v>
      </c>
      <c r="P19" s="140">
        <f>D19+G19+J19+M19</f>
        <v>986000</v>
      </c>
      <c r="Q19" s="13">
        <f>P19/O19</f>
        <v>0.94703336515724024</v>
      </c>
    </row>
    <row r="20" spans="2:17" ht="22.5" customHeight="1" thickBot="1" x14ac:dyDescent="0.25">
      <c r="B20" s="145" t="s">
        <v>64</v>
      </c>
      <c r="C20" s="140">
        <f>المبيعات!C38</f>
        <v>58834</v>
      </c>
      <c r="D20" s="140">
        <f>D11</f>
        <v>34000</v>
      </c>
      <c r="E20" s="13">
        <f>IFERROR(D20/C20,0)</f>
        <v>0.57789713431009282</v>
      </c>
      <c r="F20" s="140">
        <f>المبيعات!F38</f>
        <v>498524</v>
      </c>
      <c r="G20" s="140">
        <f>G11</f>
        <v>476000</v>
      </c>
      <c r="H20" s="13">
        <f>IFERROR(G20/F20,0)</f>
        <v>0.95481862457975941</v>
      </c>
      <c r="I20" s="140">
        <f>المبيعات!I38</f>
        <v>131486</v>
      </c>
      <c r="J20" s="140">
        <f>J11</f>
        <v>119000</v>
      </c>
      <c r="K20" s="13">
        <f>IFERROR(J20/I20,0)</f>
        <v>0.90503931977548946</v>
      </c>
      <c r="L20" s="140">
        <f>المبيعات!L38</f>
        <v>352302</v>
      </c>
      <c r="M20" s="140">
        <f>M11</f>
        <v>391000</v>
      </c>
      <c r="N20" s="13">
        <f>IFERROR(M20/L20,0)</f>
        <v>1.1098432594762448</v>
      </c>
      <c r="O20" s="140">
        <f>C20+F20+I20+L20</f>
        <v>1041146</v>
      </c>
      <c r="P20" s="140">
        <f>P11</f>
        <v>1020000</v>
      </c>
      <c r="Q20" s="13">
        <f>IFERROR(P20/O20,0)</f>
        <v>0.97968968809369672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1" t="s">
        <v>72</v>
      </c>
      <c r="C24" s="422"/>
      <c r="D24" s="422"/>
      <c r="E24" s="423"/>
      <c r="P24" s="433" t="s">
        <v>51</v>
      </c>
      <c r="Q24" s="434"/>
    </row>
    <row r="25" spans="2:17" ht="18" customHeight="1" thickBot="1" x14ac:dyDescent="0.25">
      <c r="B25" s="431" t="s">
        <v>52</v>
      </c>
      <c r="C25" s="427" t="s">
        <v>163</v>
      </c>
      <c r="D25" s="428"/>
      <c r="E25" s="429"/>
      <c r="F25" s="427" t="s">
        <v>158</v>
      </c>
      <c r="G25" s="428"/>
      <c r="H25" s="429"/>
      <c r="I25" s="427" t="s">
        <v>121</v>
      </c>
      <c r="J25" s="428"/>
      <c r="K25" s="429"/>
      <c r="L25" s="427" t="s">
        <v>112</v>
      </c>
      <c r="M25" s="428"/>
      <c r="N25" s="429"/>
      <c r="O25" s="427" t="s">
        <v>113</v>
      </c>
      <c r="P25" s="428"/>
      <c r="Q25" s="429"/>
    </row>
    <row r="26" spans="2:17" ht="16.5" customHeight="1" thickBot="1" x14ac:dyDescent="0.25">
      <c r="B26" s="432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32443</v>
      </c>
      <c r="D28" s="147">
        <f>'أخذ التمام الصباحي'!K6</f>
        <v>8979</v>
      </c>
      <c r="E28" s="224"/>
      <c r="F28" s="147">
        <f>'أخذ التمام الصباحي'!H7</f>
        <v>21247</v>
      </c>
      <c r="G28" s="147">
        <f>'أخذ التمام الصباحي'!K7</f>
        <v>3641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5" t="s">
        <v>173</v>
      </c>
      <c r="C32" s="436"/>
      <c r="D32" s="436"/>
      <c r="E32" s="436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209</v>
      </c>
      <c r="D35" s="147">
        <f>'التمام الصباحي'!J39</f>
        <v>2368</v>
      </c>
      <c r="E35" s="143">
        <f>'التمام الصباحي'!P39</f>
        <v>785</v>
      </c>
      <c r="F35" s="147">
        <f>'التمام الصباحي'!V39</f>
        <v>1851</v>
      </c>
      <c r="G35" s="147">
        <f>SUM(C35:F35)</f>
        <v>5213</v>
      </c>
    </row>
    <row r="36" spans="2:8" ht="20.25" customHeight="1" thickBot="1" x14ac:dyDescent="0.25">
      <c r="B36" s="39" t="s">
        <v>37</v>
      </c>
      <c r="C36" s="421">
        <f>'التمام الصباحي'!C42:Z42</f>
        <v>2572</v>
      </c>
      <c r="D36" s="422"/>
      <c r="E36" s="422"/>
      <c r="F36" s="422"/>
      <c r="G36" s="423"/>
      <c r="H36" s="157"/>
    </row>
    <row r="37" spans="2:8" ht="18.75" customHeight="1" thickBot="1" x14ac:dyDescent="0.25">
      <c r="B37" s="39" t="s">
        <v>68</v>
      </c>
      <c r="C37" s="421">
        <f>'احتياجات المحطات'!M29</f>
        <v>544</v>
      </c>
      <c r="D37" s="422"/>
      <c r="E37" s="422"/>
      <c r="F37" s="422"/>
      <c r="G37" s="423"/>
      <c r="H37" s="157"/>
    </row>
    <row r="38" spans="2:8" ht="21" customHeight="1" thickBot="1" x14ac:dyDescent="0.25">
      <c r="B38" s="39" t="s">
        <v>69</v>
      </c>
      <c r="C38" s="421">
        <f>G35+C37</f>
        <v>5757</v>
      </c>
      <c r="D38" s="422"/>
      <c r="E38" s="422"/>
      <c r="F38" s="422"/>
      <c r="G38" s="423"/>
      <c r="H38" s="157"/>
    </row>
    <row r="39" spans="2:8" ht="19.5" customHeight="1" thickBot="1" x14ac:dyDescent="0.25">
      <c r="B39" s="141" t="s">
        <v>70</v>
      </c>
      <c r="C39" s="421">
        <f>C36-C37</f>
        <v>2028</v>
      </c>
      <c r="D39" s="422"/>
      <c r="E39" s="422"/>
      <c r="F39" s="422"/>
      <c r="G39" s="423"/>
      <c r="H39" s="157"/>
    </row>
    <row r="40" spans="2:8" ht="20.100000000000001" customHeight="1" thickBot="1" x14ac:dyDescent="0.25">
      <c r="B40" s="141" t="s">
        <v>71</v>
      </c>
      <c r="C40" s="421">
        <f>P19/1000</f>
        <v>986</v>
      </c>
      <c r="D40" s="422"/>
      <c r="E40" s="422"/>
      <c r="F40" s="422"/>
      <c r="G40" s="423"/>
      <c r="H40" s="157"/>
    </row>
    <row r="41" spans="2:8" ht="20.100000000000001" customHeight="1" thickBot="1" x14ac:dyDescent="0.25">
      <c r="B41" s="141" t="s">
        <v>110</v>
      </c>
      <c r="C41" s="439">
        <f>C37/C36</f>
        <v>0.21150855365474339</v>
      </c>
      <c r="D41" s="440"/>
      <c r="E41" s="440"/>
      <c r="F41" s="440"/>
      <c r="G41" s="441"/>
      <c r="H41" s="158"/>
    </row>
    <row r="42" spans="2:8" ht="20.100000000000001" customHeight="1" thickBot="1" x14ac:dyDescent="0.25">
      <c r="B42" s="147" t="s">
        <v>111</v>
      </c>
      <c r="C42" s="439">
        <f>'التمام الصباحي'!C45:Z45</f>
        <v>0.1956646844427393</v>
      </c>
      <c r="D42" s="440"/>
      <c r="E42" s="440"/>
      <c r="F42" s="440"/>
      <c r="G42" s="44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5" t="s">
        <v>174</v>
      </c>
      <c r="C46" s="436"/>
      <c r="D46" s="442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7" t="s">
        <v>114</v>
      </c>
      <c r="D47" s="429"/>
      <c r="E47" s="427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46" t="e">
        <f>المستودعات!#REF!/51</f>
        <v>#REF!</v>
      </c>
      <c r="D48" s="423"/>
      <c r="E48" s="421"/>
      <c r="F48" s="423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5" t="s">
        <v>175</v>
      </c>
      <c r="C52" s="436"/>
      <c r="D52" s="436"/>
      <c r="E52" s="436"/>
      <c r="F52" s="436"/>
      <c r="G52" s="442"/>
    </row>
    <row r="53" spans="2:7" ht="20.100000000000001" customHeight="1" thickBot="1" x14ac:dyDescent="0.25">
      <c r="B53" s="431" t="s">
        <v>65</v>
      </c>
      <c r="C53" s="427" t="s">
        <v>73</v>
      </c>
      <c r="D53" s="428"/>
      <c r="E53" s="429"/>
      <c r="F53" s="447" t="s">
        <v>50</v>
      </c>
      <c r="G53" s="447" t="s">
        <v>74</v>
      </c>
    </row>
    <row r="54" spans="2:7" ht="20.100000000000001" customHeight="1" thickBot="1" x14ac:dyDescent="0.25">
      <c r="B54" s="432"/>
      <c r="C54" s="145">
        <v>80</v>
      </c>
      <c r="D54" s="145">
        <v>92</v>
      </c>
      <c r="E54" s="145">
        <v>95</v>
      </c>
      <c r="F54" s="448"/>
      <c r="G54" s="448"/>
    </row>
    <row r="55" spans="2:7" ht="19.5" customHeight="1" thickBot="1" x14ac:dyDescent="0.25">
      <c r="B55" s="29" t="s">
        <v>77</v>
      </c>
      <c r="C55" s="140">
        <f>المبيعات!D38</f>
        <v>323587</v>
      </c>
      <c r="D55" s="140">
        <f>المبيعات!G38</f>
        <v>3365037</v>
      </c>
      <c r="E55" s="149">
        <f>المبيعات!J38</f>
        <v>1019016.5</v>
      </c>
      <c r="F55" s="140">
        <f>المبيعات!M38</f>
        <v>1937661</v>
      </c>
      <c r="G55" s="35">
        <f>C55+D55+E55+F55</f>
        <v>6645301.5</v>
      </c>
    </row>
    <row r="56" spans="2:7" ht="17.25" customHeight="1" thickBot="1" x14ac:dyDescent="0.25">
      <c r="B56" s="145" t="s">
        <v>78</v>
      </c>
      <c r="C56" s="140">
        <f>المبيعات!E38</f>
        <v>14708.5</v>
      </c>
      <c r="D56" s="140">
        <f>المبيعات!H38</f>
        <v>164512.92000000001</v>
      </c>
      <c r="E56" s="140">
        <f>المبيعات!K38</f>
        <v>59168.700000000004</v>
      </c>
      <c r="F56" s="140">
        <f>المبيعات!N38</f>
        <v>91598.52</v>
      </c>
      <c r="G56" s="35">
        <f>F56+E56+D56+C56</f>
        <v>329988.64</v>
      </c>
    </row>
    <row r="57" spans="2:7" ht="17.25" customHeight="1" thickBot="1" x14ac:dyDescent="0.25">
      <c r="B57" s="145" t="s">
        <v>79</v>
      </c>
      <c r="C57" s="443">
        <f>المبيعات!P38</f>
        <v>65862</v>
      </c>
      <c r="D57" s="444"/>
      <c r="E57" s="444"/>
      <c r="F57" s="445"/>
      <c r="G57" s="36">
        <f>C57</f>
        <v>65862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H19" sqref="H19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399" t="s">
        <v>5</v>
      </c>
      <c r="D3" s="399"/>
      <c r="E3" s="450"/>
      <c r="F3" s="451" t="s">
        <v>11</v>
      </c>
      <c r="G3" s="399"/>
      <c r="H3" s="450"/>
      <c r="I3" s="407" t="s">
        <v>12</v>
      </c>
      <c r="J3" s="399"/>
      <c r="K3" s="406"/>
      <c r="L3" s="451" t="s">
        <v>50</v>
      </c>
      <c r="M3" s="399"/>
      <c r="N3" s="450"/>
      <c r="O3" s="407" t="s">
        <v>45</v>
      </c>
      <c r="P3" s="399"/>
      <c r="Q3" s="399"/>
      <c r="R3" s="41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82</v>
      </c>
      <c r="G5" s="194"/>
      <c r="H5" s="213">
        <v>22299</v>
      </c>
      <c r="I5" s="211">
        <v>24</v>
      </c>
      <c r="J5" s="5"/>
      <c r="K5" s="213">
        <v>6553</v>
      </c>
      <c r="L5" s="214"/>
      <c r="M5" s="192"/>
      <c r="N5" s="215"/>
      <c r="O5" s="217">
        <v>2150</v>
      </c>
      <c r="P5" s="218"/>
      <c r="Q5" s="294">
        <f t="shared" ref="Q5:Q26" si="0">P5+O5</f>
        <v>2150</v>
      </c>
      <c r="R5" s="220" t="s">
        <v>235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76</v>
      </c>
      <c r="G6" s="194">
        <v>34</v>
      </c>
      <c r="H6" s="213">
        <v>32443</v>
      </c>
      <c r="I6" s="211">
        <v>15</v>
      </c>
      <c r="J6" s="5">
        <v>17</v>
      </c>
      <c r="K6" s="213">
        <v>8979</v>
      </c>
      <c r="L6" s="214"/>
      <c r="M6" s="192"/>
      <c r="N6" s="215"/>
      <c r="O6" s="217">
        <v>2720</v>
      </c>
      <c r="P6" s="218"/>
      <c r="Q6" s="294">
        <f t="shared" si="0"/>
        <v>2720</v>
      </c>
      <c r="R6" s="220" t="s">
        <v>237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49</v>
      </c>
      <c r="D7" s="5">
        <v>34</v>
      </c>
      <c r="E7" s="213">
        <v>40816</v>
      </c>
      <c r="F7" s="211">
        <v>25</v>
      </c>
      <c r="G7" s="194">
        <v>17</v>
      </c>
      <c r="H7" s="213">
        <v>21247</v>
      </c>
      <c r="I7" s="211">
        <v>31</v>
      </c>
      <c r="J7" s="5"/>
      <c r="K7" s="213">
        <v>3641</v>
      </c>
      <c r="L7" s="214"/>
      <c r="M7" s="192"/>
      <c r="N7" s="215"/>
      <c r="O7" s="217">
        <v>3790</v>
      </c>
      <c r="P7" s="218"/>
      <c r="Q7" s="294">
        <f t="shared" si="0"/>
        <v>3790</v>
      </c>
      <c r="R7" s="220" t="s">
        <v>233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28</v>
      </c>
      <c r="D8" s="5"/>
      <c r="E8" s="213">
        <v>2753</v>
      </c>
      <c r="F8" s="211">
        <v>50</v>
      </c>
      <c r="G8" s="194">
        <v>17</v>
      </c>
      <c r="H8" s="213">
        <v>19407</v>
      </c>
      <c r="I8" s="211">
        <v>16</v>
      </c>
      <c r="J8" s="5"/>
      <c r="K8" s="213">
        <v>5923</v>
      </c>
      <c r="L8" s="211">
        <v>150</v>
      </c>
      <c r="M8" s="5">
        <v>34</v>
      </c>
      <c r="N8" s="216">
        <v>4036</v>
      </c>
      <c r="O8" s="217">
        <v>2310</v>
      </c>
      <c r="P8" s="219"/>
      <c r="Q8" s="294">
        <f t="shared" si="0"/>
        <v>2310</v>
      </c>
      <c r="R8" s="220" t="s">
        <v>232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80</v>
      </c>
      <c r="G9" s="194">
        <v>68</v>
      </c>
      <c r="H9" s="213">
        <v>37788</v>
      </c>
      <c r="I9" s="211">
        <v>18</v>
      </c>
      <c r="J9" s="5">
        <v>17</v>
      </c>
      <c r="K9" s="213">
        <v>11313</v>
      </c>
      <c r="L9" s="214"/>
      <c r="M9" s="192"/>
      <c r="N9" s="215"/>
      <c r="O9" s="217">
        <v>3270</v>
      </c>
      <c r="P9" s="218"/>
      <c r="Q9" s="294">
        <f t="shared" si="0"/>
        <v>3270</v>
      </c>
      <c r="R9" s="220" t="s">
        <v>239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15</v>
      </c>
      <c r="D10" s="5"/>
      <c r="E10" s="213">
        <v>3737</v>
      </c>
      <c r="F10" s="211">
        <v>67</v>
      </c>
      <c r="G10" s="194">
        <v>17</v>
      </c>
      <c r="H10" s="213">
        <v>22017</v>
      </c>
      <c r="I10" s="214"/>
      <c r="J10" s="192"/>
      <c r="K10" s="212"/>
      <c r="L10" s="211">
        <v>170</v>
      </c>
      <c r="M10" s="5"/>
      <c r="N10" s="216">
        <v>5332</v>
      </c>
      <c r="O10" s="217">
        <v>2375</v>
      </c>
      <c r="P10" s="219"/>
      <c r="Q10" s="294">
        <f t="shared" si="0"/>
        <v>2375</v>
      </c>
      <c r="R10" s="220" t="s">
        <v>240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20</v>
      </c>
      <c r="D11" s="5"/>
      <c r="E11" s="213">
        <v>7031</v>
      </c>
      <c r="F11" s="211">
        <v>74</v>
      </c>
      <c r="G11" s="194"/>
      <c r="H11" s="213">
        <v>16125</v>
      </c>
      <c r="I11" s="214"/>
      <c r="J11" s="192"/>
      <c r="K11" s="212"/>
      <c r="L11" s="211">
        <v>162</v>
      </c>
      <c r="M11" s="5"/>
      <c r="N11" s="216">
        <v>20056</v>
      </c>
      <c r="O11" s="217">
        <v>2800</v>
      </c>
      <c r="P11" s="219"/>
      <c r="Q11" s="294">
        <f t="shared" si="0"/>
        <v>2800</v>
      </c>
      <c r="R11" s="220" t="s">
        <v>241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170</v>
      </c>
      <c r="G12" s="194"/>
      <c r="H12" s="213">
        <v>38673</v>
      </c>
      <c r="I12" s="211">
        <v>56</v>
      </c>
      <c r="J12" s="5"/>
      <c r="K12" s="213">
        <v>10563</v>
      </c>
      <c r="L12" s="214"/>
      <c r="M12" s="192"/>
      <c r="N12" s="215"/>
      <c r="O12" s="217">
        <v>3030</v>
      </c>
      <c r="P12" s="218"/>
      <c r="Q12" s="294">
        <f t="shared" si="0"/>
        <v>3030</v>
      </c>
      <c r="R12" s="220" t="s">
        <v>230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172</v>
      </c>
      <c r="G13" s="194">
        <v>34</v>
      </c>
      <c r="H13" s="213">
        <v>36000</v>
      </c>
      <c r="I13" s="211">
        <v>35</v>
      </c>
      <c r="J13" s="5">
        <v>17</v>
      </c>
      <c r="K13" s="213">
        <v>10000</v>
      </c>
      <c r="L13" s="211">
        <v>65</v>
      </c>
      <c r="M13" s="5">
        <v>51</v>
      </c>
      <c r="N13" s="216">
        <v>32300</v>
      </c>
      <c r="O13" s="217"/>
      <c r="P13" s="219"/>
      <c r="Q13" s="294">
        <f t="shared" si="0"/>
        <v>0</v>
      </c>
      <c r="R13" s="220" t="s">
        <v>217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73</v>
      </c>
      <c r="G14" s="194"/>
      <c r="H14" s="213">
        <v>6883</v>
      </c>
      <c r="I14" s="211">
        <v>17</v>
      </c>
      <c r="J14" s="5"/>
      <c r="K14" s="213">
        <v>3154</v>
      </c>
      <c r="L14" s="211">
        <v>135</v>
      </c>
      <c r="M14" s="5">
        <v>51</v>
      </c>
      <c r="N14" s="216">
        <v>57023</v>
      </c>
      <c r="O14" s="217">
        <v>6458</v>
      </c>
      <c r="P14" s="219"/>
      <c r="Q14" s="294">
        <f t="shared" si="0"/>
        <v>6458</v>
      </c>
      <c r="R14" s="220" t="s">
        <v>236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86</v>
      </c>
      <c r="G15" s="194">
        <v>34</v>
      </c>
      <c r="H15" s="213">
        <v>8190</v>
      </c>
      <c r="I15" s="211">
        <v>18</v>
      </c>
      <c r="J15" s="5"/>
      <c r="K15" s="213">
        <v>2250</v>
      </c>
      <c r="L15" s="211">
        <v>50</v>
      </c>
      <c r="M15" s="5"/>
      <c r="N15" s="216">
        <v>2137</v>
      </c>
      <c r="O15" s="217">
        <v>1040</v>
      </c>
      <c r="P15" s="219"/>
      <c r="Q15" s="294">
        <f t="shared" si="0"/>
        <v>1040</v>
      </c>
      <c r="R15" s="220" t="s">
        <v>219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41</v>
      </c>
      <c r="G16" s="194">
        <v>17</v>
      </c>
      <c r="H16" s="213">
        <v>2838</v>
      </c>
      <c r="I16" s="211">
        <v>25</v>
      </c>
      <c r="J16" s="5"/>
      <c r="K16" s="213">
        <v>647</v>
      </c>
      <c r="L16" s="214"/>
      <c r="M16" s="192"/>
      <c r="N16" s="215"/>
      <c r="O16" s="217">
        <v>217</v>
      </c>
      <c r="P16" s="218"/>
      <c r="Q16" s="294">
        <f t="shared" si="0"/>
        <v>217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74</v>
      </c>
      <c r="G17" s="194"/>
      <c r="H17" s="213">
        <v>3460</v>
      </c>
      <c r="I17" s="211">
        <v>24</v>
      </c>
      <c r="J17" s="5"/>
      <c r="K17" s="213">
        <v>1363</v>
      </c>
      <c r="L17" s="211">
        <v>148</v>
      </c>
      <c r="M17" s="5"/>
      <c r="N17" s="216">
        <v>7720</v>
      </c>
      <c r="O17" s="217">
        <v>1390</v>
      </c>
      <c r="P17" s="219"/>
      <c r="Q17" s="294">
        <f t="shared" si="0"/>
        <v>1390</v>
      </c>
      <c r="R17" s="220" t="s">
        <v>221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64</v>
      </c>
      <c r="G18" s="194">
        <v>17</v>
      </c>
      <c r="H18" s="213">
        <v>13032</v>
      </c>
      <c r="I18" s="211">
        <v>24</v>
      </c>
      <c r="J18" s="5"/>
      <c r="K18" s="213">
        <v>2423</v>
      </c>
      <c r="L18" s="211">
        <v>124</v>
      </c>
      <c r="M18" s="5">
        <v>34</v>
      </c>
      <c r="N18" s="216">
        <v>26136</v>
      </c>
      <c r="O18" s="217">
        <v>1035</v>
      </c>
      <c r="P18" s="219">
        <v>2004</v>
      </c>
      <c r="Q18" s="294">
        <f t="shared" si="0"/>
        <v>3039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78</v>
      </c>
      <c r="G19" s="194"/>
      <c r="H19" s="213">
        <v>7169</v>
      </c>
      <c r="I19" s="211">
        <v>18</v>
      </c>
      <c r="J19" s="5"/>
      <c r="K19" s="213">
        <v>1501</v>
      </c>
      <c r="L19" s="214"/>
      <c r="M19" s="192"/>
      <c r="N19" s="215"/>
      <c r="O19" s="217">
        <v>820</v>
      </c>
      <c r="P19" s="218"/>
      <c r="Q19" s="294">
        <f t="shared" si="0"/>
        <v>820</v>
      </c>
      <c r="R19" s="220" t="s">
        <v>223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17</v>
      </c>
      <c r="D20" s="5"/>
      <c r="E20" s="213">
        <v>486</v>
      </c>
      <c r="F20" s="211">
        <v>48</v>
      </c>
      <c r="G20" s="194"/>
      <c r="H20" s="213">
        <v>1142</v>
      </c>
      <c r="I20" s="214"/>
      <c r="J20" s="192"/>
      <c r="K20" s="212"/>
      <c r="L20" s="211">
        <v>96</v>
      </c>
      <c r="M20" s="5"/>
      <c r="N20" s="216">
        <v>17679</v>
      </c>
      <c r="O20" s="217">
        <v>160</v>
      </c>
      <c r="P20" s="219">
        <v>1460</v>
      </c>
      <c r="Q20" s="294">
        <f t="shared" si="0"/>
        <v>1620</v>
      </c>
      <c r="R20" s="220" t="s">
        <v>227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57</v>
      </c>
      <c r="G21" s="194"/>
      <c r="H21" s="213">
        <v>1913</v>
      </c>
      <c r="I21" s="214"/>
      <c r="J21" s="192"/>
      <c r="K21" s="212"/>
      <c r="L21" s="211">
        <v>108</v>
      </c>
      <c r="M21" s="5"/>
      <c r="N21" s="216">
        <v>2856</v>
      </c>
      <c r="O21" s="217">
        <v>143</v>
      </c>
      <c r="P21" s="219">
        <v>166</v>
      </c>
      <c r="Q21" s="294">
        <f t="shared" si="0"/>
        <v>309</v>
      </c>
      <c r="R21" s="220" t="s">
        <v>238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84</v>
      </c>
      <c r="G22" s="194">
        <v>17</v>
      </c>
      <c r="H22" s="213">
        <v>2596</v>
      </c>
      <c r="I22" s="211">
        <v>23</v>
      </c>
      <c r="J22" s="5"/>
      <c r="K22" s="213">
        <v>13790</v>
      </c>
      <c r="L22" s="211">
        <v>109</v>
      </c>
      <c r="M22" s="5">
        <v>68</v>
      </c>
      <c r="N22" s="216">
        <v>55342</v>
      </c>
      <c r="O22" s="217">
        <v>1555</v>
      </c>
      <c r="P22" s="219">
        <v>4345</v>
      </c>
      <c r="Q22" s="294">
        <f t="shared" si="0"/>
        <v>5900</v>
      </c>
      <c r="R22" s="220" t="s">
        <v>224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73</v>
      </c>
      <c r="G23" s="194">
        <v>17</v>
      </c>
      <c r="H23" s="213">
        <v>14251</v>
      </c>
      <c r="I23" s="211">
        <v>25</v>
      </c>
      <c r="J23" s="5"/>
      <c r="K23" s="213">
        <v>3241</v>
      </c>
      <c r="L23" s="211">
        <v>129</v>
      </c>
      <c r="M23" s="5">
        <v>51</v>
      </c>
      <c r="N23" s="216">
        <v>55638</v>
      </c>
      <c r="O23" s="217">
        <v>1460</v>
      </c>
      <c r="P23" s="219">
        <v>4060</v>
      </c>
      <c r="Q23" s="294">
        <f t="shared" si="0"/>
        <v>5520</v>
      </c>
      <c r="R23" s="220" t="s">
        <v>222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78</v>
      </c>
      <c r="G24" s="194"/>
      <c r="H24" s="213">
        <v>10460</v>
      </c>
      <c r="I24" s="211">
        <v>27</v>
      </c>
      <c r="J24" s="5"/>
      <c r="K24" s="213">
        <v>892</v>
      </c>
      <c r="L24" s="211">
        <v>125</v>
      </c>
      <c r="M24" s="5">
        <v>51</v>
      </c>
      <c r="N24" s="216">
        <v>28641</v>
      </c>
      <c r="O24" s="217">
        <v>921</v>
      </c>
      <c r="P24" s="219">
        <v>2049</v>
      </c>
      <c r="Q24" s="294">
        <f t="shared" si="0"/>
        <v>2970</v>
      </c>
      <c r="R24" s="220" t="s">
        <v>219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56</v>
      </c>
      <c r="G25" s="194">
        <v>34</v>
      </c>
      <c r="H25" s="213">
        <v>7704</v>
      </c>
      <c r="I25" s="211">
        <v>13</v>
      </c>
      <c r="J25" s="5"/>
      <c r="K25" s="213">
        <v>1495</v>
      </c>
      <c r="L25" s="211">
        <v>136</v>
      </c>
      <c r="M25" s="5">
        <v>17</v>
      </c>
      <c r="N25" s="216">
        <v>23278</v>
      </c>
      <c r="O25" s="217">
        <v>775</v>
      </c>
      <c r="P25" s="219">
        <v>1945</v>
      </c>
      <c r="Q25" s="294">
        <f t="shared" si="0"/>
        <v>2720</v>
      </c>
      <c r="R25" s="220" t="s">
        <v>229</v>
      </c>
    </row>
    <row r="26" spans="1:20" ht="16.5" thickBot="1" x14ac:dyDescent="0.3">
      <c r="A26" s="299">
        <v>22</v>
      </c>
      <c r="B26" s="297" t="s">
        <v>112</v>
      </c>
      <c r="C26" s="197">
        <v>80</v>
      </c>
      <c r="D26" s="194"/>
      <c r="E26" s="213">
        <v>4011</v>
      </c>
      <c r="F26" s="211">
        <v>15</v>
      </c>
      <c r="G26" s="194">
        <v>17</v>
      </c>
      <c r="H26" s="213">
        <v>8323</v>
      </c>
      <c r="I26" s="211">
        <v>39</v>
      </c>
      <c r="J26" s="5"/>
      <c r="K26" s="213">
        <v>1619</v>
      </c>
      <c r="L26" s="211">
        <v>144</v>
      </c>
      <c r="M26" s="5">
        <v>34</v>
      </c>
      <c r="N26" s="216">
        <v>14128</v>
      </c>
      <c r="O26" s="217">
        <v>1100</v>
      </c>
      <c r="P26" s="219"/>
      <c r="Q26" s="294">
        <f t="shared" si="0"/>
        <v>1100</v>
      </c>
      <c r="R26" s="220" t="s">
        <v>231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130</v>
      </c>
      <c r="G27" s="194"/>
      <c r="H27" s="213">
        <v>9133</v>
      </c>
      <c r="I27" s="211">
        <v>40</v>
      </c>
      <c r="J27" s="5"/>
      <c r="K27" s="213">
        <v>1412</v>
      </c>
      <c r="L27" s="214"/>
      <c r="M27" s="192"/>
      <c r="N27" s="215"/>
      <c r="O27" s="217">
        <v>900</v>
      </c>
      <c r="P27" s="218"/>
      <c r="Q27" s="294">
        <f t="shared" ref="Q27:Q30" si="1">P27+O27</f>
        <v>900</v>
      </c>
      <c r="R27" s="220" t="s">
        <v>225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143</v>
      </c>
      <c r="G28" s="194">
        <v>34</v>
      </c>
      <c r="H28" s="213">
        <v>30675</v>
      </c>
      <c r="I28" s="211">
        <v>73</v>
      </c>
      <c r="J28" s="5">
        <v>17</v>
      </c>
      <c r="K28" s="213">
        <v>9989</v>
      </c>
      <c r="L28" s="214"/>
      <c r="M28" s="192"/>
      <c r="N28" s="215"/>
      <c r="O28" s="217">
        <v>444</v>
      </c>
      <c r="P28" s="218"/>
      <c r="Q28" s="294">
        <f t="shared" si="1"/>
        <v>444</v>
      </c>
      <c r="R28" s="220" t="s">
        <v>226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162</v>
      </c>
      <c r="G29" s="194">
        <v>34</v>
      </c>
      <c r="H29" s="213">
        <v>31714</v>
      </c>
      <c r="I29" s="211">
        <v>78</v>
      </c>
      <c r="J29" s="5">
        <v>17</v>
      </c>
      <c r="K29" s="213">
        <v>9295</v>
      </c>
      <c r="L29" s="214"/>
      <c r="M29" s="192"/>
      <c r="N29" s="215"/>
      <c r="O29" s="217">
        <v>3440</v>
      </c>
      <c r="P29" s="218"/>
      <c r="Q29" s="294">
        <f t="shared" si="1"/>
        <v>3440</v>
      </c>
      <c r="R29" s="220"/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159</v>
      </c>
      <c r="G30" s="194">
        <v>34</v>
      </c>
      <c r="H30" s="213">
        <v>37268</v>
      </c>
      <c r="I30" s="211">
        <v>71</v>
      </c>
      <c r="J30" s="5">
        <v>17</v>
      </c>
      <c r="K30" s="213">
        <v>8811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228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151</v>
      </c>
      <c r="G31" s="194">
        <v>34</v>
      </c>
      <c r="H31" s="213">
        <v>55774</v>
      </c>
      <c r="I31" s="211">
        <v>75</v>
      </c>
      <c r="J31" s="5">
        <v>17</v>
      </c>
      <c r="K31" s="213">
        <v>12632</v>
      </c>
      <c r="L31" s="214"/>
      <c r="M31" s="192"/>
      <c r="N31" s="215"/>
      <c r="O31" s="217">
        <v>5530</v>
      </c>
      <c r="P31" s="218"/>
      <c r="Q31" s="294">
        <f t="shared" ref="Q31:Q35" si="2">P31+O31</f>
        <v>5530</v>
      </c>
      <c r="R31" s="220" t="s">
        <v>234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34</v>
      </c>
      <c r="G39" s="193">
        <f>SUM(G5:G31)</f>
        <v>476</v>
      </c>
      <c r="J39" s="193">
        <f>SUM(J5:J31)</f>
        <v>119</v>
      </c>
      <c r="M39" s="193">
        <f>SUM(M5:M31)</f>
        <v>391</v>
      </c>
    </row>
  </sheetData>
  <sheetProtection selectLockedCells="1"/>
  <customSheetViews>
    <customSheetView guid="{18C0F7AC-4BB1-46DE-8A01-8E31FE0585FC}" scale="85" fitToPage="1">
      <selection activeCell="H19" sqref="H19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30675</v>
      </c>
      <c r="F10" s="350">
        <f>'أخذ التمام الصباحي'!$K$28</f>
        <v>9989</v>
      </c>
      <c r="G10" s="342"/>
      <c r="H10" s="343">
        <f>SUM(D10:G10)</f>
        <v>40664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31714</v>
      </c>
      <c r="F11" s="350">
        <f>'أخذ التمام الصباحي'!$K$29</f>
        <v>9295</v>
      </c>
      <c r="G11" s="342"/>
      <c r="H11" s="343">
        <f t="shared" ref="H11" si="0">SUM(D11:G11)</f>
        <v>41009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37268</v>
      </c>
      <c r="F12" s="350">
        <f>'أخذ التمام الصباحي'!$K$30</f>
        <v>8811</v>
      </c>
      <c r="G12" s="342"/>
      <c r="H12" s="343">
        <f>SUM(D12:G12)</f>
        <v>46079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55774</v>
      </c>
      <c r="F13" s="350">
        <f>'أخذ التمام الصباحي'!$K$31</f>
        <v>12632</v>
      </c>
      <c r="G13" s="342"/>
      <c r="H13" s="343">
        <f>SUM(D13:G13)</f>
        <v>68406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32443</v>
      </c>
      <c r="F14" s="350">
        <f>'أخذ التمام الصباحي'!$K$6</f>
        <v>8979</v>
      </c>
      <c r="G14" s="342"/>
      <c r="H14" s="343">
        <f>SUM(D14:G14)</f>
        <v>41422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40816</v>
      </c>
      <c r="E15" s="350">
        <f>'أخذ التمام الصباحي'!$H$7</f>
        <v>21247</v>
      </c>
      <c r="F15" s="350">
        <f>'أخذ التمام الصباحي'!$K$7</f>
        <v>3641</v>
      </c>
      <c r="G15" s="342"/>
      <c r="H15" s="343">
        <f t="shared" ref="H15:H17" si="1">SUM(D15:G15)</f>
        <v>65704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4011</v>
      </c>
      <c r="E16" s="350">
        <f>'أخذ التمام الصباحي'!$H$26</f>
        <v>8323</v>
      </c>
      <c r="F16" s="350">
        <f>'أخذ التمام الصباحي'!$K$26</f>
        <v>1619</v>
      </c>
      <c r="G16" s="350">
        <f>'أخذ التمام الصباحي'!$N$26</f>
        <v>14128</v>
      </c>
      <c r="H16" s="343">
        <f t="shared" si="1"/>
        <v>28081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9133</v>
      </c>
      <c r="F17" s="350">
        <f>'أخذ التمام الصباحي'!$K$27</f>
        <v>1412</v>
      </c>
      <c r="G17" s="342"/>
      <c r="H17" s="343">
        <f t="shared" si="1"/>
        <v>10545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44827</v>
      </c>
      <c r="E18" s="351">
        <f t="shared" si="2"/>
        <v>226577</v>
      </c>
      <c r="F18" s="351">
        <f t="shared" si="2"/>
        <v>56378</v>
      </c>
      <c r="G18" s="351">
        <f t="shared" si="2"/>
        <v>14128</v>
      </c>
      <c r="H18" s="351">
        <f>SUM(H10:H17)</f>
        <v>341910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1" t="s">
        <v>243</v>
      </c>
      <c r="C6" s="471"/>
      <c r="D6" s="471"/>
      <c r="E6" s="471"/>
      <c r="F6" s="471"/>
      <c r="G6" s="471"/>
      <c r="H6" s="471"/>
      <c r="I6" s="471"/>
      <c r="J6" s="471"/>
      <c r="K6" s="471"/>
    </row>
    <row r="7" spans="2:12" ht="15.75" x14ac:dyDescent="0.25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2" t="s">
        <v>14</v>
      </c>
      <c r="C11" s="474" t="s">
        <v>3</v>
      </c>
      <c r="D11" s="474" t="s">
        <v>201</v>
      </c>
      <c r="E11" s="476" t="s">
        <v>202</v>
      </c>
      <c r="F11" s="477"/>
      <c r="G11" s="477"/>
      <c r="H11" s="478" t="s">
        <v>50</v>
      </c>
      <c r="I11" s="480" t="s">
        <v>183</v>
      </c>
      <c r="J11" s="476" t="s">
        <v>205</v>
      </c>
      <c r="K11" s="482"/>
    </row>
    <row r="12" spans="2:12" ht="15.75" customHeight="1" thickBot="1" x14ac:dyDescent="0.25">
      <c r="B12" s="473"/>
      <c r="C12" s="475"/>
      <c r="D12" s="475"/>
      <c r="E12" s="368">
        <v>80</v>
      </c>
      <c r="F12" s="368">
        <v>92</v>
      </c>
      <c r="G12" s="369">
        <v>95</v>
      </c>
      <c r="H12" s="479"/>
      <c r="I12" s="481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83" t="s">
        <v>206</v>
      </c>
      <c r="E13" s="371" t="s">
        <v>207</v>
      </c>
      <c r="F13" s="371">
        <f>'تمام محطات الوكلاء'!E14</f>
        <v>32443</v>
      </c>
      <c r="G13" s="371">
        <f>'تمام محطات الوكلاء'!F14</f>
        <v>8979</v>
      </c>
      <c r="H13" s="371" t="s">
        <v>207</v>
      </c>
      <c r="I13" s="374">
        <f>SUM(E13:H13)</f>
        <v>41422</v>
      </c>
      <c r="J13" s="372">
        <f>F13*0.2525+G13*0.355</f>
        <v>11379.4025</v>
      </c>
      <c r="K13" s="372">
        <f>F13*0.1075+G13*0.145</f>
        <v>4789.5774999999994</v>
      </c>
    </row>
    <row r="14" spans="2:12" ht="18.75" thickBot="1" x14ac:dyDescent="0.25">
      <c r="B14" s="370">
        <v>2</v>
      </c>
      <c r="C14" s="342" t="s">
        <v>112</v>
      </c>
      <c r="D14" s="484"/>
      <c r="E14" s="373">
        <f>'تمام محطات الوكلاء'!D16</f>
        <v>4011</v>
      </c>
      <c r="F14" s="371">
        <f>'تمام محطات الوكلاء'!E16</f>
        <v>8323</v>
      </c>
      <c r="G14" s="371">
        <f>'تمام محطات الوكلاء'!F16</f>
        <v>1619</v>
      </c>
      <c r="H14" s="371">
        <f>'تمام محطات الوكلاء'!G16</f>
        <v>14128</v>
      </c>
      <c r="I14" s="374">
        <f t="shared" ref="I14:I22" si="0">SUM(E14:H14)</f>
        <v>28081</v>
      </c>
      <c r="J14" s="372">
        <f>E14*0.2105+F14*0.2525+H14*0.195+G14*0.355</f>
        <v>6275.5779999999995</v>
      </c>
      <c r="K14" s="372">
        <f>E14*0.0695+F14*0.1075+G14*0.145+H14*0.085</f>
        <v>2609.1220000000003</v>
      </c>
    </row>
    <row r="15" spans="2:12" ht="18.75" thickBot="1" x14ac:dyDescent="0.25">
      <c r="B15" s="370">
        <v>3</v>
      </c>
      <c r="C15" s="342" t="s">
        <v>158</v>
      </c>
      <c r="D15" s="485"/>
      <c r="E15" s="373">
        <f>'تمام محطات الوكلاء'!D15</f>
        <v>40816</v>
      </c>
      <c r="F15" s="373">
        <f>'تمام محطات الوكلاء'!E15</f>
        <v>21247</v>
      </c>
      <c r="G15" s="373">
        <f>'تمام محطات الوكلاء'!F15</f>
        <v>3641</v>
      </c>
      <c r="H15" s="371" t="s">
        <v>207</v>
      </c>
      <c r="I15" s="374">
        <f t="shared" si="0"/>
        <v>65704</v>
      </c>
      <c r="J15" s="372">
        <f>E15*0.2105+F15*0.2525+G15*0.355</f>
        <v>15249.190500000001</v>
      </c>
      <c r="K15" s="372">
        <f>E15*0.0695+F15*0.1075+G15*0.145</f>
        <v>5648.7094999999999</v>
      </c>
    </row>
    <row r="16" spans="2:12" ht="21" thickBot="1" x14ac:dyDescent="0.25">
      <c r="B16" s="486" t="s">
        <v>208</v>
      </c>
      <c r="C16" s="487"/>
      <c r="D16" s="488"/>
      <c r="E16" s="375">
        <f>SUM(E13:E15)</f>
        <v>44827</v>
      </c>
      <c r="F16" s="375">
        <f t="shared" ref="F16:K16" si="1">SUM(F13:F15)</f>
        <v>62013</v>
      </c>
      <c r="G16" s="375">
        <f t="shared" si="1"/>
        <v>14239</v>
      </c>
      <c r="H16" s="375">
        <f t="shared" si="1"/>
        <v>14128</v>
      </c>
      <c r="I16" s="376">
        <f t="shared" si="1"/>
        <v>135207</v>
      </c>
      <c r="J16" s="375">
        <f t="shared" si="1"/>
        <v>32904.171000000002</v>
      </c>
      <c r="K16" s="377">
        <f t="shared" si="1"/>
        <v>13047.409</v>
      </c>
    </row>
    <row r="17" spans="2:11" ht="18.75" thickBot="1" x14ac:dyDescent="0.25">
      <c r="B17" s="370">
        <v>4</v>
      </c>
      <c r="C17" s="342" t="s">
        <v>121</v>
      </c>
      <c r="D17" s="489" t="s">
        <v>209</v>
      </c>
      <c r="E17" s="371" t="s">
        <v>207</v>
      </c>
      <c r="F17" s="371">
        <f>'تمام محطات الوكلاء'!E17</f>
        <v>9133</v>
      </c>
      <c r="G17" s="371">
        <f>'تمام محطات الوكلاء'!F17</f>
        <v>1412</v>
      </c>
      <c r="H17" s="371" t="s">
        <v>207</v>
      </c>
      <c r="I17" s="374">
        <f t="shared" si="0"/>
        <v>10545</v>
      </c>
      <c r="J17" s="372">
        <f>F17*0.2525+G17*0.355</f>
        <v>2807.3424999999997</v>
      </c>
      <c r="K17" s="372">
        <f>F17*0.1075+G17*0.145</f>
        <v>1186.5374999999999</v>
      </c>
    </row>
    <row r="18" spans="2:11" ht="18.75" thickBot="1" x14ac:dyDescent="0.25">
      <c r="B18" s="370">
        <v>5</v>
      </c>
      <c r="C18" s="344" t="s">
        <v>210</v>
      </c>
      <c r="D18" s="490"/>
      <c r="E18" s="371" t="s">
        <v>207</v>
      </c>
      <c r="F18" s="371">
        <f>'تمام محطات الوكلاء'!E12</f>
        <v>37268</v>
      </c>
      <c r="G18" s="371">
        <f>'تمام محطات الوكلاء'!F12</f>
        <v>8811</v>
      </c>
      <c r="H18" s="371" t="s">
        <v>207</v>
      </c>
      <c r="I18" s="374">
        <f t="shared" si="0"/>
        <v>46079</v>
      </c>
      <c r="J18" s="372">
        <f>F18*0.2525+G18*0.355</f>
        <v>12538.075000000001</v>
      </c>
      <c r="K18" s="372">
        <f>F18*0.1075+G18*0.145</f>
        <v>5283.9049999999997</v>
      </c>
    </row>
    <row r="19" spans="2:11" ht="18.75" thickBot="1" x14ac:dyDescent="0.25">
      <c r="B19" s="370">
        <v>6</v>
      </c>
      <c r="C19" s="342" t="s">
        <v>211</v>
      </c>
      <c r="D19" s="491"/>
      <c r="E19" s="371" t="s">
        <v>207</v>
      </c>
      <c r="F19" s="371">
        <f>'تمام محطات الوكلاء'!E10</f>
        <v>30675</v>
      </c>
      <c r="G19" s="371">
        <f>'تمام محطات الوكلاء'!F10</f>
        <v>9989</v>
      </c>
      <c r="H19" s="371" t="s">
        <v>207</v>
      </c>
      <c r="I19" s="374">
        <f t="shared" si="0"/>
        <v>40664</v>
      </c>
      <c r="J19" s="372">
        <f>F19*0.2525+G19*0.355</f>
        <v>11291.532499999999</v>
      </c>
      <c r="K19" s="372">
        <f>F19*0.1075+G19*0.145</f>
        <v>4745.9674999999997</v>
      </c>
    </row>
    <row r="20" spans="2:11" ht="21" thickBot="1" x14ac:dyDescent="0.25">
      <c r="B20" s="492" t="s">
        <v>212</v>
      </c>
      <c r="C20" s="493"/>
      <c r="D20" s="494"/>
      <c r="E20" s="378"/>
      <c r="F20" s="379">
        <f t="shared" ref="F20:K20" si="2">SUM(F17:F19)</f>
        <v>77076</v>
      </c>
      <c r="G20" s="379">
        <f t="shared" si="2"/>
        <v>20212</v>
      </c>
      <c r="H20" s="379"/>
      <c r="I20" s="380">
        <f t="shared" si="2"/>
        <v>97288</v>
      </c>
      <c r="J20" s="379">
        <f t="shared" si="2"/>
        <v>26636.949999999997</v>
      </c>
      <c r="K20" s="379">
        <f t="shared" si="2"/>
        <v>11216.41</v>
      </c>
    </row>
    <row r="21" spans="2:11" ht="18.75" thickBot="1" x14ac:dyDescent="0.25">
      <c r="B21" s="370">
        <v>7</v>
      </c>
      <c r="C21" s="342" t="s">
        <v>213</v>
      </c>
      <c r="D21" s="489" t="s">
        <v>214</v>
      </c>
      <c r="E21" s="371" t="s">
        <v>207</v>
      </c>
      <c r="F21" s="371">
        <f>'تمام محطات الوكلاء'!E13</f>
        <v>55774</v>
      </c>
      <c r="G21" s="371">
        <f>'تمام محطات الوكلاء'!F13</f>
        <v>12632</v>
      </c>
      <c r="H21" s="371" t="s">
        <v>207</v>
      </c>
      <c r="I21" s="374">
        <f t="shared" si="0"/>
        <v>68406</v>
      </c>
      <c r="J21" s="372">
        <f>F21*0.2525+G21*0.355</f>
        <v>18567.294999999998</v>
      </c>
      <c r="K21" s="372">
        <f>F21*0.1075+G21*0.145</f>
        <v>7827.3449999999993</v>
      </c>
    </row>
    <row r="22" spans="2:11" ht="18.75" thickBot="1" x14ac:dyDescent="0.25">
      <c r="B22" s="370">
        <v>8</v>
      </c>
      <c r="C22" s="342" t="s">
        <v>215</v>
      </c>
      <c r="D22" s="490"/>
      <c r="E22" s="371" t="s">
        <v>207</v>
      </c>
      <c r="F22" s="371">
        <f>'تمام محطات الوكلاء'!E11</f>
        <v>31714</v>
      </c>
      <c r="G22" s="371">
        <f>'تمام محطات الوكلاء'!F11</f>
        <v>9295</v>
      </c>
      <c r="H22" s="371" t="s">
        <v>207</v>
      </c>
      <c r="I22" s="374">
        <f t="shared" si="0"/>
        <v>41009</v>
      </c>
      <c r="J22" s="372">
        <f>F22*0.2525+G22*0.355</f>
        <v>11307.51</v>
      </c>
      <c r="K22" s="372">
        <f>F22*0.1075+G22*0.145</f>
        <v>4757.03</v>
      </c>
    </row>
    <row r="23" spans="2:11" ht="21" thickBot="1" x14ac:dyDescent="0.25">
      <c r="B23" s="468" t="s">
        <v>216</v>
      </c>
      <c r="C23" s="469"/>
      <c r="D23" s="470"/>
      <c r="E23" s="381"/>
      <c r="F23" s="381">
        <f t="shared" ref="F23:K23" si="3">SUM(F21:F22)</f>
        <v>87488</v>
      </c>
      <c r="G23" s="381">
        <f t="shared" si="3"/>
        <v>21927</v>
      </c>
      <c r="H23" s="381"/>
      <c r="I23" s="382">
        <f t="shared" si="3"/>
        <v>109415</v>
      </c>
      <c r="J23" s="381">
        <f t="shared" si="3"/>
        <v>29874.805</v>
      </c>
      <c r="K23" s="383">
        <f t="shared" si="3"/>
        <v>12584.375</v>
      </c>
    </row>
    <row r="24" spans="2:11" x14ac:dyDescent="0.2">
      <c r="B24" s="466" t="s">
        <v>204</v>
      </c>
      <c r="C24" s="466"/>
      <c r="D24" s="466"/>
      <c r="E24" s="464">
        <f>SUM(E16,E20,E23)</f>
        <v>44827</v>
      </c>
      <c r="F24" s="464">
        <f t="shared" ref="F24:K24" si="4">SUM(F16,F20,F23)</f>
        <v>226577</v>
      </c>
      <c r="G24" s="464">
        <f t="shared" si="4"/>
        <v>56378</v>
      </c>
      <c r="H24" s="464">
        <f t="shared" si="4"/>
        <v>14128</v>
      </c>
      <c r="I24" s="464">
        <f t="shared" si="4"/>
        <v>341910</v>
      </c>
      <c r="J24" s="464">
        <f t="shared" si="4"/>
        <v>89415.926000000007</v>
      </c>
      <c r="K24" s="464">
        <f t="shared" si="4"/>
        <v>36848.194000000003</v>
      </c>
    </row>
    <row r="25" spans="2:11" ht="15" customHeight="1" thickBot="1" x14ac:dyDescent="0.25">
      <c r="B25" s="467"/>
      <c r="C25" s="467"/>
      <c r="D25" s="467"/>
      <c r="E25" s="465"/>
      <c r="F25" s="465"/>
      <c r="G25" s="465"/>
      <c r="H25" s="465"/>
      <c r="I25" s="465"/>
      <c r="J25" s="465"/>
      <c r="K25" s="465"/>
    </row>
  </sheetData>
  <customSheetViews>
    <customSheetView guid="{18C0F7AC-4BB1-46DE-8A01-8E31FE0585FC}" hiddenRows="1">
      <selection activeCell="G4" sqref="G4"/>
      <pageMargins left="0.7" right="0.7" top="0.75" bottom="0.75" header="0.3" footer="0.3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8" t="s">
        <v>3</v>
      </c>
      <c r="C2" s="508" t="s">
        <v>84</v>
      </c>
      <c r="D2" s="508"/>
      <c r="E2" s="508"/>
      <c r="F2" s="508"/>
      <c r="G2" s="508" t="s">
        <v>88</v>
      </c>
      <c r="H2" s="508"/>
      <c r="I2" s="508"/>
      <c r="N2" s="501" t="s">
        <v>3</v>
      </c>
      <c r="O2" s="495" t="s">
        <v>85</v>
      </c>
      <c r="P2" s="496"/>
      <c r="Q2" s="496"/>
      <c r="R2" s="496"/>
      <c r="S2" s="496"/>
      <c r="T2" s="497"/>
    </row>
    <row r="3" spans="1:23" ht="15.75" thickBot="1" x14ac:dyDescent="0.25">
      <c r="B3" s="418"/>
      <c r="C3" s="507" t="s">
        <v>82</v>
      </c>
      <c r="D3" s="507"/>
      <c r="E3" s="507"/>
      <c r="F3" s="188" t="s">
        <v>81</v>
      </c>
      <c r="G3" s="507" t="s">
        <v>81</v>
      </c>
      <c r="H3" s="507"/>
      <c r="I3" s="507"/>
      <c r="N3" s="502"/>
      <c r="O3" s="504" t="s">
        <v>87</v>
      </c>
      <c r="P3" s="505"/>
      <c r="Q3" s="506"/>
      <c r="R3" s="504" t="s">
        <v>164</v>
      </c>
      <c r="S3" s="505"/>
      <c r="T3" s="506"/>
    </row>
    <row r="4" spans="1:23" ht="15.75" thickBot="1" x14ac:dyDescent="0.25">
      <c r="A4" s="509"/>
      <c r="B4" s="41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9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34</v>
      </c>
      <c r="S6" s="293"/>
      <c r="T6" s="293"/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>
        <v>17</v>
      </c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>
        <v>34</v>
      </c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51</v>
      </c>
      <c r="S9" s="5">
        <f t="shared" si="0"/>
        <v>0</v>
      </c>
      <c r="T9" s="5">
        <f t="shared" si="0"/>
        <v>51</v>
      </c>
    </row>
    <row r="10" spans="1:23" ht="16.5" thickBot="1" x14ac:dyDescent="0.25">
      <c r="A10" s="187"/>
      <c r="B10" s="186" t="s">
        <v>17</v>
      </c>
      <c r="C10" s="322">
        <v>68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/>
      <c r="H12" s="184"/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/>
      <c r="I13" s="184"/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503"/>
      <c r="Q14" s="163" t="s">
        <v>50</v>
      </c>
      <c r="S14" s="163" t="s">
        <v>93</v>
      </c>
      <c r="T14" s="162">
        <f>G22+C34</f>
        <v>34</v>
      </c>
      <c r="U14" s="162">
        <f>H22+D34</f>
        <v>51</v>
      </c>
      <c r="V14" s="162">
        <f>I22</f>
        <v>17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374</v>
      </c>
      <c r="V15" s="162">
        <f>D22+P9+G34</f>
        <v>102</v>
      </c>
      <c r="W15" s="162">
        <f>E22+I34+Q9</f>
        <v>136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34</v>
      </c>
      <c r="I16" s="330">
        <v>17</v>
      </c>
      <c r="P16" s="191" t="s">
        <v>31</v>
      </c>
      <c r="Q16" s="305">
        <v>51</v>
      </c>
      <c r="S16" s="163" t="s">
        <v>164</v>
      </c>
      <c r="T16" s="288"/>
      <c r="U16" s="162">
        <f>R9</f>
        <v>51</v>
      </c>
      <c r="V16" s="162">
        <f>S9</f>
        <v>0</v>
      </c>
      <c r="W16" s="162">
        <f>T9</f>
        <v>51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34</v>
      </c>
      <c r="U19" s="162">
        <f>'التمام الصباحي'!L39</f>
        <v>476</v>
      </c>
      <c r="V19" s="162">
        <f>'التمام الصباحي'!R39</f>
        <v>119</v>
      </c>
      <c r="W19" s="162">
        <f>'التمام الصباحي'!X39</f>
        <v>391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34</v>
      </c>
      <c r="U20" s="162">
        <f>C22+H22+D34+F34+O9+R9</f>
        <v>476</v>
      </c>
      <c r="V20" s="162">
        <f>D22+I22+G34+P9+S9</f>
        <v>119</v>
      </c>
      <c r="W20" s="162">
        <f>E22+F22+Q9+T9+E34+I34+Q19</f>
        <v>391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340</v>
      </c>
      <c r="D22" s="330">
        <f>SUM(D5:D21)+F44</f>
        <v>102</v>
      </c>
      <c r="E22" s="330">
        <f>SUM(E5:E18)+G44</f>
        <v>68</v>
      </c>
      <c r="F22" s="330">
        <f>SUM(F5:F18)+D44</f>
        <v>102</v>
      </c>
      <c r="G22" s="330">
        <f>SUM(G5:G18)</f>
        <v>34</v>
      </c>
      <c r="H22" s="330">
        <f>SUM(H5:H21)+B44</f>
        <v>51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495" t="s">
        <v>86</v>
      </c>
      <c r="D25" s="496"/>
      <c r="E25" s="496"/>
      <c r="F25" s="496"/>
      <c r="G25" s="496"/>
      <c r="H25" s="496"/>
      <c r="I25" s="497"/>
      <c r="J25" s="300"/>
    </row>
    <row r="26" spans="1:23" ht="17.25" customHeight="1" thickBot="1" x14ac:dyDescent="0.25">
      <c r="B26" s="502"/>
      <c r="C26" s="507" t="s">
        <v>81</v>
      </c>
      <c r="D26" s="507"/>
      <c r="E26" s="507"/>
      <c r="F26" s="507" t="s">
        <v>87</v>
      </c>
      <c r="G26" s="507"/>
      <c r="H26" s="507"/>
      <c r="I26" s="507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0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501" t="s">
        <v>3</v>
      </c>
      <c r="B37" s="498" t="s">
        <v>88</v>
      </c>
      <c r="C37" s="499"/>
      <c r="D37" s="498" t="s">
        <v>84</v>
      </c>
      <c r="E37" s="500"/>
      <c r="F37" s="500"/>
      <c r="G37" s="499"/>
      <c r="H37" s="498" t="s">
        <v>86</v>
      </c>
      <c r="I37" s="500"/>
      <c r="J37" s="500"/>
      <c r="K37" s="500"/>
      <c r="L37" s="500"/>
      <c r="M37" s="500"/>
      <c r="N37" s="499"/>
    </row>
    <row r="38" spans="1:14" ht="15.75" thickBot="1" x14ac:dyDescent="0.25">
      <c r="A38" s="502"/>
      <c r="B38" s="498" t="s">
        <v>81</v>
      </c>
      <c r="C38" s="499"/>
      <c r="D38" s="329" t="s">
        <v>81</v>
      </c>
      <c r="E38" s="498" t="s">
        <v>87</v>
      </c>
      <c r="F38" s="500"/>
      <c r="G38" s="499"/>
      <c r="H38" s="498" t="s">
        <v>87</v>
      </c>
      <c r="I38" s="500"/>
      <c r="J38" s="500"/>
      <c r="K38" s="499"/>
      <c r="L38" s="498" t="s">
        <v>81</v>
      </c>
      <c r="M38" s="500"/>
      <c r="N38" s="499"/>
    </row>
    <row r="39" spans="1:14" ht="15.75" thickBot="1" x14ac:dyDescent="0.25">
      <c r="A39" s="503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51</v>
      </c>
      <c r="E42" s="301">
        <v>34</v>
      </c>
      <c r="F42" s="301"/>
      <c r="G42" s="301">
        <v>17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68</v>
      </c>
      <c r="F44" s="313">
        <f t="shared" si="2"/>
        <v>0</v>
      </c>
      <c r="G44" s="313">
        <f t="shared" si="2"/>
        <v>34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86" t="s">
        <v>99</v>
      </c>
      <c r="X6" s="38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86"/>
      <c r="L7" s="201" t="s">
        <v>7</v>
      </c>
      <c r="M7" s="201" t="s">
        <v>7</v>
      </c>
      <c r="N7" s="201" t="s">
        <v>7</v>
      </c>
      <c r="O7" s="201" t="s">
        <v>7</v>
      </c>
      <c r="Q7" s="386"/>
      <c r="R7" s="528"/>
      <c r="S7" s="528"/>
      <c r="T7" s="528"/>
      <c r="U7" s="529"/>
      <c r="W7" s="386"/>
      <c r="X7" s="38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18" t="s">
        <v>101</v>
      </c>
      <c r="X8" s="521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19"/>
      <c r="X9" s="522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19"/>
      <c r="X10" s="522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19"/>
      <c r="X11" s="522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4">
        <f>IF((ROUNDDOWN((SUM(M12:M13)/51)-(R12+R13),0.9))&lt;0,0,(ROUNDDOWN((SUM(M12:M13)/51)-(R12+R13),0.9)))</f>
        <v>0</v>
      </c>
      <c r="T12" s="514">
        <f t="shared" ref="T12" si="3">IF((ROUNDDOWN((SUM(O12:O13)/51)-(R12+R13),0.9))&lt;0,0,(ROUNDDOWN((SUM(O12:O13)/51)-(R12+R13),0.9)))</f>
        <v>0</v>
      </c>
      <c r="U12" s="514">
        <f t="shared" ref="U12" si="4">IF((ROUNDDOWN((SUM(L12:O13)/51)-(R12+R13+S12+T12),0.9))&lt;0,0,ROUNDDOWN((SUM(L12:O13)/51)-(R12+R13+S12+T12),0.9))</f>
        <v>0</v>
      </c>
      <c r="W12" s="519"/>
      <c r="X12" s="522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4"/>
      <c r="T13" s="514"/>
      <c r="U13" s="514"/>
      <c r="W13" s="519"/>
      <c r="X13" s="522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19"/>
      <c r="X14" s="522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0"/>
      <c r="X15" s="523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13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6">
        <f>IF((ROUNDDOWN((SUM(M17:M18)/51)-(R17+R18),0.9))&lt;0,0,(ROUNDDOWN((SUM(M17:M18)/51)-(R17+R18),0.9)))</f>
        <v>0</v>
      </c>
      <c r="T17" s="516">
        <f>IF((ROUNDDOWN((SUM(O17:O18)/51)-(R17+R18),0.9))&lt;0,0,(ROUNDDOWN((SUM(O17:O18)/51)-(R17+R18),0.9)))</f>
        <v>0</v>
      </c>
      <c r="U17" s="516">
        <f>IF((ROUNDDOWN((SUM(L17:O18)/51)-(R17+R18+S17+T17),0.9))&lt;0,0,ROUNDDOWN((SUM(L17:O18)/51)-(R17+R18+S17+T17),0.9))</f>
        <v>0</v>
      </c>
      <c r="W17" s="512"/>
      <c r="X17" s="513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7"/>
      <c r="T18" s="517"/>
      <c r="U18" s="517"/>
      <c r="W18" s="512"/>
      <c r="X18" s="513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13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13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13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4">
        <f>IF((ROUNDDOWN((SUM(M22:M23)/51)-(R22+R23),0.9))&lt;0,0,(ROUNDDOWN((SUM(M22:M23)/51)-(R22+R23),0.9)))</f>
        <v>0</v>
      </c>
      <c r="T22" s="516">
        <f>IF((ROUNDDOWN((SUM(O22:O23)/51)-(R22+R23),0.9))&lt;0,0,(ROUNDDOWN((SUM(O22:O23)/51)-(R22+R23),0.9)))</f>
        <v>0</v>
      </c>
      <c r="U22" s="516">
        <f t="shared" ref="U22" si="7">IF((ROUNDDOWN((SUM(L22:O23)/51)-(R22+R23+S22+T22),0.9))&lt;0,0,ROUNDDOWN((SUM(L22:O23)/51)-(R22+R23+S22+T22),0.9))</f>
        <v>0</v>
      </c>
      <c r="W22" s="512"/>
      <c r="X22" s="513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4"/>
      <c r="T23" s="517"/>
      <c r="U23" s="517"/>
      <c r="W23" s="512"/>
      <c r="X23" s="513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13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13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4">
        <f>IF((ROUNDDOWN((SUM(M26:M27)/51)-(R26+R27),0.9))&lt;0,0,(ROUNDDOWN((SUM(M26:M27)/51)-(R26+R27),0.9)))</f>
        <v>0</v>
      </c>
      <c r="T26" s="514">
        <f>IF((ROUNDDOWN((SUM(O26:O27)/51)-(R26+R27),0.9))&lt;0,0,(ROUNDDOWN((SUM(O26:O27)/51)-(R26+R27),0.9)))</f>
        <v>0</v>
      </c>
      <c r="U26" s="514">
        <f t="shared" ref="U26" si="10">IF((ROUNDDOWN((SUM(L26:O27)/51)-(R26+R27+S26+T26),0.9))&lt;0,0,ROUNDDOWN((SUM(L26:O27)/51)-(R26+R27+S26+T26),0.9))</f>
        <v>0</v>
      </c>
      <c r="W26" s="512"/>
      <c r="X26" s="513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5"/>
      <c r="T27" s="515"/>
      <c r="U27" s="515"/>
      <c r="W27" s="512"/>
      <c r="X27" s="513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86" t="s">
        <v>99</v>
      </c>
      <c r="X30" s="38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86"/>
      <c r="L31" s="201" t="s">
        <v>7</v>
      </c>
      <c r="M31" s="201" t="s">
        <v>7</v>
      </c>
      <c r="N31" s="201" t="s">
        <v>7</v>
      </c>
      <c r="O31" s="201" t="s">
        <v>7</v>
      </c>
      <c r="Q31" s="386"/>
      <c r="R31" s="528"/>
      <c r="S31" s="528"/>
      <c r="T31" s="528"/>
      <c r="U31" s="529"/>
      <c r="W31" s="386"/>
      <c r="X31" s="38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33</v>
      </c>
      <c r="G32" s="194">
        <f>'التمام الصباحي'!Q8+'التمام الصباحي'!S8</f>
        <v>14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17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18" t="s">
        <v>101</v>
      </c>
      <c r="X32" s="521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43</v>
      </c>
      <c r="G33" s="194">
        <f>'التمام الصباحي'!Q9+'التمام الصباحي'!S9</f>
        <v>24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19"/>
      <c r="X33" s="522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77</v>
      </c>
      <c r="F34" s="194">
        <f>'التمام الصباحي'!K10+'التمام الصباحي'!M10</f>
        <v>44</v>
      </c>
      <c r="G34" s="194">
        <f>'التمام الصباحي'!Q10+'التمام الصباحي'!S10</f>
        <v>18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19"/>
      <c r="X34" s="522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7</v>
      </c>
      <c r="F35" s="194">
        <f>'التمام الصباحي'!K11+'التمام الصباحي'!M11</f>
        <v>35</v>
      </c>
      <c r="G35" s="194">
        <f>'التمام الصباحي'!Q11+'التمام الصباحي'!S11</f>
        <v>22</v>
      </c>
      <c r="H35" s="194">
        <f>'التمام الصباحي'!W11+'التمام الصباحي'!Y11</f>
        <v>36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34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19"/>
      <c r="X35" s="522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52</v>
      </c>
      <c r="G36" s="194">
        <f>'التمام الصباحي'!Q12+'التمام الصباحي'!S12</f>
        <v>24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4">
        <f>IF((ROUNDDOWN((SUM(M36:M37)/51)-(R36+R37),0.9))&lt;0,0,(ROUNDDOWN((SUM(M36:M37)/51)-(R36+R37),0.9)))</f>
        <v>0</v>
      </c>
      <c r="T36" s="514">
        <f t="shared" ref="T36" si="15">IF((ROUNDDOWN((SUM(O36:O37)/51)-(R36+R37),0.9))&lt;0,0,(ROUNDDOWN((SUM(O36:O37)/51)-(R36+R37),0.9)))</f>
        <v>0</v>
      </c>
      <c r="U36" s="514">
        <f t="shared" ref="U36" si="16">IF((ROUNDDOWN((SUM(L36:O37)/51)-(R36+R37+S36+T36),0.9))&lt;0,0,ROUNDDOWN((SUM(L36:O37)/51)-(R36+R37+S36+T36),0.9))</f>
        <v>0</v>
      </c>
      <c r="W36" s="519"/>
      <c r="X36" s="522"/>
    </row>
    <row r="37" spans="3:24" ht="16.5" thickBot="1" x14ac:dyDescent="0.3">
      <c r="D37" s="233" t="s">
        <v>18</v>
      </c>
      <c r="E37" s="194">
        <f>'التمام الصباحي'!E13+'التمام الصباحي'!G13</f>
        <v>19</v>
      </c>
      <c r="F37" s="194">
        <f>'التمام الصباحي'!K13+'التمام الصباحي'!M13</f>
        <v>50</v>
      </c>
      <c r="G37" s="295"/>
      <c r="H37" s="194">
        <f>'التمام الصباحي'!W13+'التمام الصباحي'!Y13</f>
        <v>18</v>
      </c>
      <c r="K37" s="233" t="s">
        <v>18</v>
      </c>
      <c r="L37" s="235">
        <f t="shared" si="14"/>
        <v>17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4"/>
      <c r="T37" s="514"/>
      <c r="U37" s="514"/>
      <c r="W37" s="519"/>
      <c r="X37" s="522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17</v>
      </c>
      <c r="F38" s="194">
        <f>'التمام الصباحي'!K14+'التمام الصباحي'!M14</f>
        <v>38</v>
      </c>
      <c r="G38" s="295"/>
      <c r="H38" s="194">
        <f>'التمام الصباحي'!W14+'التمام الصباحي'!Y14</f>
        <v>38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19"/>
      <c r="X38" s="522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62</v>
      </c>
      <c r="G39" s="194">
        <f>'التمام الصباحي'!Q15+'التمام الصباحي'!S15</f>
        <v>19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0"/>
      <c r="X39" s="523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43</v>
      </c>
      <c r="G40" s="194">
        <f>'التمام الصباحي'!Q16+'التمام الصباحي'!S16</f>
        <v>21</v>
      </c>
      <c r="H40" s="194">
        <f>'التمام الصباحي'!W16+'التمام الصباحي'!Y16</f>
        <v>80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68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21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29</v>
      </c>
      <c r="G41" s="194">
        <f>'التمام الصباحي'!Q17+'التمام الصباحي'!S17</f>
        <v>19</v>
      </c>
      <c r="H41" s="194">
        <f>'التمام الصباحي'!W17+'التمام الصباحي'!Y17</f>
        <v>76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68</v>
      </c>
      <c r="P41" s="236"/>
      <c r="Q41" s="246" t="s">
        <v>23</v>
      </c>
      <c r="R41" s="247">
        <f t="shared" si="11"/>
        <v>2</v>
      </c>
      <c r="S41" s="516">
        <f>IF((ROUNDDOWN((SUM(M41:M42)/51)-(R41+R42),0.9))&lt;0,0,(ROUNDDOWN((SUM(M41:M42)/51)-(R41+R42),0.9)))</f>
        <v>0</v>
      </c>
      <c r="T41" s="516">
        <f>IF((ROUNDDOWN((SUM(O41:O42)/51)-(R41+R42),0.9))&lt;0,0,(ROUNDDOWN((SUM(O41:O42)/51)-(R41+R42),0.9)))</f>
        <v>0</v>
      </c>
      <c r="U41" s="516">
        <f>IF((ROUNDDOWN((SUM(L41:O42)/51)-(R41+R42+S41+T41),0.9))&lt;0,0,ROUNDDOWN((SUM(L41:O42)/51)-(R41+R42+S41+T41),0.9))</f>
        <v>0</v>
      </c>
      <c r="W41" s="512"/>
      <c r="X41" s="522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16</v>
      </c>
      <c r="G42" s="194">
        <f>'التمام الصباحي'!Q18+'التمام الصباحي'!S18</f>
        <v>16</v>
      </c>
      <c r="H42" s="194">
        <f>'التمام الصباحي'!W18+'التمام الصباحي'!Y18</f>
        <v>15</v>
      </c>
      <c r="K42" s="233" t="s">
        <v>23</v>
      </c>
      <c r="L42" s="234"/>
      <c r="M42" s="235">
        <f t="shared" si="12"/>
        <v>0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7"/>
      <c r="T42" s="517"/>
      <c r="U42" s="517"/>
      <c r="W42" s="512"/>
      <c r="X42" s="522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24</v>
      </c>
      <c r="G43" s="194">
        <f>'التمام الصباحي'!Q19+'التمام الصباحي'!S19</f>
        <v>7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23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20</v>
      </c>
      <c r="G44" s="194">
        <f>'التمام الصباحي'!Q20+'التمام الصباحي'!S20</f>
        <v>8</v>
      </c>
      <c r="H44" s="194">
        <f>'التمام الصباحي'!W20+'التمام الصباحي'!Y20</f>
        <v>39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21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60</v>
      </c>
      <c r="G45" s="194">
        <f>'التمام الصباحي'!Q21+'التمام الصباحي'!S21</f>
        <v>19</v>
      </c>
      <c r="H45" s="194">
        <f>'التمام الصباحي'!W21+'التمام الصباحي'!Y21</f>
        <v>78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22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20</v>
      </c>
      <c r="G46" s="194">
        <f>'التمام الصباحي'!Q22+'التمام الصباحي'!S22</f>
        <v>14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4">
        <f>IF((ROUNDDOWN((SUM(M46:M47)/51)-(R46+R47),0.9))&lt;0,0,(ROUNDDOWN((SUM(M46:M47)/51)-(R46+R47),0.9)))</f>
        <v>0</v>
      </c>
      <c r="T46" s="516">
        <f>IF((ROUNDDOWN((SUM(O46:O47)/51)-(R46+R47),0.9))&lt;0,0,(ROUNDDOWN((SUM(O46:O47)/51)-(R46+R47),0.9)))</f>
        <v>0</v>
      </c>
      <c r="U46" s="516">
        <f t="shared" ref="U46" si="20">IF((ROUNDDOWN((SUM(L46:O47)/51)-(R46+R47+S46+T46),0.9))&lt;0,0,ROUNDDOWN((SUM(L46:O47)/51)-(R46+R47+S46+T46),0.9))</f>
        <v>0</v>
      </c>
      <c r="W46" s="512"/>
      <c r="X46" s="522"/>
    </row>
    <row r="47" spans="3:24" ht="16.5" thickBot="1" x14ac:dyDescent="0.3">
      <c r="D47" s="233" t="s">
        <v>28</v>
      </c>
      <c r="E47" s="194">
        <f>'التمام الصباحي'!E23+'التمام الصباحي'!G23</f>
        <v>13.6</v>
      </c>
      <c r="F47" s="194">
        <f>'التمام الصباحي'!K23+'التمام الصباحي'!M23</f>
        <v>15</v>
      </c>
      <c r="G47" s="295"/>
      <c r="H47" s="194">
        <f>'التمام الصباحي'!W23+'التمام الصباحي'!Y23</f>
        <v>31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4"/>
      <c r="T47" s="517"/>
      <c r="U47" s="517"/>
      <c r="W47" s="512"/>
      <c r="X47" s="523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9</v>
      </c>
      <c r="G48" s="295"/>
      <c r="H48" s="194">
        <f>'التمام الصباحي'!W24+'التمام الصباحي'!Y24</f>
        <v>17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21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21</v>
      </c>
      <c r="G49" s="194">
        <f>'التمام الصباحي'!Q25+'التمام الصباحي'!S25</f>
        <v>10</v>
      </c>
      <c r="H49" s="194">
        <f>'التمام الصباحي'!W25+'التمام الصباحي'!Y25</f>
        <v>114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22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34</v>
      </c>
      <c r="G50" s="194">
        <f>'التمام الصباحي'!Q26+'التمام الصباحي'!S26</f>
        <v>9</v>
      </c>
      <c r="H50" s="194">
        <f>'التمام الصباحي'!W26+'التمام الصباحي'!Y26</f>
        <v>91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4">
        <f>IF((ROUNDDOWN((SUM(M50:M51)/51)-(R50+R51),0.9))&lt;0,0,(ROUNDDOWN((SUM(M50:M51)/51)-(R50+R51),0.9)))</f>
        <v>0</v>
      </c>
      <c r="T50" s="514">
        <f>IF((ROUNDDOWN((SUM(O50:O51)/51)-(R50+R51),0.9))&lt;0,0,(ROUNDDOWN((SUM(O50:O51)/51)-(R50+R51),0.9)))</f>
        <v>0</v>
      </c>
      <c r="U50" s="514">
        <f t="shared" ref="U50" si="23">IF((ROUNDDOWN((SUM(L50:O51)/51)-(R50+R51+S50+T50),0.9))&lt;0,0,ROUNDDOWN((SUM(L50:O51)/51)-(R50+R51+S50+T50),0.9))</f>
        <v>1</v>
      </c>
      <c r="W50" s="512"/>
      <c r="X50" s="522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24</v>
      </c>
      <c r="G51" s="194">
        <f>'التمام الصباحي'!Q27+'التمام الصباحي'!S27</f>
        <v>5</v>
      </c>
      <c r="H51" s="194">
        <f>'التمام الصباحي'!W27+'التمام الصباحي'!Y27</f>
        <v>77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68</v>
      </c>
      <c r="P51" s="236"/>
      <c r="Q51" s="256" t="s">
        <v>33</v>
      </c>
      <c r="R51" s="257">
        <f t="shared" si="11"/>
        <v>1</v>
      </c>
      <c r="S51" s="515"/>
      <c r="T51" s="515"/>
      <c r="U51" s="515"/>
      <c r="W51" s="512"/>
      <c r="X51" s="523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43</v>
      </c>
      <c r="G52" s="194">
        <f>'التمام الصباحي'!Q28+'التمام الصباحي'!S28</f>
        <v>19</v>
      </c>
      <c r="H52" s="194">
        <f>'التمام الصباحي'!W28+'التمام الصباحي'!Y28</f>
        <v>63</v>
      </c>
      <c r="K52" s="233" t="s">
        <v>33</v>
      </c>
      <c r="L52" s="234"/>
      <c r="M52" s="235">
        <f t="shared" si="12"/>
        <v>34</v>
      </c>
      <c r="N52" s="235">
        <f t="shared" si="13"/>
        <v>17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15</v>
      </c>
      <c r="F53" s="194">
        <f>'التمام الصباحي'!K29+'التمام الصباحي'!M29</f>
        <v>39</v>
      </c>
      <c r="G53" s="194">
        <f>'التمام الصباحي'!Q29+'التمام الصباحي'!S29</f>
        <v>8</v>
      </c>
      <c r="H53" s="194">
        <f>'التمام الصباحي'!W29+'التمام الصباحي'!Y29</f>
        <v>52</v>
      </c>
      <c r="K53" s="233" t="s">
        <v>112</v>
      </c>
      <c r="L53" s="235">
        <f t="shared" si="14"/>
        <v>0</v>
      </c>
      <c r="M53" s="235">
        <f t="shared" si="12"/>
        <v>34</v>
      </c>
      <c r="N53" s="235">
        <f t="shared" si="13"/>
        <v>0</v>
      </c>
      <c r="O53" s="235">
        <f t="shared" si="21"/>
        <v>51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11</v>
      </c>
      <c r="G54" s="194">
        <f>'التمام الصباحي'!Q30+'التمام الصباحي'!S30</f>
        <v>7</v>
      </c>
      <c r="H54" s="354"/>
      <c r="K54" s="233" t="s">
        <v>121</v>
      </c>
      <c r="L54" s="234"/>
      <c r="M54" s="235">
        <f t="shared" si="12"/>
        <v>0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64</v>
      </c>
      <c r="G55" s="194">
        <f>'التمام الصباحي'!Q31+'التمام الصباحي'!S31</f>
        <v>27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45</v>
      </c>
      <c r="G56" s="194">
        <f>'التمام الصباحي'!Q32+'التمام الصباحي'!S32</f>
        <v>21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54</v>
      </c>
      <c r="G57" s="194">
        <f>'التمام الصباحي'!Q33+'التمام الصباحي'!S33</f>
        <v>27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81</v>
      </c>
      <c r="G58" s="194">
        <f>'التمام الصباحي'!Q34+'التمام الصباحي'!S34</f>
        <v>26</v>
      </c>
      <c r="H58" s="354"/>
      <c r="K58" s="318" t="s">
        <v>171</v>
      </c>
      <c r="L58" s="234"/>
      <c r="M58" s="235">
        <f t="shared" si="12"/>
        <v>68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2019-09-17T07:47:18Z</cp:lastPrinted>
  <dcterms:created xsi:type="dcterms:W3CDTF">2018-10-24T15:18:02Z</dcterms:created>
  <dcterms:modified xsi:type="dcterms:W3CDTF">2019-10-28T10:28:52Z</dcterms:modified>
</cp:coreProperties>
</file>