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5">'عائد محطات الوكلاء'!$A$1:$L$25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5" hidden="1">'عائد محطات الوكلاء'!$A$1:$L$25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7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G20" i="6" s="1"/>
  <c r="E10" i="5"/>
  <c r="F19" i="6" s="1"/>
  <c r="J13" i="6" l="1"/>
  <c r="I13" i="6"/>
  <c r="K13" i="6"/>
  <c r="K22" i="6"/>
  <c r="I22" i="6"/>
  <c r="J22" i="6"/>
  <c r="G23" i="6"/>
  <c r="K21" i="6"/>
  <c r="K23" i="6" s="1"/>
  <c r="J21" i="6"/>
  <c r="F23" i="6"/>
  <c r="I21" i="6"/>
  <c r="G16" i="6"/>
  <c r="G24" i="6" s="1"/>
  <c r="F16" i="6"/>
  <c r="J15" i="6"/>
  <c r="K15" i="6"/>
  <c r="I15" i="6"/>
  <c r="G18" i="5"/>
  <c r="H14" i="6"/>
  <c r="H16" i="6" s="1"/>
  <c r="H24" i="6" s="1"/>
  <c r="E16" i="6"/>
  <c r="E24" i="6" s="1"/>
  <c r="K18" i="6"/>
  <c r="J18" i="6"/>
  <c r="I18" i="6"/>
  <c r="K17" i="6"/>
  <c r="I17" i="6"/>
  <c r="J17" i="6"/>
  <c r="J19" i="6"/>
  <c r="K19" i="6"/>
  <c r="I19" i="6"/>
  <c r="F20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R39" i="1" s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X39" i="1" l="1"/>
  <c r="F39" i="1"/>
  <c r="I23" i="6"/>
  <c r="F24" i="6"/>
  <c r="J23" i="6"/>
  <c r="K14" i="6"/>
  <c r="K16" i="6" s="1"/>
  <c r="J14" i="6"/>
  <c r="J16" i="6" s="1"/>
  <c r="I14" i="6"/>
  <c r="I16" i="6" s="1"/>
  <c r="D39" i="1"/>
  <c r="I20" i="6"/>
  <c r="K20" i="6"/>
  <c r="J20" i="6"/>
  <c r="P39" i="1"/>
  <c r="V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K24" i="6"/>
  <c r="J24" i="6"/>
  <c r="I24" i="6"/>
  <c r="H39" i="1"/>
  <c r="C41" i="1"/>
  <c r="C45" i="1" s="1"/>
  <c r="T39" i="1"/>
  <c r="Z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W39" i="1" l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J20" i="2" l="1"/>
  <c r="G13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3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E13" i="2" l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13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<sst xmlns="http://schemas.openxmlformats.org/spreadsheetml/2006/main" count="1163" uniqueCount="243">
  <si>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</si>
  <si>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</si>
  <si>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</si>
  <si>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</si>
  <si>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</si>
  <si>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</si>
  <si>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</si>
  <si>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</si>
  <si>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</si>
  <si>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</si>
  <si>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</si>
  <si>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</si>
  <si>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</si>
  <si>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</si>
  <si>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</si>
  <si>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</si>
  <si>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</si>
  <si>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</si>
  <si>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</si>
  <si>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</si>
  <si>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</si>
  <si>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</si>
  <si>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</si>
  <si>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</si>
  <si>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</si>
  <si>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</si>
  <si>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</si>
  <si>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</si>
  <si>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</si>
  <si>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</si>
  <si>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</si>
  <si>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</si>
  <si>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</si>
  <si>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</si>
  <si>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</si>
  <si>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</si>
  <si>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</si>
  <si>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</si>
  <si>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</si>
  <si>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</si>
  <si>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</si>
  <si>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</si>
  <si>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</si>
  <si>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</si>
  <si>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</si>
  <si>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</si>
  <si>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</si>
  <si>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</si>
  <si>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</si>
  <si>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</si>
  <si>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</si>
  <si>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</si>
  <si>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</si>
  <si>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</si>
  <si>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</si>
  <si>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</si>
  <si>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</si>
  <si>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</si>
  <si>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</si>
  <si>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</si>
  <si>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</si>
  <si>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</si>
  <si>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</si>
  <si>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</si>
  <si>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</si>
  <si>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</si>
  <si>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</si>
  <si>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</si>
  <si>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</si>
  <si>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</si>
  <si>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</si>
  <si>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</si>
  <si>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</si>
  <si>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</si>
  <si>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</si>
  <si>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</si>
  <si>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</si>
  <si>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</si>
  <si>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</si>
  <si>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</si>
  <si>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</si>
  <si>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</si>
  <si>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</si>
  <si>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</si>
  <si>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</si>
  <si>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</si>
  <si>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</si>
  <si>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</si>
  <si>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</si>
  <si>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</si>
  <si>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</si>
  <si>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</si>
  <si>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</si>
  <si>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</si>
  <si>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</si>
  <si>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</si>
  <si>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</si>
  <si>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</si>
  <si>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</si>
  <si>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</si>
  <si>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</si>
  <si>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</si>
  <si>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</si>
  <si>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</si>
  <si>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</si>
  <si>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</si>
  <si>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</si>
  <si>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</si>
  <si>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</si>
  <si>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</si>
  <si>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</si>
  <si>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</si>
  <si>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</si>
  <si>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</si>
  <si>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</si>
  <si>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</si>
  <si>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</si>
  <si>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</si>
  <si>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</si>
  <si>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</si>
  <si>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</si>
  <si>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</si>
  <si>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</si>
  <si>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</si>
  <si>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</si>
  <si>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</si>
  <si>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</si>
  <si>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</si>
  <si>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</si>
  <si>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</si>
  <si>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</si>
  <si>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</si>
  <si>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</si>
  <si>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</si>
  <si>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</si>
  <si>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</si>
  <si>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</si>
  <si>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</si>
  <si>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</si>
  <si>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</si>
  <si>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</si>
  <si>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</si>
  <si>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</si>
  <si>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</si>
  <si>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</si>
  <si>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</si>
  <si>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</si>
  <si>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</si>
  <si>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</si>
  <si>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</si>
  <si>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</si>
  <si>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</si>
  <si>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</si>
  <si>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</si>
  <si>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</si>
  <si>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</si>
  <si>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</si>
  <si>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</si>
  <si>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</si>
  <si>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</si>
  <si>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</si>
  <si>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</si>
  <si>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</si>
  <si>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</si>
  <si>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</si>
  <si>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</si>
  <si>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</si>
  <si>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</si>
  <si>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</si>
  <si>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</si>
  <si>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</si>
  <si>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</si>
  <si>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</si>
  <si>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</si>
  <si>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</si>
  <si>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</si>
  <si>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</si>
  <si>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</si>
  <si>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</si>
  <si>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</si>
  <si>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</si>
  <si>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</si>
  <si>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</si>
  <si>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</si>
  <si>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</si>
  <si>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</si>
  <si>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</si>
  <si>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</si>
  <si>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</si>
  <si>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</si>
  <si>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</si>
  <si>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</si>
  <si>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</si>
  <si>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</si>
  <si>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</si>
  <si>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</si>
  <si>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</si>
  <si>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</si>
  <si>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</si>
  <si>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</si>
  <si>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</si>
  <si>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</si>
  <si>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</si>
  <si>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</si>
  <si>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</si>
  <si>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</si>
  <si>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</si>
  <si>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</si>
  <si>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</si>
  <si>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</si>
  <si>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</si>
  <si>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</si>
  <si>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</si>
  <si>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</si>
  <si>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</si>
  <si>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</si>
  <si>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</si>
  <si>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عميد هشام</t>
  </si>
  <si>
    <t>عميد سيد</t>
  </si>
  <si>
    <t>عميد اسامه</t>
  </si>
  <si>
    <t xml:space="preserve">عميد اشرف </t>
  </si>
  <si>
    <t>عميد حامد</t>
  </si>
  <si>
    <t>عميد محمد</t>
  </si>
  <si>
    <t>عقيد ايمن</t>
  </si>
  <si>
    <t>نقيب ايمن</t>
  </si>
  <si>
    <t>جندي ابراهيم</t>
  </si>
  <si>
    <t xml:space="preserve">نقيب حفناوي </t>
  </si>
  <si>
    <t>جندي عبدالله</t>
  </si>
  <si>
    <t xml:space="preserve">جندي شريف </t>
  </si>
  <si>
    <t xml:space="preserve">عميد خالد </t>
  </si>
  <si>
    <t>عقيد احمد</t>
  </si>
  <si>
    <t>نقيب علاء</t>
  </si>
  <si>
    <t>جندي حاتم</t>
  </si>
  <si>
    <t>عميد مصطفي</t>
  </si>
  <si>
    <t>عقيد  احمد</t>
  </si>
  <si>
    <t>عميد سمير</t>
  </si>
  <si>
    <t>نقيب</t>
  </si>
  <si>
    <t xml:space="preserve">معدل البيع اليومى لمحطات وقود شل اوت التي يديرها الوكلاء (المتحدة  - ماستر اكسبريس - اينوتك) 2019/9/21  </t>
  </si>
  <si>
    <t>جندي مصطفي</t>
  </si>
  <si>
    <t>ظابط رزق</t>
  </si>
  <si>
    <t>عقيد وائل</t>
  </si>
  <si>
    <t>التمام الصباحي الإثنين الموافق  22 / 9 / 2019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</si>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</sst>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usernames" Target="revisions/userNames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814</v>
          </cell>
        </row>
        <row r="3">
          <cell r="D3">
            <v>2263</v>
          </cell>
        </row>
        <row r="4">
          <cell r="D4">
            <v>839</v>
          </cell>
        </row>
        <row r="5">
          <cell r="D5">
            <v>1021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9ACE707-8455-476D-B612-A110B963115A}" diskRevisions="1" revisionId="321" version="31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669215A-BBAA-47EE-BF5C-DEE512D6D33A}" dateTime="2019-09-22T06:19:43" maxSheetId="25" userName="pp" r:id="rId2" minRId="1" maxRId="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27CD60C-8F31-4E46-92C7-6B57AE204332}" dateTime="2019-09-22T07:03:39" maxSheetId="25" userName="pp" r:id="rId3" minRId="16" maxRId="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5FE3DA7-DD27-4C88-A4A3-337EBC344B91}" dateTime="2019-09-22T07:16:50" maxSheetId="25" userName="pp" r:id="rId4" minRId="25" maxRId="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867601E-C95E-4D6A-95CF-481337DE5592}" dateTime="2019-09-22T07:32:51" maxSheetId="25" userName="pp" r:id="rId5" minRId="39" maxRId="4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027A78B-9EA3-4ECE-B5FA-594F3E339FA9}" dateTime="2019-09-22T07:52:34" maxSheetId="25" userName="pp" r:id="rId6" minRId="48" maxRId="6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619638-5B2C-42FC-AC79-2EB36B4A80B0}" dateTime="2019-09-22T07:55:21" maxSheetId="25" userName="pp" r:id="rId7" minRId="63" maxRId="7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011C3F8-F513-4CA4-8135-849B19E1CDB3}" dateTime="2019-09-22T08:05:58" maxSheetId="25" userName="pp" r:id="rId8" minRId="72" maxRId="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26DFC15-1DEE-4776-B280-A87602AB1758}" dateTime="2019-09-22T08:25:02" maxSheetId="25" userName="pp" r:id="rId9" minRId="78" maxRId="8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B5D0F0-3730-48D7-93D0-A657E6E24575}" dateTime="2019-09-22T08:47:05" maxSheetId="25" userName="pp" r:id="rId10" minRId="86" maxRId="10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D4ED97A-324D-4ED1-BEA9-287E5955A3D4}" dateTime="2019-09-22T08:49:50" maxSheetId="25" userName="pp" r:id="rId11" minRId="107" maxRId="1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6A40A30-0524-4CF5-A218-D5990075D9F7}" dateTime="2019-09-22T08:52:46" maxSheetId="25" userName="pp" r:id="rId12" minRId="123" maxRId="12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D99037E-A0C5-4422-A308-EBEA28EC69C2}" dateTime="2019-09-22T09:00:03" maxSheetId="25" userName="pp" r:id="rId13" minRId="129" maxRId="13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C62CE24-8F57-431F-8269-2527B49BDCEA}" dateTime="2019-09-22T09:09:02" maxSheetId="25" userName="pp" r:id="rId14" minRId="135" maxRId="1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E4FB2E1-81EF-4D1B-AAF1-6A7C534C7D86}" dateTime="2019-09-22T09:15:28" maxSheetId="25" userName="pp" r:id="rId15" minRId="1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0AF8022-DA2A-4CC4-B80E-A92EAB87442B}" dateTime="2019-09-22T09:22:19" maxSheetId="25" userName="pp" r:id="rId16" minRId="144" maxRId="1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C48D689-0454-4388-A1C7-27A03E232218}" dateTime="2019-09-22T09:34:31" maxSheetId="25" userName="pp" r:id="rId17" minRId="156" maxRId="1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ECD423A-BA69-4D3C-AA26-F345878007C2}" dateTime="2019-09-22T09:42:59" maxSheetId="25" userName="pp" r:id="rId18" minRId="166" maxRId="17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0533A18-4F2B-4394-9408-5EE76E2F9C30}" dateTime="2019-09-22T09:45:23" maxSheetId="25" userName="pp" r:id="rId19" minRId="174" maxRId="17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4601A82-9F35-4CC6-8E89-1D34A9D1B8FF}" dateTime="2019-09-22T09:52:36" maxSheetId="25" userName="pp" r:id="rId20" minRId="180" maxRId="18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4BEF548-9852-4949-A52B-3A044FD439F8}" dateTime="2019-09-22T10:12:25" maxSheetId="25" userName="pp" r:id="rId21" minRId="185" maxRId="19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1AA3E79-2956-4409-91CE-73FC6A21584A}" dateTime="2019-09-22T10:11:21" maxSheetId="25" userName="pp" r:id="rId22" minRId="19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359CB8F-53F7-456F-BFB8-4333ABBF330D}" dateTime="2019-09-22T10:13:05" maxSheetId="25" userName="pp" r:id="rId23" minRId="200" maxRId="2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5844717-DD70-4351-A25A-86FB80CB3348}" dateTime="2019-09-22T10:18:14" maxSheetId="25" userName="pp" r:id="rId24" minRId="203" maxRId="21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ABF29D0-579C-4A44-A9DC-6FA330736076}" dateTime="2019-09-22T10:29:21" maxSheetId="25" userName="pp" r:id="rId2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CC0DC25-0162-4FE1-A662-32CBAFD74167}" dateTime="2019-09-22T10:30:39" maxSheetId="25" userName="pp" r:id="rId26" minRId="220" maxRId="2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0E1DF78-6FE8-4442-89FB-8A50D14FF834}" dateTime="2019-09-22T21:16:54" maxSheetId="25" userName="pp" r:id="rId27" minRId="227" maxRId="29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CDBDBCE-B0EC-441A-BEDF-A10503F0FB4E}" dateTime="2019-09-22T21:26:20" maxSheetId="25" userName="pp" r:id="rId28" minRId="294" maxRId="29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80BF7D3-A2EB-4CA6-BD52-0690C56FA48E}" dateTime="2019-09-23T00:25:40" maxSheetId="25" userName="pp" r:id="rId29" minRId="298" maxRId="30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8B70A88-605D-47F8-9A2F-BFB01BF8ADA3}" dateTime="2019-09-23T10:21:08" maxSheetId="25" userName="pp" r:id="rId30" minRId="302" maxRId="3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9ACE707-8455-476D-B612-A110B963115A}" dateTime="2019-09-23T10:22:39" maxSheetId="25" userName="pp" r:id="rId31" minRId="312" maxRId="31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4">
    <nc r="K19">
      <v>1334</v>
    </nc>
  </rcc>
  <rcc rId="87" sId="4">
    <nc r="H19">
      <v>7721</v>
    </nc>
  </rcc>
  <rcc rId="88" sId="4" numFmtId="4">
    <nc r="O19">
      <v>760</v>
    </nc>
  </rcc>
  <rcc rId="89" sId="4">
    <nc r="I19">
      <v>26</v>
    </nc>
  </rcc>
  <rcc rId="90" sId="4">
    <nc r="F19">
      <v>72</v>
    </nc>
  </rcc>
  <rcc rId="91" sId="4">
    <nc r="R19" t="inlineStr">
      <is>
        <t>عقيد ايمن</t>
      </is>
    </nc>
  </rcc>
  <rcc rId="92" sId="4">
    <nc r="H28">
      <v>26814</v>
    </nc>
  </rcc>
  <rcc rId="93" sId="4">
    <nc r="K28">
      <v>9892</v>
    </nc>
  </rcc>
  <rcc rId="94" sId="4" numFmtId="4">
    <nc r="O28">
      <v>1300</v>
    </nc>
  </rcc>
  <rcc rId="95" sId="4">
    <nc r="F28">
      <v>157</v>
    </nc>
  </rcc>
  <rcc rId="96" sId="4">
    <nc r="I28">
      <v>75</v>
    </nc>
  </rcc>
  <rcc rId="97" sId="4">
    <nc r="R28" t="inlineStr">
      <is>
        <t>نقيب ايمن</t>
      </is>
    </nc>
  </rcc>
  <rcc rId="98" sId="4">
    <nc r="H15">
      <v>6578</v>
    </nc>
  </rcc>
  <rcc rId="99" sId="4">
    <nc r="F15">
      <v>54</v>
    </nc>
  </rcc>
  <rcc rId="100" sId="4">
    <nc r="K15">
      <v>2365</v>
    </nc>
  </rcc>
  <rcc rId="101" sId="4">
    <nc r="I15">
      <v>16</v>
    </nc>
  </rcc>
  <rcc rId="102" sId="4">
    <nc r="N15">
      <v>4106</v>
    </nc>
  </rcc>
  <rcc rId="103" sId="4">
    <nc r="L15">
      <v>49</v>
    </nc>
  </rcc>
  <rcc rId="104" sId="4" numFmtId="4">
    <nc r="O15">
      <v>1235</v>
    </nc>
  </rcc>
  <rcc rId="105" sId="4">
    <nc r="R15" t="inlineStr">
      <is>
        <t>جندي ابراهيم</t>
      </is>
    </nc>
  </rcc>
  <rcc rId="106" sId="4">
    <nc r="R26" t="inlineStr">
      <is>
        <t xml:space="preserve">نقيب حفناوي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4">
    <nc r="H27">
      <v>6302</v>
    </nc>
  </rcc>
  <rcc rId="108" sId="4">
    <nc r="K27">
      <v>2165</v>
    </nc>
  </rcc>
  <rcc rId="109" sId="4" numFmtId="4">
    <nc r="O27">
      <v>660</v>
    </nc>
  </rcc>
  <rcc rId="110" sId="4">
    <nc r="F27">
      <v>126</v>
    </nc>
  </rcc>
  <rcc rId="111" sId="4">
    <nc r="I27">
      <v>30</v>
    </nc>
  </rcc>
  <rcc rId="112" sId="4">
    <nc r="R27" t="inlineStr">
      <is>
        <t xml:space="preserve">نقيب حفناوي </t>
      </is>
    </nc>
  </rcc>
  <rcc rId="113" sId="4">
    <oc r="R26" t="inlineStr">
      <is>
        <t xml:space="preserve">نقيب حفناوي </t>
      </is>
    </oc>
    <nc r="R26"/>
  </rcc>
  <rcc rId="114" sId="4">
    <nc r="K24">
      <v>2125</v>
    </nc>
  </rcc>
  <rcc rId="115" sId="4">
    <nc r="H24">
      <v>13283</v>
    </nc>
  </rcc>
  <rcc rId="116" sId="4">
    <nc r="N24">
      <v>27293</v>
    </nc>
  </rcc>
  <rcc rId="117" sId="4">
    <nc r="I24">
      <v>17</v>
    </nc>
  </rcc>
  <rcc rId="118" sId="4">
    <nc r="F24">
      <v>53</v>
    </nc>
  </rcc>
  <rcc rId="119" sId="4">
    <nc r="L24">
      <v>126</v>
    </nc>
  </rcc>
  <rcc rId="120" sId="4" numFmtId="4">
    <nc r="O24">
      <v>1160</v>
    </nc>
  </rcc>
  <rcc rId="121" sId="4">
    <nc r="P24">
      <v>1375</v>
    </nc>
  </rcc>
  <rcc rId="122" sId="4">
    <nc r="R24" t="inlineStr">
      <is>
        <t>جندي ابراهيم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4">
    <nc r="H5">
      <v>21027</v>
    </nc>
  </rcc>
  <rcc rId="124" sId="4">
    <nc r="K5">
      <v>5771</v>
    </nc>
  </rcc>
  <rcc rId="125" sId="4" numFmtId="4">
    <nc r="O5">
      <v>1750</v>
    </nc>
  </rcc>
  <rcc rId="126" sId="4">
    <nc r="F5">
      <v>60</v>
    </nc>
  </rcc>
  <rcc rId="127" sId="4">
    <nc r="I5">
      <v>12</v>
    </nc>
  </rcc>
  <rcc rId="128" sId="4">
    <nc r="R5" t="inlineStr">
      <is>
        <t>عقيد احمد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4">
    <nc r="H30">
      <v>36530</v>
    </nc>
  </rcc>
  <rcc rId="130" sId="4">
    <nc r="K30">
      <v>9766</v>
    </nc>
  </rcc>
  <rcc rId="131" sId="4">
    <nc r="F30">
      <v>160</v>
    </nc>
  </rcc>
  <rcc rId="132" sId="4">
    <nc r="I30">
      <v>72</v>
    </nc>
  </rcc>
  <rcc rId="133" sId="4">
    <nc r="R30" t="inlineStr">
      <is>
        <t>نقيب علاء</t>
      </is>
    </nc>
  </rcc>
  <rcc rId="134" sId="4">
    <oc r="L17">
      <v>15</v>
    </oc>
    <nc r="L17">
      <v>165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4">
    <nc r="H14">
      <v>8871</v>
    </nc>
  </rcc>
  <rcc rId="136" sId="4">
    <nc r="F14">
      <v>72</v>
    </nc>
  </rcc>
  <rcc rId="137" sId="4">
    <nc r="K14">
      <v>6859</v>
    </nc>
  </rcc>
  <rcc rId="138" sId="4">
    <nc r="I14">
      <v>12</v>
    </nc>
  </rcc>
  <rcc rId="139" sId="4">
    <nc r="N14">
      <v>56488</v>
    </nc>
  </rcc>
  <rcc rId="140" sId="4">
    <nc r="L14">
      <v>120</v>
    </nc>
  </rcc>
  <rcc rId="141" sId="4" numFmtId="4">
    <nc r="O14">
      <v>7114</v>
    </nc>
  </rcc>
  <rcc rId="142" sId="4">
    <nc r="R14" t="inlineStr">
      <is>
        <t>جندي حاتم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4" numFmtId="4">
    <nc r="O30">
      <v>480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4">
    <nc r="N8">
      <v>4660</v>
    </nc>
  </rcc>
  <rcc rId="145" sId="4">
    <nc r="E8">
      <v>4374</v>
    </nc>
  </rcc>
  <rcc rId="146" sId="4">
    <nc r="H8">
      <v>27391</v>
    </nc>
  </rcc>
  <rcc rId="147" sId="4">
    <nc r="K8">
      <v>8452</v>
    </nc>
  </rcc>
  <rcc rId="148" sId="4" numFmtId="4">
    <nc r="O8">
      <v>3200</v>
    </nc>
  </rcc>
  <rcc rId="149" sId="4">
    <nc r="C8">
      <v>13</v>
    </nc>
  </rcc>
  <rcc rId="150" sId="4">
    <nc r="H12">
      <v>32455</v>
    </nc>
  </rcc>
  <rcc rId="151" sId="4">
    <nc r="K12">
      <v>8730</v>
    </nc>
  </rcc>
  <rcc rId="152" sId="4" numFmtId="4">
    <nc r="O12">
      <v>2470</v>
    </nc>
  </rcc>
  <rcc rId="153" sId="4">
    <nc r="F12">
      <v>160</v>
    </nc>
  </rcc>
  <rcc rId="154" sId="4">
    <nc r="I12">
      <v>48</v>
    </nc>
  </rcc>
  <rcc rId="155" sId="4">
    <nc r="R12" t="inlineStr">
      <is>
        <t>عميد مصطفي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4">
    <nc r="E26">
      <v>3653</v>
    </nc>
  </rcc>
  <rcc rId="157" sId="4">
    <nc r="H26">
      <v>8392</v>
    </nc>
  </rcc>
  <rcc rId="158" sId="4">
    <nc r="K26">
      <v>1257</v>
    </nc>
  </rcc>
  <rcc rId="159" sId="4">
    <nc r="N26">
      <v>16405</v>
    </nc>
  </rcc>
  <rcc rId="160" sId="4" numFmtId="4">
    <nc r="O26">
      <v>1150</v>
    </nc>
  </rcc>
  <rcc rId="161" sId="4">
    <nc r="C26">
      <v>78</v>
    </nc>
  </rcc>
  <rcc rId="162" sId="4">
    <nc r="F26">
      <v>20</v>
    </nc>
  </rcc>
  <rcc rId="163" sId="4">
    <nc r="I26">
      <v>32</v>
    </nc>
  </rcc>
  <rcc rId="164" sId="4">
    <nc r="L26">
      <v>152</v>
    </nc>
  </rcc>
  <rcc rId="165" sId="4">
    <nc r="R26" t="inlineStr">
      <is>
        <t>عقيد  احمد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4">
    <nc r="E7">
      <v>41210</v>
    </nc>
  </rcc>
  <rcc rId="167" sId="4">
    <nc r="H7">
      <v>20759</v>
    </nc>
  </rcc>
  <rcc rId="168" sId="4">
    <nc r="K7">
      <v>2925</v>
    </nc>
  </rcc>
  <rcc rId="169" sId="4" numFmtId="4">
    <nc r="O7">
      <v>3670</v>
    </nc>
  </rcc>
  <rcc rId="170" sId="4">
    <nc r="C7">
      <v>57</v>
    </nc>
  </rcc>
  <rcc rId="171" sId="4">
    <nc r="F7">
      <v>21</v>
    </nc>
  </rcc>
  <rcc rId="172" sId="4">
    <nc r="I7">
      <v>31</v>
    </nc>
  </rcc>
  <rcc rId="173" sId="4">
    <nc r="R7" t="inlineStr">
      <is>
        <t>عميد سمير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4">
    <nc r="R31" t="inlineStr">
      <is>
        <t>نقيب</t>
      </is>
    </nc>
  </rcc>
  <rcc rId="175" sId="4">
    <nc r="H31">
      <v>66786</v>
    </nc>
  </rcc>
  <rcc rId="176" sId="4">
    <nc r="K31">
      <v>15481</v>
    </nc>
  </rcc>
  <rcc rId="177" sId="4" numFmtId="4">
    <nc r="O31">
      <v>6740</v>
    </nc>
  </rcc>
  <rcc rId="178" sId="4">
    <nc r="F31">
      <v>150</v>
    </nc>
  </rcc>
  <rcc rId="179" sId="4">
    <nc r="I31">
      <v>67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E11">
      <v>6713</v>
    </nc>
  </rcc>
  <rcc rId="2" sId="4">
    <nc r="H11">
      <v>15143</v>
    </nc>
  </rcc>
  <rcc rId="3" sId="4">
    <nc r="N11">
      <v>17904</v>
    </nc>
  </rcc>
  <rcc rId="4" sId="4">
    <nc r="C11">
      <v>15</v>
    </nc>
  </rcc>
  <rcc rId="5" sId="4">
    <nc r="F11">
      <v>78</v>
    </nc>
  </rcc>
  <rcc rId="6" sId="4">
    <nc r="L11">
      <v>168</v>
    </nc>
  </rcc>
  <rcc rId="7" sId="4" numFmtId="4">
    <nc r="O11">
      <v>2700</v>
    </nc>
  </rcc>
  <rcc rId="8" sId="4">
    <nc r="R11" t="inlineStr">
      <is>
        <t>عميد هشام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4">
    <nc r="H21">
      <v>2688</v>
    </nc>
  </rcc>
  <rcc rId="181" sId="4">
    <nc r="N21">
      <v>3389</v>
    </nc>
  </rcc>
  <rcc rId="182" sId="4" numFmtId="4">
    <nc r="O21">
      <v>400</v>
    </nc>
  </rcc>
  <rcc rId="183" sId="4">
    <nc r="F21">
      <v>46</v>
    </nc>
  </rcc>
  <rcc rId="184" sId="4">
    <nc r="L21">
      <v>119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4">
    <nc r="H10">
      <v>24035</v>
    </nc>
  </rcc>
  <rcc rId="186" sId="4">
    <nc r="E10">
      <v>3303</v>
    </nc>
  </rcc>
  <rcc rId="187" sId="4">
    <nc r="N10">
      <v>8844</v>
    </nc>
  </rcc>
  <rcc rId="188" sId="4" numFmtId="4">
    <nc r="O10">
      <v>2680</v>
    </nc>
  </rcc>
  <rcc rId="189" sId="4">
    <nc r="F10">
      <v>61</v>
    </nc>
  </rcc>
  <rcc rId="190" sId="4">
    <nc r="C10">
      <v>15</v>
    </nc>
  </rcc>
  <rcc rId="191" sId="4">
    <nc r="L10">
      <v>156</v>
    </nc>
  </rcc>
  <rcc rId="192" sId="4">
    <nc r="R10" t="inlineStr">
      <is>
        <t>جندي مصطفي</t>
      </is>
    </nc>
  </rcc>
  <rcc rId="193" sId="4">
    <nc r="H29">
      <v>32246</v>
    </nc>
  </rcc>
  <rcc rId="194" sId="4">
    <nc r="K29">
      <v>12323</v>
    </nc>
  </rcc>
  <rcc rId="195" sId="4" numFmtId="4">
    <nc r="O29">
      <v>3700</v>
    </nc>
  </rcc>
  <rcc rId="196" sId="4">
    <nc r="F29">
      <v>161</v>
    </nc>
  </rcc>
  <rcc rId="197" sId="4">
    <nc r="I29">
      <v>75</v>
    </nc>
  </rcc>
  <rcc rId="198" sId="4">
    <nc r="R29" t="inlineStr">
      <is>
        <t>ظابط رزق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2019/9/21 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4">
    <nc r="L8">
      <v>180</v>
    </nc>
  </rcc>
  <rcc rId="201" sId="4">
    <nc r="I8">
      <v>13</v>
    </nc>
  </rcc>
  <rcc rId="202" sId="4">
    <nc r="F8">
      <v>53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4">
    <nc r="I22">
      <v>11</v>
    </nc>
  </rcc>
  <rcc rId="204" sId="4">
    <nc r="K22">
      <v>2415</v>
    </nc>
  </rcc>
  <rcc rId="205" sId="4">
    <nc r="F22">
      <v>77</v>
    </nc>
  </rcc>
  <rcc rId="206" sId="4">
    <nc r="H22">
      <v>17918</v>
    </nc>
  </rcc>
  <rcc rId="207" sId="4">
    <nc r="L22">
      <v>145</v>
    </nc>
  </rcc>
  <rcc rId="208" sId="4">
    <nc r="N22">
      <v>55631</v>
    </nc>
  </rcc>
  <rcc rId="209" sId="4" numFmtId="4">
    <nc r="O22">
      <v>1950</v>
    </nc>
  </rcc>
  <rcc rId="210" sId="4">
    <nc r="P22">
      <v>4290</v>
    </nc>
  </rcc>
  <rcc rId="211" sId="4">
    <nc r="R22" t="inlineStr">
      <is>
        <t>عقيد احمد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PrintArea" hidden="1" oldHidden="1">
    <formula>'عائد محطات الوكلاء'!$A$1:$L$25</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4">
    <nc r="H6">
      <v>25007</v>
    </nc>
  </rcc>
  <rcc rId="221" sId="4">
    <nc r="K6">
      <v>8838</v>
    </nc>
  </rcc>
  <rcc rId="222" sId="4" numFmtId="4">
    <nc r="O6">
      <v>2180</v>
    </nc>
  </rcc>
  <rcc rId="223" sId="4">
    <nc r="F6">
      <v>69</v>
    </nc>
  </rcc>
  <rcc rId="224" sId="4">
    <nc r="I6">
      <v>18</v>
    </nc>
  </rcc>
  <rcc rId="225" sId="4">
    <nc r="R6" t="inlineStr">
      <is>
        <t>عقيد وائل</t>
      </is>
    </nc>
  </rcc>
  <rcc rId="226" sId="1">
    <oc r="I5" t="inlineStr">
      <is>
        <t>التمام الصباحي الإثنين الموافق  1 / 9 / 2019</t>
      </is>
    </oc>
    <nc r="I5" t="inlineStr">
      <is>
        <t>التمام الصباحي الإثنين الموافق  22 / 9 / 2019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4">
    <oc r="F8">
      <v>53</v>
    </oc>
    <nc r="F8" t="inlineStr">
      <is>
        <t xml:space="preserve"> </t>
      </is>
    </nc>
  </rcc>
  <rcc rId="228" sId="4">
    <nc r="J22">
      <v>17</v>
    </nc>
  </rcc>
  <rcc rId="229" sId="4">
    <nc r="G23">
      <v>17</v>
    </nc>
  </rcc>
  <rcc rId="230" sId="4">
    <nc r="D8">
      <v>17</v>
    </nc>
  </rcc>
  <rcc rId="231" sId="4">
    <nc r="J8">
      <v>17</v>
    </nc>
  </rcc>
  <rcc rId="232" sId="4">
    <nc r="M24">
      <v>51</v>
    </nc>
  </rcc>
  <rcc rId="233" sId="4">
    <nc r="G14">
      <v>17</v>
    </nc>
  </rcc>
  <rcc rId="234" sId="4">
    <nc r="J14">
      <v>17</v>
    </nc>
  </rcc>
  <rcc rId="235" sId="4">
    <nc r="G5">
      <v>34</v>
    </nc>
  </rcc>
  <rcc rId="236" sId="4">
    <nc r="J5">
      <v>17</v>
    </nc>
  </rcc>
  <rcc rId="237" sId="4">
    <nc r="M22">
      <v>51</v>
    </nc>
  </rcc>
  <rcc rId="238" sId="4">
    <nc r="M18">
      <v>34</v>
    </nc>
  </rcc>
  <rcc rId="239" sId="4">
    <nc r="G18">
      <v>17</v>
    </nc>
  </rcc>
  <rcc rId="240" sId="4">
    <nc r="D7">
      <v>34</v>
    </nc>
  </rcc>
  <rcc rId="241" sId="4">
    <nc r="G7">
      <v>17</v>
    </nc>
  </rcc>
  <rcc rId="242" sId="4">
    <nc r="J9">
      <v>17</v>
    </nc>
  </rcc>
  <rcc rId="243" sId="4">
    <nc r="M23">
      <v>68</v>
    </nc>
  </rcc>
  <rcc rId="244" sId="4">
    <nc r="M14">
      <v>68</v>
    </nc>
  </rcc>
  <rcc rId="245" sId="4">
    <nc r="M10">
      <v>34</v>
    </nc>
  </rcc>
  <rcc rId="246" sId="4">
    <nc r="M11">
      <v>17</v>
    </nc>
  </rcc>
  <rcc rId="247" sId="4">
    <nc r="G12">
      <v>34</v>
    </nc>
  </rcc>
  <rcc rId="248" sId="4">
    <nc r="J12">
      <v>17</v>
    </nc>
  </rcc>
  <rcc rId="249" sId="4">
    <nc r="G26">
      <v>17</v>
    </nc>
  </rcc>
  <rcc rId="250" sId="4">
    <nc r="M26">
      <v>34</v>
    </nc>
  </rcc>
  <rcc rId="251" sId="7">
    <nc r="F40">
      <v>17</v>
    </nc>
  </rcc>
  <rcc rId="252" sId="7">
    <nc r="E41">
      <v>17</v>
    </nc>
  </rcc>
  <rcc rId="253" sId="7">
    <nc r="G41">
      <v>17</v>
    </nc>
  </rcc>
  <rcc rId="254" sId="7">
    <nc r="G9">
      <v>17</v>
    </nc>
  </rcc>
  <rcc rId="255" sId="7">
    <nc r="I9">
      <v>17</v>
    </nc>
  </rcc>
  <rcc rId="256" sId="7">
    <nc r="D42">
      <v>51</v>
    </nc>
  </rcc>
  <rcc rId="257" sId="7">
    <nc r="R5">
      <v>17</v>
    </nc>
  </rcc>
  <rcc rId="258" sId="7">
    <nc r="S5">
      <v>17</v>
    </nc>
  </rcc>
  <rcc rId="259" sId="7">
    <nc r="T5">
      <v>68</v>
    </nc>
  </rcc>
  <rcc rId="260" sId="7">
    <nc r="H5">
      <v>34</v>
    </nc>
  </rcc>
  <rcc rId="261" sId="7">
    <nc r="I5">
      <v>17</v>
    </nc>
  </rcc>
  <rcc rId="262" sId="7">
    <nc r="B43">
      <v>17</v>
    </nc>
  </rcc>
  <rcc rId="263" sId="7">
    <nc r="B42">
      <v>34</v>
    </nc>
  </rcc>
  <rcc rId="264" sId="7">
    <nc r="Q15">
      <v>51</v>
    </nc>
  </rcc>
  <rcc rId="265" sId="7">
    <nc r="I28">
      <v>34</v>
    </nc>
  </rcc>
  <rcc rId="266" sId="7">
    <nc r="F28">
      <v>17</v>
    </nc>
  </rcc>
  <rcc rId="267" sId="7">
    <nc r="G8">
      <v>34</v>
    </nc>
  </rcc>
  <rcc rId="268" sId="7">
    <nc r="H8">
      <v>17</v>
    </nc>
  </rcc>
  <rcc rId="269" sId="7">
    <nc r="I10">
      <v>17</v>
    </nc>
  </rcc>
  <rcc rId="270" sId="7">
    <nc r="D41">
      <v>51</v>
    </nc>
  </rcc>
  <rcc rId="271" sId="7">
    <nc r="F11">
      <v>34</v>
    </nc>
  </rcc>
  <rcc rId="272" sId="7">
    <nc r="F12">
      <v>17</v>
    </nc>
  </rcc>
  <rcc rId="273" sId="7">
    <nc r="C13">
      <v>34</v>
    </nc>
  </rcc>
  <rcc rId="274" sId="7">
    <nc r="D13">
      <v>17</v>
    </nc>
  </rcc>
  <rcc rId="275" sId="7">
    <nc r="F32">
      <v>17</v>
    </nc>
  </rcc>
  <rcc rId="276" sId="7">
    <nc r="I32">
      <v>34</v>
    </nc>
  </rcc>
  <rcc rId="277" sId="7">
    <nc r="C15">
      <v>0</v>
    </nc>
  </rcc>
  <rcc rId="278" sId="7">
    <nc r="C11">
      <v>34</v>
    </nc>
  </rcc>
  <rcc rId="279" sId="7">
    <nc r="C12">
      <v>17</v>
    </nc>
  </rcc>
  <rcc rId="280" sId="4">
    <nc r="G10">
      <v>34</v>
    </nc>
  </rcc>
  <rcc rId="281" sId="4">
    <nc r="G11">
      <v>17</v>
    </nc>
  </rcc>
  <rcc rId="282" sId="4">
    <nc r="J24">
      <v>0</v>
    </nc>
  </rcc>
  <rcc rId="283" sId="4">
    <nc r="J25">
      <v>0</v>
    </nc>
  </rcc>
  <rcc rId="284" sId="4">
    <nc r="G24">
      <v>34</v>
    </nc>
  </rcc>
  <rcc rId="285" sId="4">
    <nc r="G25">
      <v>17</v>
    </nc>
  </rcc>
  <rcc rId="286" sId="7">
    <nc r="C16">
      <v>85</v>
    </nc>
  </rcc>
  <rcc rId="287" sId="7">
    <nc r="D16">
      <v>17</v>
    </nc>
  </rcc>
  <rcc rId="288" sId="4">
    <nc r="G31">
      <v>85</v>
    </nc>
  </rcc>
  <rcc rId="289" sId="4">
    <nc r="J31">
      <v>17</v>
    </nc>
  </rcc>
  <rcc rId="290" sId="7">
    <nc r="C10">
      <v>34</v>
    </nc>
  </rcc>
  <rcc rId="291" sId="7">
    <nc r="C9">
      <v>17</v>
    </nc>
  </rcc>
  <rcc rId="292" sId="4">
    <nc r="G9">
      <v>34</v>
    </nc>
  </rcc>
  <rcc rId="293" sId="4">
    <nc r="G8">
      <v>17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7">
    <nc r="C17">
      <v>34</v>
    </nc>
  </rcc>
  <rcc rId="295" sId="7">
    <nc r="D17">
      <v>17</v>
    </nc>
  </rcc>
  <rcc rId="296" sId="4">
    <nc r="G28">
      <v>34</v>
    </nc>
  </rcc>
  <rcc rId="297" sId="4">
    <nc r="J28">
      <v>17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7">
    <oc r="C16">
      <v>85</v>
    </oc>
    <nc r="C16">
      <v>51</v>
    </nc>
  </rcc>
  <rcc rId="299" sId="7">
    <oc r="D16">
      <v>17</v>
    </oc>
    <nc r="D16">
      <v>0</v>
    </nc>
  </rcc>
  <rcc rId="300" sId="7">
    <nc r="H16">
      <v>34</v>
    </nc>
  </rcc>
  <rcc rId="301" sId="7">
    <nc r="I16">
      <v>17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4">
    <nc r="K18">
      <v>2507</v>
    </nc>
  </rcc>
  <rcc rId="17" sId="4">
    <nc r="H18">
      <v>10329</v>
    </nc>
  </rcc>
  <rcc rId="18" sId="4">
    <nc r="N18">
      <v>24747</v>
    </nc>
  </rcc>
  <rcc rId="19" sId="4" numFmtId="4">
    <nc r="O18">
      <v>1020</v>
    </nc>
  </rcc>
  <rcc rId="20" sId="4">
    <nc r="P18">
      <v>2020</v>
    </nc>
  </rcc>
  <rcc rId="21" sId="4">
    <nc r="I18">
      <v>25</v>
    </nc>
  </rcc>
  <rcc rId="22" sId="4">
    <nc r="F18">
      <v>72</v>
    </nc>
  </rcc>
  <rcc rId="23" sId="4">
    <nc r="L18">
      <v>132</v>
    </nc>
  </rcc>
  <rcc rId="24" sId="4">
    <nc r="R18" t="inlineStr">
      <is>
        <t>عميد سيد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4">
    <oc r="G8">
      <v>17</v>
    </oc>
    <nc r="G8">
      <v>51</v>
    </nc>
  </rcc>
  <rcc rId="303" sId="4">
    <nc r="M8">
      <v>17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PrintArea" hidden="1" oldHidden="1">
    <formula>'عائد محطات الوكلاء'!$A$1:$L$25</formula>
    <oldFormula>'عائد محطات الوكلاء'!$A$1:$L$25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7">
    <oc r="C9">
      <v>17</v>
    </oc>
    <nc r="C9">
      <v>51</v>
    </nc>
  </rcc>
  <rcc rId="313" sId="7">
    <nc r="E9">
      <v>17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PrintArea" hidden="1" oldHidden="1">
    <formula>'عائد محطات الوكلاء'!$A$1:$L$25</formula>
    <oldFormula>'عائد محطات الوكلاء'!$A$1:$L$25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4">
    <nc r="K13">
      <v>8473</v>
    </nc>
  </rcc>
  <rcc rId="26" sId="4">
    <nc r="H13">
      <v>26108</v>
    </nc>
  </rcc>
  <rcc rId="27" sId="4">
    <nc r="N13">
      <v>26357</v>
    </nc>
  </rcc>
  <rcc rId="28" sId="4">
    <nc r="I13">
      <v>32</v>
    </nc>
  </rcc>
  <rcc rId="29" sId="4">
    <nc r="F13">
      <v>170</v>
    </nc>
  </rcc>
  <rcc rId="30" sId="4">
    <nc r="L13">
      <v>105</v>
    </nc>
  </rcc>
  <rcc rId="31" sId="4">
    <nc r="R13" t="inlineStr">
      <is>
        <t>عميد اسامه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4">
    <nc r="K23">
      <v>3275</v>
    </nc>
  </rcc>
  <rcc rId="40" sId="4">
    <nc r="H23">
      <v>14659</v>
    </nc>
  </rcc>
  <rcc rId="41" sId="4">
    <nc r="N23">
      <v>42195</v>
    </nc>
  </rcc>
  <rcc rId="42" sId="4" numFmtId="4">
    <nc r="O23">
      <v>1540</v>
    </nc>
  </rcc>
  <rcc rId="43" sId="4">
    <nc r="P23">
      <v>3215</v>
    </nc>
  </rcc>
  <rcc rId="44" sId="4">
    <nc r="I23">
      <v>23</v>
    </nc>
  </rcc>
  <rcc rId="45" sId="4">
    <nc r="F23">
      <v>70</v>
    </nc>
  </rcc>
  <rcc rId="46" sId="4">
    <nc r="L23">
      <v>125</v>
    </nc>
  </rcc>
  <rcc rId="47" sId="4">
    <nc r="R23" t="inlineStr">
      <is>
        <t xml:space="preserve">عميد اشرف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4">
    <nc r="K25">
      <v>1667</v>
    </nc>
  </rcc>
  <rcc rId="49" sId="4">
    <nc r="H25">
      <v>8013</v>
    </nc>
  </rcc>
  <rcc rId="50" sId="4">
    <nc r="N25">
      <v>15465</v>
    </nc>
  </rcc>
  <rcc rId="51" sId="4" numFmtId="4">
    <nc r="O25">
      <v>870</v>
    </nc>
  </rcc>
  <rcc rId="52" sId="4">
    <nc r="P25">
      <v>1370</v>
    </nc>
  </rcc>
  <rcc rId="53" sId="4">
    <nc r="I25">
      <v>22</v>
    </nc>
  </rcc>
  <rcc rId="54" sId="4">
    <nc r="F25">
      <v>63</v>
    </nc>
  </rcc>
  <rcc rId="55" sId="4">
    <nc r="L25">
      <v>147</v>
    </nc>
  </rcc>
  <rcc rId="56" sId="4">
    <nc r="R25" t="inlineStr">
      <is>
        <t>عميد حامد</t>
      </is>
    </nc>
  </rcc>
  <rcc rId="57" sId="4">
    <nc r="K9">
      <v>8859</v>
    </nc>
  </rcc>
  <rcc rId="58" sId="4">
    <nc r="H9">
      <v>32530</v>
    </nc>
  </rcc>
  <rcc rId="59" sId="4" numFmtId="4">
    <nc r="O9">
      <v>2870</v>
    </nc>
  </rcc>
  <rcc rId="60" sId="4">
    <nc r="R9" t="inlineStr">
      <is>
        <t>عميد محمد</t>
      </is>
    </nc>
  </rcc>
  <rcc rId="61" sId="4">
    <nc r="F9">
      <v>68</v>
    </nc>
  </rcc>
  <rcc rId="62" sId="4">
    <nc r="I9">
      <v>14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4">
    <nc r="H20">
      <v>1625</v>
    </nc>
  </rcc>
  <rcc rId="64" sId="4">
    <nc r="E20">
      <v>116</v>
    </nc>
  </rcc>
  <rcc rId="65" sId="4">
    <nc r="N20">
      <v>14562</v>
    </nc>
  </rcc>
  <rcc rId="66" sId="4" numFmtId="4">
    <nc r="O20">
      <v>160</v>
    </nc>
  </rcc>
  <rcc rId="67" sId="4">
    <nc r="P20">
      <v>1150</v>
    </nc>
  </rcc>
  <rcc rId="68" sId="4">
    <nc r="F20">
      <v>58</v>
    </nc>
  </rcc>
  <rcc rId="69" sId="4">
    <nc r="C20">
      <v>15</v>
    </nc>
  </rcc>
  <rcc rId="70" sId="4">
    <nc r="L20">
      <v>100</v>
    </nc>
  </rcc>
  <rcc rId="71" sId="4">
    <nc r="R20" t="inlineStr">
      <is>
        <t>جندي عبدالله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4">
    <nc r="K16">
      <v>5105</v>
    </nc>
  </rcc>
  <rcc rId="73" sId="4">
    <nc r="H16">
      <v>2208</v>
    </nc>
  </rcc>
  <rcc rId="74" sId="4" numFmtId="4">
    <nc r="O16">
      <v>706</v>
    </nc>
  </rcc>
  <rcc rId="75" sId="4">
    <nc r="F16">
      <v>41</v>
    </nc>
  </rcc>
  <rcc rId="76" sId="4">
    <nc r="I16">
      <v>20</v>
    </nc>
  </rcc>
  <rcc rId="77" sId="4">
    <nc r="R16" t="inlineStr">
      <is>
        <t xml:space="preserve">جندي شريف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4">
    <nc r="H17">
      <v>3188</v>
    </nc>
  </rcc>
  <rcc rId="79" sId="4">
    <nc r="K17">
      <v>1215</v>
    </nc>
  </rcc>
  <rcc rId="80" sId="4">
    <nc r="N17">
      <v>5902</v>
    </nc>
  </rcc>
  <rcc rId="81" sId="4" numFmtId="4">
    <nc r="O17">
      <v>1163</v>
    </nc>
  </rcc>
  <rcc rId="82" sId="4">
    <nc r="F17">
      <v>75</v>
    </nc>
  </rcc>
  <rcc rId="83" sId="4">
    <nc r="I17">
      <v>20</v>
    </nc>
  </rcc>
  <rcc rId="84" sId="4">
    <nc r="L17">
      <v>15</v>
    </nc>
  </rcc>
  <rcc rId="85" sId="4">
    <nc r="R17" t="inlineStr">
      <is>
        <t xml:space="preserve">عميد خالد 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tabSelected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A31" sqref="A31:XFD31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241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60</v>
      </c>
      <c r="K8" s="221">
        <f>I8-J8</f>
        <v>30</v>
      </c>
      <c r="L8" s="335">
        <f>'أخذ التمام الصباحي'!G5</f>
        <v>34</v>
      </c>
      <c r="M8" s="335">
        <v>25</v>
      </c>
      <c r="N8" s="203">
        <f>J8/M8</f>
        <v>2.4</v>
      </c>
      <c r="O8" s="336">
        <v>30</v>
      </c>
      <c r="P8" s="335">
        <f>'أخذ التمام الصباحي'!I5</f>
        <v>12</v>
      </c>
      <c r="Q8" s="221">
        <f>O8-P8</f>
        <v>18</v>
      </c>
      <c r="R8" s="335">
        <f>'أخذ التمام الصباحي'!J5</f>
        <v>17</v>
      </c>
      <c r="S8" s="335">
        <v>8</v>
      </c>
      <c r="T8" s="203">
        <f>P8/S8</f>
        <v>1.5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69</v>
      </c>
      <c r="K9" s="221">
        <f>I9-J9</f>
        <v>21</v>
      </c>
      <c r="L9" s="355">
        <f>'أخذ التمام الصباحي'!G6</f>
        <v>0</v>
      </c>
      <c r="M9" s="335">
        <v>29</v>
      </c>
      <c r="N9" s="203">
        <f>J9/M9</f>
        <v>2.3793103448275863</v>
      </c>
      <c r="O9" s="336">
        <v>30</v>
      </c>
      <c r="P9" s="338">
        <f>'أخذ التمام الصباحي'!I6</f>
        <v>18</v>
      </c>
      <c r="Q9" s="221">
        <f>O9-P9</f>
        <v>12</v>
      </c>
      <c r="R9" s="338">
        <f>'أخذ التمام الصباحي'!J6</f>
        <v>0</v>
      </c>
      <c r="S9" s="335">
        <v>9</v>
      </c>
      <c r="T9" s="203">
        <f>P9/S9</f>
        <v>2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57</v>
      </c>
      <c r="E10" s="221">
        <f t="shared" ref="E10:E23" si="0">C10-D10</f>
        <v>33</v>
      </c>
      <c r="F10" s="335">
        <f>'أخذ التمام الصباحي'!D7</f>
        <v>34</v>
      </c>
      <c r="G10" s="335">
        <v>36</v>
      </c>
      <c r="H10" s="204">
        <f t="shared" ref="H10:H23" si="1">D10/G10</f>
        <v>1.5833333333333333</v>
      </c>
      <c r="I10" s="336">
        <v>45</v>
      </c>
      <c r="J10" s="338">
        <f>'أخذ التمام الصباحي'!F7</f>
        <v>21</v>
      </c>
      <c r="K10" s="221">
        <f t="shared" ref="K10:K34" si="2">I10-J10</f>
        <v>24</v>
      </c>
      <c r="L10" s="355">
        <f>'أخذ التمام الصباحي'!G7</f>
        <v>17</v>
      </c>
      <c r="M10" s="335">
        <v>24</v>
      </c>
      <c r="N10" s="203">
        <f t="shared" ref="N10:N34" si="3">J10/M10</f>
        <v>0.875</v>
      </c>
      <c r="O10" s="336">
        <v>45</v>
      </c>
      <c r="P10" s="338">
        <f>'أخذ التمام الصباحي'!I7</f>
        <v>31</v>
      </c>
      <c r="Q10" s="221">
        <f t="shared" ref="Q10:Q34" si="4">O10-P10</f>
        <v>14</v>
      </c>
      <c r="R10" s="338">
        <f>'أخذ التمام الصباحي'!J7</f>
        <v>0</v>
      </c>
      <c r="S10" s="335">
        <v>4</v>
      </c>
      <c r="T10" s="203">
        <f t="shared" ref="T10:T34" si="5">P10/S10</f>
        <v>7.75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13</v>
      </c>
      <c r="E11" s="221">
        <f t="shared" si="0"/>
        <v>17</v>
      </c>
      <c r="F11" s="338">
        <f>'أخذ التمام الصباحي'!D8</f>
        <v>17</v>
      </c>
      <c r="G11" s="335">
        <v>5</v>
      </c>
      <c r="H11" s="204">
        <f t="shared" si="1"/>
        <v>2.6</v>
      </c>
      <c r="I11" s="336">
        <v>60</v>
      </c>
      <c r="J11" s="338" t="str">
        <f>'أخذ التمام الصباحي'!F8</f>
        <v xml:space="preserve"> </v>
      </c>
      <c r="K11" s="221" t="e">
        <f t="shared" si="2"/>
        <v>#VALUE!</v>
      </c>
      <c r="L11" s="355">
        <f>'أخذ التمام الصباحي'!G8</f>
        <v>51</v>
      </c>
      <c r="M11" s="335">
        <v>25</v>
      </c>
      <c r="N11" s="203" t="e">
        <f t="shared" si="3"/>
        <v>#VALUE!</v>
      </c>
      <c r="O11" s="336">
        <v>30</v>
      </c>
      <c r="P11" s="338">
        <f>'أخذ التمام الصباحي'!I8</f>
        <v>13</v>
      </c>
      <c r="Q11" s="221">
        <f t="shared" si="4"/>
        <v>17</v>
      </c>
      <c r="R11" s="338">
        <f>'أخذ التمام الصباحي'!J8</f>
        <v>17</v>
      </c>
      <c r="S11" s="335">
        <v>8</v>
      </c>
      <c r="T11" s="203">
        <f t="shared" si="5"/>
        <v>1.625</v>
      </c>
      <c r="U11" s="336">
        <v>180</v>
      </c>
      <c r="V11" s="335">
        <f>'أخذ التمام الصباحي'!L8</f>
        <v>180</v>
      </c>
      <c r="W11" s="221">
        <f t="shared" ref="W11:W29" si="6">U11-V11</f>
        <v>0</v>
      </c>
      <c r="X11" s="335">
        <f>'أخذ التمام الصباحي'!M8</f>
        <v>17</v>
      </c>
      <c r="Y11" s="335">
        <v>6</v>
      </c>
      <c r="Z11" s="203">
        <f>V11/Y11</f>
        <v>30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68</v>
      </c>
      <c r="K12" s="221">
        <f t="shared" si="2"/>
        <v>22</v>
      </c>
      <c r="L12" s="355">
        <f>'أخذ التمام الصباحي'!G9</f>
        <v>34</v>
      </c>
      <c r="M12" s="335">
        <v>42</v>
      </c>
      <c r="N12" s="203">
        <f t="shared" si="3"/>
        <v>1.6190476190476191</v>
      </c>
      <c r="O12" s="336">
        <v>30</v>
      </c>
      <c r="P12" s="338">
        <f>'أخذ التمام الصباحي'!I9</f>
        <v>14</v>
      </c>
      <c r="Q12" s="221">
        <f t="shared" si="4"/>
        <v>16</v>
      </c>
      <c r="R12" s="338">
        <f>'أخذ التمام الصباحي'!J9</f>
        <v>17</v>
      </c>
      <c r="S12" s="335">
        <v>12</v>
      </c>
      <c r="T12" s="203">
        <f t="shared" si="5"/>
        <v>1.1666666666666667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15</v>
      </c>
      <c r="E13" s="221">
        <f t="shared" si="0"/>
        <v>15</v>
      </c>
      <c r="F13" s="338">
        <f>'أخذ التمام الصباحي'!D10</f>
        <v>0</v>
      </c>
      <c r="G13" s="335">
        <v>4</v>
      </c>
      <c r="H13" s="204">
        <f t="shared" si="1"/>
        <v>3.75</v>
      </c>
      <c r="I13" s="336">
        <v>90</v>
      </c>
      <c r="J13" s="338">
        <f>'أخذ التمام الصباحي'!F10</f>
        <v>61</v>
      </c>
      <c r="K13" s="221">
        <f t="shared" si="2"/>
        <v>29</v>
      </c>
      <c r="L13" s="355">
        <f>'أخذ التمام الصباحي'!G10</f>
        <v>34</v>
      </c>
      <c r="M13" s="335">
        <v>27</v>
      </c>
      <c r="N13" s="203">
        <f t="shared" si="3"/>
        <v>2.2592592592592591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156</v>
      </c>
      <c r="W13" s="221">
        <f t="shared" si="6"/>
        <v>24</v>
      </c>
      <c r="X13" s="335">
        <f>'أخذ التمام الصباحي'!M10</f>
        <v>34</v>
      </c>
      <c r="Y13" s="335">
        <v>8</v>
      </c>
      <c r="Z13" s="203">
        <f t="shared" ref="Z13:Z29" si="7">V13/Y13</f>
        <v>19.5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15</v>
      </c>
      <c r="E14" s="221">
        <f t="shared" si="0"/>
        <v>15</v>
      </c>
      <c r="F14" s="338">
        <f>'أخذ التمام الصباحي'!D11</f>
        <v>0</v>
      </c>
      <c r="G14" s="335">
        <v>7</v>
      </c>
      <c r="H14" s="204">
        <f t="shared" si="1"/>
        <v>2.1428571428571428</v>
      </c>
      <c r="I14" s="336">
        <v>90</v>
      </c>
      <c r="J14" s="338">
        <f>'أخذ التمام الصباحي'!F11</f>
        <v>78</v>
      </c>
      <c r="K14" s="221">
        <f t="shared" si="2"/>
        <v>12</v>
      </c>
      <c r="L14" s="355">
        <f>'أخذ التمام الصباحي'!G11</f>
        <v>17</v>
      </c>
      <c r="M14" s="335">
        <v>22</v>
      </c>
      <c r="N14" s="203">
        <f t="shared" si="3"/>
        <v>3.5454545454545454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168</v>
      </c>
      <c r="W14" s="221">
        <f t="shared" si="6"/>
        <v>12</v>
      </c>
      <c r="X14" s="338">
        <f>'أخذ التمام الصباحي'!M11</f>
        <v>17</v>
      </c>
      <c r="Y14" s="335">
        <v>20</v>
      </c>
      <c r="Z14" s="203">
        <f t="shared" si="7"/>
        <v>8.4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160</v>
      </c>
      <c r="K15" s="221">
        <f t="shared" si="2"/>
        <v>20</v>
      </c>
      <c r="L15" s="355">
        <f>'أخذ التمام الصباحي'!G12</f>
        <v>34</v>
      </c>
      <c r="M15" s="335">
        <v>52</v>
      </c>
      <c r="N15" s="203">
        <f t="shared" si="3"/>
        <v>3.0769230769230771</v>
      </c>
      <c r="O15" s="336">
        <v>60</v>
      </c>
      <c r="P15" s="335">
        <f>'أخذ التمام الصباحي'!I12</f>
        <v>48</v>
      </c>
      <c r="Q15" s="221">
        <f t="shared" si="4"/>
        <v>12</v>
      </c>
      <c r="R15" s="335">
        <f>'أخذ التمام الصباحي'!J12</f>
        <v>17</v>
      </c>
      <c r="S15" s="335">
        <v>15</v>
      </c>
      <c r="T15" s="203">
        <f t="shared" si="5"/>
        <v>3.2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170</v>
      </c>
      <c r="K16" s="221">
        <f t="shared" si="2"/>
        <v>10</v>
      </c>
      <c r="L16" s="355">
        <f>'أخذ التمام الصباحي'!G13</f>
        <v>0</v>
      </c>
      <c r="M16" s="335">
        <v>35</v>
      </c>
      <c r="N16" s="203">
        <f t="shared" si="3"/>
        <v>4.8571428571428568</v>
      </c>
      <c r="O16" s="336">
        <v>45</v>
      </c>
      <c r="P16" s="338">
        <f>'أخذ التمام الصباحي'!I13</f>
        <v>32</v>
      </c>
      <c r="Q16" s="221">
        <f t="shared" si="4"/>
        <v>13</v>
      </c>
      <c r="R16" s="338">
        <f>'أخذ التمام الصباحي'!J13</f>
        <v>0</v>
      </c>
      <c r="S16" s="335">
        <v>11</v>
      </c>
      <c r="T16" s="203">
        <f t="shared" si="5"/>
        <v>2.9090909090909092</v>
      </c>
      <c r="U16" s="336">
        <v>120</v>
      </c>
      <c r="V16" s="335">
        <f>'أخذ التمام الصباحي'!L13</f>
        <v>105</v>
      </c>
      <c r="W16" s="221">
        <f t="shared" si="6"/>
        <v>15</v>
      </c>
      <c r="X16" s="335">
        <f>'أخذ التمام الصباحي'!M13</f>
        <v>0</v>
      </c>
      <c r="Y16" s="335">
        <v>25</v>
      </c>
      <c r="Z16" s="203">
        <f t="shared" si="7"/>
        <v>4.2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72</v>
      </c>
      <c r="K17" s="221">
        <f t="shared" si="2"/>
        <v>18</v>
      </c>
      <c r="L17" s="355">
        <f>'أخذ التمام الصباحي'!G14</f>
        <v>17</v>
      </c>
      <c r="M17" s="335">
        <v>12</v>
      </c>
      <c r="N17" s="203">
        <f t="shared" si="3"/>
        <v>6</v>
      </c>
      <c r="O17" s="336">
        <v>30</v>
      </c>
      <c r="P17" s="338">
        <f>'أخذ التمام الصباحي'!I14</f>
        <v>12</v>
      </c>
      <c r="Q17" s="221">
        <f t="shared" si="4"/>
        <v>18</v>
      </c>
      <c r="R17" s="338">
        <f>'أخذ التمام الصباحي'!J14</f>
        <v>17</v>
      </c>
      <c r="S17" s="335">
        <v>6</v>
      </c>
      <c r="T17" s="203">
        <f>P17/S17</f>
        <v>2</v>
      </c>
      <c r="U17" s="336">
        <v>180</v>
      </c>
      <c r="V17" s="338">
        <f>'أخذ التمام الصباحي'!L14</f>
        <v>120</v>
      </c>
      <c r="W17" s="221">
        <f t="shared" si="6"/>
        <v>60</v>
      </c>
      <c r="X17" s="338">
        <f>'أخذ التمام الصباحي'!M14</f>
        <v>68</v>
      </c>
      <c r="Y17" s="335">
        <v>31</v>
      </c>
      <c r="Z17" s="203">
        <f t="shared" si="7"/>
        <v>3.870967741935484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54</v>
      </c>
      <c r="K18" s="221">
        <f t="shared" si="2"/>
        <v>36</v>
      </c>
      <c r="L18" s="355">
        <f>'أخذ التمام الصباحي'!G15</f>
        <v>0</v>
      </c>
      <c r="M18" s="335">
        <v>12</v>
      </c>
      <c r="N18" s="203">
        <f t="shared" si="3"/>
        <v>4.5</v>
      </c>
      <c r="O18" s="336">
        <v>30</v>
      </c>
      <c r="P18" s="338">
        <f>'أخذ التمام الصباحي'!I15</f>
        <v>16</v>
      </c>
      <c r="Q18" s="221">
        <f t="shared" si="4"/>
        <v>14</v>
      </c>
      <c r="R18" s="338">
        <f>'أخذ التمام الصباحي'!J15</f>
        <v>0</v>
      </c>
      <c r="S18" s="335">
        <v>4</v>
      </c>
      <c r="T18" s="203">
        <f t="shared" si="5"/>
        <v>4</v>
      </c>
      <c r="U18" s="336">
        <v>60</v>
      </c>
      <c r="V18" s="338">
        <f>'أخذ التمام الصباحي'!L15</f>
        <v>49</v>
      </c>
      <c r="W18" s="194">
        <f t="shared" si="6"/>
        <v>11</v>
      </c>
      <c r="X18" s="338">
        <f>'أخذ التمام الصباحي'!M15</f>
        <v>0</v>
      </c>
      <c r="Y18" s="335">
        <v>5</v>
      </c>
      <c r="Z18" s="335">
        <f t="shared" si="7"/>
        <v>9.8000000000000007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41</v>
      </c>
      <c r="K19" s="221">
        <f t="shared" si="2"/>
        <v>19</v>
      </c>
      <c r="L19" s="355">
        <f>'أخذ التمام الصباحي'!G16</f>
        <v>0</v>
      </c>
      <c r="M19" s="335">
        <v>5</v>
      </c>
      <c r="N19" s="203">
        <f t="shared" si="3"/>
        <v>8.1999999999999993</v>
      </c>
      <c r="O19" s="336">
        <v>30</v>
      </c>
      <c r="P19" s="338">
        <f>'أخذ التمام الصباحي'!I16</f>
        <v>20</v>
      </c>
      <c r="Q19" s="221">
        <f t="shared" si="4"/>
        <v>10</v>
      </c>
      <c r="R19" s="338">
        <f>'أخذ التمام الصباحي'!J16</f>
        <v>0</v>
      </c>
      <c r="S19" s="335">
        <v>2</v>
      </c>
      <c r="T19" s="203">
        <f t="shared" si="5"/>
        <v>10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75</v>
      </c>
      <c r="K20" s="221">
        <f t="shared" si="2"/>
        <v>15</v>
      </c>
      <c r="L20" s="355">
        <f>'أخذ التمام الصباحي'!G17</f>
        <v>0</v>
      </c>
      <c r="M20" s="335">
        <v>4</v>
      </c>
      <c r="N20" s="203">
        <f t="shared" si="3"/>
        <v>18.75</v>
      </c>
      <c r="O20" s="336">
        <v>30</v>
      </c>
      <c r="P20" s="338">
        <f>'أخذ التمام الصباحي'!I17</f>
        <v>20</v>
      </c>
      <c r="Q20" s="221">
        <f t="shared" si="4"/>
        <v>10</v>
      </c>
      <c r="R20" s="338">
        <f>'أخذ التمام الصباحي'!J17</f>
        <v>0</v>
      </c>
      <c r="S20" s="335">
        <v>2</v>
      </c>
      <c r="T20" s="203">
        <f t="shared" si="5"/>
        <v>10</v>
      </c>
      <c r="U20" s="336">
        <v>180</v>
      </c>
      <c r="V20" s="335">
        <f>'أخذ التمام الصباحي'!L17</f>
        <v>165</v>
      </c>
      <c r="W20" s="221">
        <f t="shared" si="6"/>
        <v>15</v>
      </c>
      <c r="X20" s="335">
        <f>'أخذ التمام الصباحي'!M17</f>
        <v>0</v>
      </c>
      <c r="Y20" s="335">
        <v>7</v>
      </c>
      <c r="Z20" s="203">
        <f t="shared" si="7"/>
        <v>23.571428571428573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72</v>
      </c>
      <c r="K21" s="221">
        <f t="shared" si="2"/>
        <v>18</v>
      </c>
      <c r="L21" s="355">
        <f>'أخذ التمام الصباحي'!G18</f>
        <v>17</v>
      </c>
      <c r="M21" s="335">
        <v>34</v>
      </c>
      <c r="N21" s="203">
        <f t="shared" si="3"/>
        <v>2.1176470588235294</v>
      </c>
      <c r="O21" s="336">
        <v>30</v>
      </c>
      <c r="P21" s="338">
        <f>'أخذ التمام الصباحي'!I18</f>
        <v>25</v>
      </c>
      <c r="Q21" s="221">
        <f t="shared" si="4"/>
        <v>5</v>
      </c>
      <c r="R21" s="338">
        <f>'أخذ التمام الصباحي'!J18</f>
        <v>0</v>
      </c>
      <c r="S21" s="335">
        <v>13</v>
      </c>
      <c r="T21" s="203">
        <f t="shared" si="5"/>
        <v>1.9230769230769231</v>
      </c>
      <c r="U21" s="336">
        <v>180</v>
      </c>
      <c r="V21" s="338">
        <f>'أخذ التمام الصباحي'!L18</f>
        <v>132</v>
      </c>
      <c r="W21" s="221">
        <f t="shared" si="6"/>
        <v>48</v>
      </c>
      <c r="X21" s="338">
        <f>'أخذ التمام الصباحي'!M18</f>
        <v>34</v>
      </c>
      <c r="Y21" s="335">
        <v>22</v>
      </c>
      <c r="Z21" s="203">
        <f t="shared" si="7"/>
        <v>6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72</v>
      </c>
      <c r="K22" s="221">
        <f t="shared" si="2"/>
        <v>18</v>
      </c>
      <c r="L22" s="355">
        <f>'أخذ التمام الصباحي'!G19</f>
        <v>0</v>
      </c>
      <c r="M22" s="335">
        <v>8</v>
      </c>
      <c r="N22" s="203">
        <f t="shared" si="3"/>
        <v>9</v>
      </c>
      <c r="O22" s="336">
        <v>30</v>
      </c>
      <c r="P22" s="338">
        <f>'أخذ التمام الصباحي'!I19</f>
        <v>26</v>
      </c>
      <c r="Q22" s="221">
        <f t="shared" si="4"/>
        <v>4</v>
      </c>
      <c r="R22" s="338">
        <f>'أخذ التمام الصباحي'!J19</f>
        <v>0</v>
      </c>
      <c r="S22" s="335">
        <v>2</v>
      </c>
      <c r="T22" s="203">
        <f t="shared" si="5"/>
        <v>13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15</v>
      </c>
      <c r="E23" s="194">
        <f t="shared" si="0"/>
        <v>15</v>
      </c>
      <c r="F23" s="194">
        <f>'أخذ التمام الصباحي'!D20</f>
        <v>0</v>
      </c>
      <c r="G23" s="194">
        <v>0.6</v>
      </c>
      <c r="H23" s="194">
        <f t="shared" si="1"/>
        <v>25</v>
      </c>
      <c r="I23" s="336">
        <v>60</v>
      </c>
      <c r="J23" s="338">
        <f>'أخذ التمام الصباحي'!F20</f>
        <v>58</v>
      </c>
      <c r="K23" s="221">
        <f t="shared" si="2"/>
        <v>2</v>
      </c>
      <c r="L23" s="355">
        <f>'أخذ التمام الصباحي'!G20</f>
        <v>0</v>
      </c>
      <c r="M23" s="335">
        <v>3</v>
      </c>
      <c r="N23" s="203">
        <f t="shared" si="3"/>
        <v>19.333333333333332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100</v>
      </c>
      <c r="W23" s="221">
        <f t="shared" si="6"/>
        <v>20</v>
      </c>
      <c r="X23" s="335">
        <f>'أخذ التمام الصباحي'!M20</f>
        <v>0</v>
      </c>
      <c r="Y23" s="335">
        <v>7</v>
      </c>
      <c r="Z23" s="203">
        <f t="shared" si="7"/>
        <v>14.285714285714286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46</v>
      </c>
      <c r="K24" s="221">
        <f t="shared" si="2"/>
        <v>14</v>
      </c>
      <c r="L24" s="355">
        <f>'أخذ التمام الصباحي'!G21</f>
        <v>0</v>
      </c>
      <c r="M24" s="335">
        <v>6</v>
      </c>
      <c r="N24" s="203">
        <f t="shared" si="3"/>
        <v>7.666666666666667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119</v>
      </c>
      <c r="W24" s="221">
        <f t="shared" si="6"/>
        <v>1</v>
      </c>
      <c r="X24" s="338">
        <f>'أخذ التمام الصباحي'!M21</f>
        <v>0</v>
      </c>
      <c r="Y24" s="335">
        <v>5</v>
      </c>
      <c r="Z24" s="203">
        <f t="shared" si="7"/>
        <v>23.8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77</v>
      </c>
      <c r="K25" s="221">
        <f t="shared" si="2"/>
        <v>13</v>
      </c>
      <c r="L25" s="355">
        <f>'أخذ التمام الصباحي'!G22</f>
        <v>0</v>
      </c>
      <c r="M25" s="335">
        <v>15</v>
      </c>
      <c r="N25" s="203">
        <f t="shared" si="3"/>
        <v>5.1333333333333337</v>
      </c>
      <c r="O25" s="336">
        <v>30</v>
      </c>
      <c r="P25" s="335">
        <f>'أخذ التمام الصباحي'!I22</f>
        <v>11</v>
      </c>
      <c r="Q25" s="221">
        <f t="shared" si="4"/>
        <v>19</v>
      </c>
      <c r="R25" s="335">
        <f>'أخذ التمام الصباحي'!J22</f>
        <v>17</v>
      </c>
      <c r="S25" s="335">
        <v>3</v>
      </c>
      <c r="T25" s="203">
        <f t="shared" si="5"/>
        <v>3.6666666666666665</v>
      </c>
      <c r="U25" s="336">
        <v>180</v>
      </c>
      <c r="V25" s="338">
        <f>'أخذ التمام الصباحي'!L22</f>
        <v>145</v>
      </c>
      <c r="W25" s="221">
        <f t="shared" si="6"/>
        <v>35</v>
      </c>
      <c r="X25" s="338">
        <f>'أخذ التمام الصباحي'!M22</f>
        <v>51</v>
      </c>
      <c r="Y25" s="335">
        <v>43</v>
      </c>
      <c r="Z25" s="203">
        <f t="shared" si="7"/>
        <v>3.3720930232558142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70</v>
      </c>
      <c r="K26" s="221">
        <f t="shared" si="2"/>
        <v>20</v>
      </c>
      <c r="L26" s="355">
        <f>'أخذ التمام الصباحي'!G23</f>
        <v>17</v>
      </c>
      <c r="M26" s="335">
        <v>17</v>
      </c>
      <c r="N26" s="203">
        <f t="shared" si="3"/>
        <v>4.117647058823529</v>
      </c>
      <c r="O26" s="336">
        <v>30</v>
      </c>
      <c r="P26" s="338">
        <f>'أخذ التمام الصباحي'!I23</f>
        <v>23</v>
      </c>
      <c r="Q26" s="221">
        <f t="shared" si="4"/>
        <v>7</v>
      </c>
      <c r="R26" s="338">
        <f>'أخذ التمام الصباحي'!J23</f>
        <v>0</v>
      </c>
      <c r="S26" s="335">
        <v>4</v>
      </c>
      <c r="T26" s="203">
        <f t="shared" si="5"/>
        <v>5.75</v>
      </c>
      <c r="U26" s="336">
        <v>180</v>
      </c>
      <c r="V26" s="338">
        <f>'أخذ التمام الصباحي'!L23</f>
        <v>125</v>
      </c>
      <c r="W26" s="221">
        <f t="shared" si="6"/>
        <v>55</v>
      </c>
      <c r="X26" s="338">
        <f>'أخذ التمام الصباحي'!M23</f>
        <v>68</v>
      </c>
      <c r="Y26" s="335">
        <v>40</v>
      </c>
      <c r="Z26" s="203">
        <f t="shared" si="7"/>
        <v>3.125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53</v>
      </c>
      <c r="K27" s="221">
        <f t="shared" si="2"/>
        <v>37</v>
      </c>
      <c r="L27" s="355">
        <f>'أخذ التمام الصباحي'!G24</f>
        <v>34</v>
      </c>
      <c r="M27" s="335">
        <v>12</v>
      </c>
      <c r="N27" s="203">
        <f t="shared" si="3"/>
        <v>4.416666666666667</v>
      </c>
      <c r="O27" s="336">
        <v>30</v>
      </c>
      <c r="P27" s="338">
        <f>'أخذ التمام الصباحي'!I24</f>
        <v>17</v>
      </c>
      <c r="Q27" s="221">
        <f t="shared" si="4"/>
        <v>13</v>
      </c>
      <c r="R27" s="338">
        <f>'أخذ التمام الصباحي'!J24</f>
        <v>0</v>
      </c>
      <c r="S27" s="335">
        <v>2</v>
      </c>
      <c r="T27" s="203">
        <f t="shared" si="5"/>
        <v>8.5</v>
      </c>
      <c r="U27" s="336">
        <v>180</v>
      </c>
      <c r="V27" s="338">
        <f>'أخذ التمام الصباحي'!L24</f>
        <v>126</v>
      </c>
      <c r="W27" s="221">
        <f t="shared" si="6"/>
        <v>54</v>
      </c>
      <c r="X27" s="338">
        <f>'أخذ التمام الصباحي'!M24</f>
        <v>51</v>
      </c>
      <c r="Y27" s="335">
        <v>22</v>
      </c>
      <c r="Z27" s="203">
        <f t="shared" si="7"/>
        <v>5.7272727272727275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63</v>
      </c>
      <c r="K28" s="221">
        <f t="shared" si="2"/>
        <v>27</v>
      </c>
      <c r="L28" s="355">
        <f>'أخذ التمام الصباحي'!G25</f>
        <v>17</v>
      </c>
      <c r="M28" s="335">
        <v>9</v>
      </c>
      <c r="N28" s="203">
        <f t="shared" si="3"/>
        <v>7</v>
      </c>
      <c r="O28" s="336">
        <v>30</v>
      </c>
      <c r="P28" s="338">
        <f>'أخذ التمام الصباحي'!I25</f>
        <v>22</v>
      </c>
      <c r="Q28" s="221">
        <f t="shared" si="4"/>
        <v>8</v>
      </c>
      <c r="R28" s="338">
        <f>'أخذ التمام الصباحي'!J25</f>
        <v>0</v>
      </c>
      <c r="S28" s="335">
        <v>2</v>
      </c>
      <c r="T28" s="203">
        <f t="shared" si="5"/>
        <v>11</v>
      </c>
      <c r="U28" s="336">
        <v>180</v>
      </c>
      <c r="V28" s="338">
        <f>'أخذ التمام الصباحي'!L25</f>
        <v>147</v>
      </c>
      <c r="W28" s="221">
        <f t="shared" si="6"/>
        <v>33</v>
      </c>
      <c r="X28" s="338">
        <f>'أخذ التمام الصباحي'!M25</f>
        <v>0</v>
      </c>
      <c r="Y28" s="335">
        <v>19</v>
      </c>
      <c r="Z28" s="203">
        <f t="shared" si="7"/>
        <v>7.7368421052631575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78</v>
      </c>
      <c r="E29" s="194">
        <f t="shared" ref="E29" si="8">C29-D29</f>
        <v>12</v>
      </c>
      <c r="F29" s="194">
        <f>'أخذ التمام الصباحي'!D26</f>
        <v>0</v>
      </c>
      <c r="G29" s="194">
        <v>5</v>
      </c>
      <c r="H29" s="194">
        <f t="shared" ref="H29" si="9">D29/G29</f>
        <v>15.6</v>
      </c>
      <c r="I29" s="336">
        <v>45</v>
      </c>
      <c r="J29" s="338">
        <f>'أخذ التمام الصباحي'!F26</f>
        <v>20</v>
      </c>
      <c r="K29" s="221">
        <f t="shared" si="2"/>
        <v>25</v>
      </c>
      <c r="L29" s="355">
        <f>'أخذ التمام الصباحي'!G26</f>
        <v>17</v>
      </c>
      <c r="M29" s="335">
        <v>9</v>
      </c>
      <c r="N29" s="203">
        <f t="shared" si="3"/>
        <v>2.2222222222222223</v>
      </c>
      <c r="O29" s="336">
        <v>45</v>
      </c>
      <c r="P29" s="338">
        <f>'أخذ التمام الصباحي'!I26</f>
        <v>32</v>
      </c>
      <c r="Q29" s="221">
        <f t="shared" si="4"/>
        <v>13</v>
      </c>
      <c r="R29" s="338">
        <f>'أخذ التمام الصباحي'!J26</f>
        <v>0</v>
      </c>
      <c r="S29" s="335">
        <v>2</v>
      </c>
      <c r="T29" s="203">
        <f t="shared" si="5"/>
        <v>16</v>
      </c>
      <c r="U29" s="336">
        <v>180</v>
      </c>
      <c r="V29" s="338">
        <f>'أخذ التمام الصباحي'!L26</f>
        <v>152</v>
      </c>
      <c r="W29" s="221">
        <f t="shared" si="6"/>
        <v>28</v>
      </c>
      <c r="X29" s="338">
        <f>'أخذ التمام الصباحي'!M26</f>
        <v>34</v>
      </c>
      <c r="Y29" s="335">
        <v>16</v>
      </c>
      <c r="Z29" s="203">
        <f t="shared" si="7"/>
        <v>9.5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126</v>
      </c>
      <c r="K30" s="221">
        <f t="shared" si="2"/>
        <v>9</v>
      </c>
      <c r="L30" s="355">
        <f>'أخذ التمام الصباحي'!G27</f>
        <v>0</v>
      </c>
      <c r="M30" s="335">
        <v>6</v>
      </c>
      <c r="N30" s="203">
        <f t="shared" si="3"/>
        <v>21</v>
      </c>
      <c r="O30" s="336">
        <v>45</v>
      </c>
      <c r="P30" s="338">
        <f>'أخذ التمام الصباحي'!I27</f>
        <v>30</v>
      </c>
      <c r="Q30" s="221">
        <f t="shared" si="4"/>
        <v>15</v>
      </c>
      <c r="R30" s="338">
        <f>'أخذ التمام الصباحي'!J27</f>
        <v>0</v>
      </c>
      <c r="S30" s="335">
        <v>2</v>
      </c>
      <c r="T30" s="203">
        <f t="shared" si="5"/>
        <v>15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157</v>
      </c>
      <c r="K31" s="221">
        <f t="shared" si="2"/>
        <v>23</v>
      </c>
      <c r="L31" s="355">
        <f>'أخذ التمام الصباحي'!G28</f>
        <v>34</v>
      </c>
      <c r="M31" s="339">
        <v>27</v>
      </c>
      <c r="N31" s="203">
        <f t="shared" si="3"/>
        <v>5.8148148148148149</v>
      </c>
      <c r="O31" s="336">
        <v>90</v>
      </c>
      <c r="P31" s="338">
        <f>'أخذ التمام الصباحي'!I28</f>
        <v>75</v>
      </c>
      <c r="Q31" s="221">
        <f t="shared" si="4"/>
        <v>15</v>
      </c>
      <c r="R31" s="338">
        <f>'أخذ التمام الصباحي'!J28</f>
        <v>17</v>
      </c>
      <c r="S31" s="339">
        <v>10</v>
      </c>
      <c r="T31" s="203">
        <f t="shared" si="5"/>
        <v>7.5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161</v>
      </c>
      <c r="K32" s="221">
        <f t="shared" si="2"/>
        <v>19</v>
      </c>
      <c r="L32" s="355">
        <f>'أخذ التمام الصباحي'!G29</f>
        <v>0</v>
      </c>
      <c r="M32" s="339">
        <v>27</v>
      </c>
      <c r="N32" s="203">
        <f t="shared" si="3"/>
        <v>5.9629629629629628</v>
      </c>
      <c r="O32" s="336">
        <v>90</v>
      </c>
      <c r="P32" s="338">
        <f>'أخذ التمام الصباحي'!I29</f>
        <v>75</v>
      </c>
      <c r="Q32" s="221">
        <f t="shared" si="4"/>
        <v>15</v>
      </c>
      <c r="R32" s="338">
        <f>'أخذ التمام الصباحي'!J29</f>
        <v>0</v>
      </c>
      <c r="S32" s="339">
        <v>9</v>
      </c>
      <c r="T32" s="203">
        <f t="shared" si="5"/>
        <v>8.3333333333333339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160</v>
      </c>
      <c r="K33" s="221">
        <f t="shared" si="2"/>
        <v>20</v>
      </c>
      <c r="L33" s="355">
        <f>'أخذ التمام الصباحي'!G30</f>
        <v>0</v>
      </c>
      <c r="M33" s="339">
        <v>33</v>
      </c>
      <c r="N33" s="203">
        <f t="shared" si="3"/>
        <v>4.8484848484848486</v>
      </c>
      <c r="O33" s="336">
        <v>90</v>
      </c>
      <c r="P33" s="338">
        <f>'أخذ التمام الصباحي'!I30</f>
        <v>72</v>
      </c>
      <c r="Q33" s="221">
        <f t="shared" si="4"/>
        <v>18</v>
      </c>
      <c r="R33" s="338">
        <f>'أخذ التمام الصباحي'!J30</f>
        <v>0</v>
      </c>
      <c r="S33" s="339">
        <v>8</v>
      </c>
      <c r="T33" s="203">
        <f t="shared" si="5"/>
        <v>9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150</v>
      </c>
      <c r="K34" s="221">
        <f t="shared" si="2"/>
        <v>30</v>
      </c>
      <c r="L34" s="355">
        <f>'أخذ التمام الصباحي'!G31</f>
        <v>85</v>
      </c>
      <c r="M34" s="339">
        <v>52</v>
      </c>
      <c r="N34" s="203">
        <f t="shared" si="3"/>
        <v>2.8846153846153846</v>
      </c>
      <c r="O34" s="336">
        <v>90</v>
      </c>
      <c r="P34" s="338">
        <f>'أخذ التمام الصباحي'!I31</f>
        <v>67</v>
      </c>
      <c r="Q34" s="221">
        <f t="shared" si="4"/>
        <v>23</v>
      </c>
      <c r="R34" s="338">
        <f>'أخذ التمام الصباحي'!J31</f>
        <v>17</v>
      </c>
      <c r="S34" s="339">
        <v>11</v>
      </c>
      <c r="T34" s="203">
        <f t="shared" si="5"/>
        <v>6.0909090909090908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193</v>
      </c>
      <c r="E39" s="206">
        <f t="shared" si="16"/>
        <v>107</v>
      </c>
      <c r="F39" s="206">
        <f t="shared" si="16"/>
        <v>51</v>
      </c>
      <c r="G39" s="206">
        <f t="shared" si="16"/>
        <v>57.6</v>
      </c>
      <c r="H39" s="206">
        <f t="shared" si="16"/>
        <v>50.676190476190477</v>
      </c>
      <c r="I39" s="206">
        <f t="shared" si="16"/>
        <v>3525</v>
      </c>
      <c r="J39" s="206">
        <f t="shared" si="16"/>
        <v>2214</v>
      </c>
      <c r="K39" s="206" t="e">
        <f t="shared" si="16"/>
        <v>#VALUE!</v>
      </c>
      <c r="L39" s="206">
        <f t="shared" si="16"/>
        <v>459</v>
      </c>
      <c r="M39" s="206">
        <f t="shared" si="16"/>
        <v>684</v>
      </c>
      <c r="N39" s="206" t="e">
        <f t="shared" si="16"/>
        <v>#VALUE!</v>
      </c>
      <c r="O39" s="206">
        <f t="shared" si="16"/>
        <v>1380</v>
      </c>
      <c r="P39" s="206">
        <f t="shared" si="16"/>
        <v>711</v>
      </c>
      <c r="Q39" s="206">
        <f t="shared" si="16"/>
        <v>669</v>
      </c>
      <c r="R39" s="206">
        <f t="shared" si="16"/>
        <v>136</v>
      </c>
      <c r="S39" s="206">
        <f t="shared" si="16"/>
        <v>174</v>
      </c>
      <c r="T39" s="206">
        <f t="shared" si="16"/>
        <v>151.91474358974361</v>
      </c>
      <c r="U39" s="206">
        <f t="shared" si="16"/>
        <v>2580</v>
      </c>
      <c r="V39" s="206">
        <f t="shared" si="16"/>
        <v>1989</v>
      </c>
      <c r="W39" s="206">
        <f t="shared" si="16"/>
        <v>591</v>
      </c>
      <c r="X39" s="206">
        <f t="shared" si="16"/>
        <v>374</v>
      </c>
      <c r="Y39" s="206">
        <f t="shared" si="16"/>
        <v>306</v>
      </c>
      <c r="Z39" s="206">
        <f t="shared" si="16"/>
        <v>172.88931845487002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5107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 t="e">
        <f>E39+K39+Q39+W39</f>
        <v>#VALUE!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0.65600513808606298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1020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0.19972586645780302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A31" sqref="A31:XFD31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35</v>
      </c>
      <c r="J8" s="221">
        <f>'خطة الإمداد'!F32</f>
        <v>55</v>
      </c>
      <c r="K8" s="261">
        <v>19</v>
      </c>
      <c r="L8" s="203">
        <f>I8/K8</f>
        <v>1.8421052631578947</v>
      </c>
      <c r="M8" s="262">
        <v>30</v>
      </c>
      <c r="N8" s="261">
        <f>M8-O8</f>
        <v>4</v>
      </c>
      <c r="O8" s="221">
        <f>'خطة الإمداد'!G32</f>
        <v>26</v>
      </c>
      <c r="P8" s="261">
        <v>5</v>
      </c>
      <c r="Q8" s="203">
        <f>N8/P8</f>
        <v>0.8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8</v>
      </c>
      <c r="E10" s="261">
        <f>'خطة الإمداد'!E35</f>
        <v>22</v>
      </c>
      <c r="F10" s="261">
        <v>4</v>
      </c>
      <c r="G10" s="204">
        <f>D10/F10</f>
        <v>2</v>
      </c>
      <c r="H10" s="262">
        <v>60</v>
      </c>
      <c r="I10" s="261" t="e">
        <f t="shared" ref="I10:I27" si="1">H10-J10</f>
        <v>#VALUE!</v>
      </c>
      <c r="J10" s="221" t="e">
        <f>'خطة الإمداد'!F35</f>
        <v>#VALUE!</v>
      </c>
      <c r="K10" s="261">
        <v>21</v>
      </c>
      <c r="L10" s="203" t="e">
        <f t="shared" ref="L10:L21" si="2">I10/K10</f>
        <v>#VALUE!</v>
      </c>
      <c r="M10" s="262">
        <v>30</v>
      </c>
      <c r="N10" s="261">
        <f t="shared" ref="N10:N27" si="3">M10-O10</f>
        <v>5</v>
      </c>
      <c r="O10" s="221">
        <f>'خطة الإمداد'!G35</f>
        <v>25</v>
      </c>
      <c r="P10" s="261">
        <v>5</v>
      </c>
      <c r="Q10" s="203">
        <f>N10/P10</f>
        <v>1</v>
      </c>
      <c r="R10" s="262">
        <v>180</v>
      </c>
      <c r="S10" s="221">
        <f t="shared" ref="S10:S27" si="4">R10-T10</f>
        <v>174</v>
      </c>
      <c r="T10" s="261">
        <f>'خطة الإمداد'!H35</f>
        <v>6</v>
      </c>
      <c r="U10" s="261">
        <v>3</v>
      </c>
      <c r="V10" s="203">
        <f>S10/U10</f>
        <v>58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-4</v>
      </c>
      <c r="J11" s="221">
        <f>'خطة الإمداد'!F36</f>
        <v>64</v>
      </c>
      <c r="K11" s="261">
        <v>34</v>
      </c>
      <c r="L11" s="203">
        <f t="shared" si="2"/>
        <v>-0.11764705882352941</v>
      </c>
      <c r="M11" s="262">
        <v>30</v>
      </c>
      <c r="N11" s="261">
        <f t="shared" si="3"/>
        <v>2</v>
      </c>
      <c r="O11" s="221">
        <f>'خطة الإمداد'!G36</f>
        <v>28</v>
      </c>
      <c r="P11" s="261">
        <v>8</v>
      </c>
      <c r="Q11" s="203">
        <f>N11/P11</f>
        <v>0.25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11</v>
      </c>
      <c r="E12" s="261">
        <f>'خطة الإمداد'!E37</f>
        <v>19</v>
      </c>
      <c r="F12" s="261">
        <v>4</v>
      </c>
      <c r="G12" s="204">
        <f>D12/F12</f>
        <v>2.75</v>
      </c>
      <c r="H12" s="262">
        <v>90</v>
      </c>
      <c r="I12" s="261">
        <f t="shared" si="1"/>
        <v>34</v>
      </c>
      <c r="J12" s="221">
        <f>'خطة الإمداد'!F37</f>
        <v>56</v>
      </c>
      <c r="K12" s="261">
        <v>19</v>
      </c>
      <c r="L12" s="203">
        <f t="shared" si="2"/>
        <v>1.7894736842105263</v>
      </c>
      <c r="M12" s="263"/>
      <c r="N12" s="263"/>
      <c r="O12" s="263"/>
      <c r="P12" s="263"/>
      <c r="Q12" s="205"/>
      <c r="R12" s="262">
        <v>180</v>
      </c>
      <c r="S12" s="221">
        <f t="shared" si="4"/>
        <v>148</v>
      </c>
      <c r="T12" s="261">
        <f>'خطة الإمداد'!H37</f>
        <v>32</v>
      </c>
      <c r="U12" s="261">
        <v>8</v>
      </c>
      <c r="V12" s="203">
        <f>S12/U12</f>
        <v>18.5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8</v>
      </c>
      <c r="E13" s="261">
        <f>'خطة الإمداد'!E38</f>
        <v>22</v>
      </c>
      <c r="F13" s="261">
        <v>4</v>
      </c>
      <c r="G13" s="204">
        <f>D13/F13</f>
        <v>2</v>
      </c>
      <c r="H13" s="262">
        <v>90</v>
      </c>
      <c r="I13" s="261">
        <f t="shared" si="1"/>
        <v>56</v>
      </c>
      <c r="J13" s="221">
        <f>'خطة الإمداد'!F38</f>
        <v>34</v>
      </c>
      <c r="K13" s="261">
        <v>16</v>
      </c>
      <c r="L13" s="203">
        <f t="shared" si="2"/>
        <v>3.5</v>
      </c>
      <c r="M13" s="263"/>
      <c r="N13" s="263"/>
      <c r="O13" s="263"/>
      <c r="P13" s="263"/>
      <c r="Q13" s="205"/>
      <c r="R13" s="262">
        <v>180</v>
      </c>
      <c r="S13" s="221">
        <f t="shared" si="4"/>
        <v>148</v>
      </c>
      <c r="T13" s="261">
        <f>'خطة الإمداد'!H38</f>
        <v>32</v>
      </c>
      <c r="U13" s="261">
        <v>19</v>
      </c>
      <c r="V13" s="203">
        <f>S13/U13</f>
        <v>7.7894736842105265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108</v>
      </c>
      <c r="J14" s="221">
        <f>'خطة الإمداد'!F39</f>
        <v>72</v>
      </c>
      <c r="K14" s="261">
        <v>39</v>
      </c>
      <c r="L14" s="203">
        <f t="shared" si="2"/>
        <v>2.7692307692307692</v>
      </c>
      <c r="M14" s="262">
        <v>60</v>
      </c>
      <c r="N14" s="261">
        <f t="shared" si="3"/>
        <v>33</v>
      </c>
      <c r="O14" s="221">
        <f>'خطة الإمداد'!G39</f>
        <v>27</v>
      </c>
      <c r="P14" s="261">
        <v>7</v>
      </c>
      <c r="Q14" s="203">
        <f t="shared" ref="Q14:Q21" si="5">N14/P14</f>
        <v>4.7142857142857144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135</v>
      </c>
      <c r="J15" s="221">
        <f>'خطة الإمداد'!F40</f>
        <v>45</v>
      </c>
      <c r="K15" s="261">
        <v>36</v>
      </c>
      <c r="L15" s="203">
        <f t="shared" si="2"/>
        <v>3.75</v>
      </c>
      <c r="M15" s="262">
        <v>45</v>
      </c>
      <c r="N15" s="261">
        <f t="shared" si="3"/>
        <v>21</v>
      </c>
      <c r="O15" s="221">
        <f>'خطة الإمداد'!G40</f>
        <v>24</v>
      </c>
      <c r="P15" s="261">
        <v>8</v>
      </c>
      <c r="Q15" s="203">
        <f t="shared" si="5"/>
        <v>2.625</v>
      </c>
      <c r="R15" s="262">
        <v>120</v>
      </c>
      <c r="S15" s="221">
        <f t="shared" si="4"/>
        <v>80</v>
      </c>
      <c r="T15" s="261">
        <f>'خطة الإمداد'!H40</f>
        <v>40</v>
      </c>
      <c r="U15" s="261">
        <v>26</v>
      </c>
      <c r="V15" s="203">
        <f>S15/U15</f>
        <v>3.0769230769230771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60</v>
      </c>
      <c r="J16" s="221">
        <f>'خطة الإمداد'!F41</f>
        <v>30</v>
      </c>
      <c r="K16" s="261">
        <v>6</v>
      </c>
      <c r="L16" s="203">
        <f t="shared" si="2"/>
        <v>10</v>
      </c>
      <c r="M16" s="262">
        <v>30</v>
      </c>
      <c r="N16" s="261">
        <f t="shared" si="3"/>
        <v>6</v>
      </c>
      <c r="O16" s="221">
        <f>'خطة الإمداد'!G41</f>
        <v>24</v>
      </c>
      <c r="P16" s="261">
        <v>2</v>
      </c>
      <c r="Q16" s="203">
        <f t="shared" si="5"/>
        <v>3</v>
      </c>
      <c r="R16" s="262">
        <v>180</v>
      </c>
      <c r="S16" s="221">
        <f t="shared" si="4"/>
        <v>89</v>
      </c>
      <c r="T16" s="261">
        <f>'خطة الإمداد'!H41</f>
        <v>91</v>
      </c>
      <c r="U16" s="261">
        <v>56</v>
      </c>
      <c r="V16" s="203">
        <f>S16/U16</f>
        <v>1.5892857142857142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42</v>
      </c>
      <c r="J17" s="221">
        <f>'خطة الإمداد'!F42</f>
        <v>48</v>
      </c>
      <c r="K17" s="261">
        <v>5</v>
      </c>
      <c r="L17" s="203">
        <f t="shared" si="2"/>
        <v>8.4</v>
      </c>
      <c r="M17" s="262">
        <v>30</v>
      </c>
      <c r="N17" s="261">
        <f t="shared" si="3"/>
        <v>12</v>
      </c>
      <c r="O17" s="221">
        <f>'خطة الإمداد'!G42</f>
        <v>18</v>
      </c>
      <c r="P17" s="261">
        <v>1</v>
      </c>
      <c r="Q17" s="203">
        <f t="shared" si="5"/>
        <v>12</v>
      </c>
      <c r="R17" s="262">
        <v>60</v>
      </c>
      <c r="S17" s="194">
        <f t="shared" si="4"/>
        <v>44</v>
      </c>
      <c r="T17" s="261">
        <f>'خطة الإمداد'!H42</f>
        <v>16</v>
      </c>
      <c r="U17" s="261">
        <v>2</v>
      </c>
      <c r="V17" s="261">
        <f>S17/U17</f>
        <v>22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36</v>
      </c>
      <c r="J18" s="221">
        <f>'خطة الإمداد'!F43</f>
        <v>24</v>
      </c>
      <c r="K18" s="261">
        <v>2</v>
      </c>
      <c r="L18" s="203">
        <f t="shared" si="2"/>
        <v>18</v>
      </c>
      <c r="M18" s="262">
        <v>30</v>
      </c>
      <c r="N18" s="261">
        <f t="shared" si="3"/>
        <v>18</v>
      </c>
      <c r="O18" s="221">
        <f>'خطة الإمداد'!G43</f>
        <v>12</v>
      </c>
      <c r="P18" s="261">
        <v>5</v>
      </c>
      <c r="Q18" s="203">
        <f t="shared" si="5"/>
        <v>3.6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71</v>
      </c>
      <c r="J19" s="221">
        <f>'خطة الإمداد'!F44</f>
        <v>19</v>
      </c>
      <c r="K19" s="261">
        <v>6</v>
      </c>
      <c r="L19" s="203">
        <f t="shared" si="2"/>
        <v>11.833333333333334</v>
      </c>
      <c r="M19" s="262">
        <v>30</v>
      </c>
      <c r="N19" s="261">
        <f t="shared" si="3"/>
        <v>18</v>
      </c>
      <c r="O19" s="221">
        <f>'خطة الإمداد'!G44</f>
        <v>12</v>
      </c>
      <c r="P19" s="261">
        <v>2</v>
      </c>
      <c r="Q19" s="203">
        <f t="shared" si="5"/>
        <v>9</v>
      </c>
      <c r="R19" s="262">
        <v>180</v>
      </c>
      <c r="S19" s="221">
        <f t="shared" si="4"/>
        <v>158</v>
      </c>
      <c r="T19" s="261">
        <f>'خطة الإمداد'!H44</f>
        <v>22</v>
      </c>
      <c r="U19" s="261">
        <v>16</v>
      </c>
      <c r="V19" s="203">
        <f>S19/U19</f>
        <v>9.875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38</v>
      </c>
      <c r="J20" s="221">
        <f>'خطة الإمداد'!F45</f>
        <v>52</v>
      </c>
      <c r="K20" s="261">
        <v>7</v>
      </c>
      <c r="L20" s="203">
        <f t="shared" si="2"/>
        <v>5.4285714285714288</v>
      </c>
      <c r="M20" s="262">
        <v>30</v>
      </c>
      <c r="N20" s="261">
        <f t="shared" si="3"/>
        <v>12</v>
      </c>
      <c r="O20" s="221">
        <f>'خطة الإمداد'!G45</f>
        <v>18</v>
      </c>
      <c r="P20" s="261">
        <v>1</v>
      </c>
      <c r="Q20" s="203">
        <f t="shared" si="5"/>
        <v>12</v>
      </c>
      <c r="R20" s="262">
        <v>180</v>
      </c>
      <c r="S20" s="221">
        <f t="shared" si="4"/>
        <v>110</v>
      </c>
      <c r="T20" s="261">
        <f>'خطة الإمداد'!H45</f>
        <v>70</v>
      </c>
      <c r="U20" s="261">
        <v>18</v>
      </c>
      <c r="V20" s="203">
        <f>S20/U20</f>
        <v>6.1111111111111107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64</v>
      </c>
      <c r="J21" s="221">
        <f>'خطة الإمداد'!F46</f>
        <v>26</v>
      </c>
      <c r="K21" s="261">
        <v>5</v>
      </c>
      <c r="L21" s="203">
        <f t="shared" si="2"/>
        <v>12.8</v>
      </c>
      <c r="M21" s="262">
        <v>30</v>
      </c>
      <c r="N21" s="261">
        <f t="shared" si="3"/>
        <v>24</v>
      </c>
      <c r="O21" s="221">
        <f>'خطة الإمداد'!G46</f>
        <v>6</v>
      </c>
      <c r="P21" s="261">
        <v>1</v>
      </c>
      <c r="Q21" s="203">
        <f t="shared" si="5"/>
        <v>24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14.4</v>
      </c>
      <c r="E22" s="194">
        <f>'خطة الإمداد'!E47</f>
        <v>15.6</v>
      </c>
      <c r="F22" s="194">
        <v>0.2</v>
      </c>
      <c r="G22" s="194">
        <f>D22/F22</f>
        <v>72</v>
      </c>
      <c r="H22" s="262">
        <v>60</v>
      </c>
      <c r="I22" s="261">
        <f t="shared" si="1"/>
        <v>55</v>
      </c>
      <c r="J22" s="221">
        <f>'خطة الإمداد'!F47</f>
        <v>5</v>
      </c>
      <c r="K22" s="261">
        <v>1</v>
      </c>
      <c r="L22" s="203">
        <f t="shared" ref="L22:L27" si="6">I22/K22</f>
        <v>55</v>
      </c>
      <c r="M22" s="263"/>
      <c r="N22" s="263"/>
      <c r="O22" s="263"/>
      <c r="P22" s="263"/>
      <c r="Q22" s="205"/>
      <c r="R22" s="262">
        <v>120</v>
      </c>
      <c r="S22" s="221">
        <f t="shared" si="4"/>
        <v>93</v>
      </c>
      <c r="T22" s="261">
        <f>'خطة الإمداد'!H47</f>
        <v>27</v>
      </c>
      <c r="U22" s="261">
        <v>14</v>
      </c>
      <c r="V22" s="203">
        <f t="shared" ref="V22:V27" si="7">S22/U22</f>
        <v>6.6428571428571432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40</v>
      </c>
      <c r="J23" s="221">
        <f>'خطة الإمداد'!F48</f>
        <v>20</v>
      </c>
      <c r="K23" s="261">
        <v>1</v>
      </c>
      <c r="L23" s="203">
        <f t="shared" si="6"/>
        <v>40</v>
      </c>
      <c r="M23" s="263"/>
      <c r="N23" s="263"/>
      <c r="O23" s="263"/>
      <c r="P23" s="263"/>
      <c r="Q23" s="205"/>
      <c r="R23" s="262">
        <v>120</v>
      </c>
      <c r="S23" s="221">
        <f t="shared" si="4"/>
        <v>114</v>
      </c>
      <c r="T23" s="261">
        <f>'خطة الإمداد'!H48</f>
        <v>6</v>
      </c>
      <c r="U23" s="261">
        <v>7</v>
      </c>
      <c r="V23" s="203">
        <f t="shared" si="7"/>
        <v>16.285714285714285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62</v>
      </c>
      <c r="J24" s="221">
        <f>'خطة الإمداد'!F49</f>
        <v>28</v>
      </c>
      <c r="K24" s="261">
        <v>11</v>
      </c>
      <c r="L24" s="203">
        <f t="shared" si="6"/>
        <v>5.6363636363636367</v>
      </c>
      <c r="M24" s="262">
        <v>30</v>
      </c>
      <c r="N24" s="261">
        <f t="shared" si="3"/>
        <v>8</v>
      </c>
      <c r="O24" s="221">
        <f>'خطة الإمداد'!G49</f>
        <v>22</v>
      </c>
      <c r="P24" s="261">
        <v>1</v>
      </c>
      <c r="Q24" s="203">
        <f>N24/P24</f>
        <v>8</v>
      </c>
      <c r="R24" s="262">
        <v>180</v>
      </c>
      <c r="S24" s="221">
        <f t="shared" si="4"/>
        <v>102</v>
      </c>
      <c r="T24" s="261">
        <f>'خطة الإمداد'!H49</f>
        <v>78</v>
      </c>
      <c r="U24" s="261">
        <v>42</v>
      </c>
      <c r="V24" s="203">
        <f t="shared" si="7"/>
        <v>2.4285714285714284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53</v>
      </c>
      <c r="J25" s="221">
        <f>'خطة الإمداد'!F50</f>
        <v>37</v>
      </c>
      <c r="K25" s="261">
        <v>14</v>
      </c>
      <c r="L25" s="203">
        <f t="shared" si="6"/>
        <v>3.7857142857142856</v>
      </c>
      <c r="M25" s="262">
        <v>30</v>
      </c>
      <c r="N25" s="261">
        <f t="shared" si="3"/>
        <v>19</v>
      </c>
      <c r="O25" s="221">
        <f>'خطة الإمداد'!G50</f>
        <v>11</v>
      </c>
      <c r="P25" s="261">
        <v>2</v>
      </c>
      <c r="Q25" s="203">
        <f>N25/P25</f>
        <v>9.5</v>
      </c>
      <c r="R25" s="262">
        <v>180</v>
      </c>
      <c r="S25" s="221">
        <f t="shared" si="4"/>
        <v>85</v>
      </c>
      <c r="T25" s="261">
        <f>'خطة الإمداد'!H50</f>
        <v>95</v>
      </c>
      <c r="U25" s="261">
        <v>35</v>
      </c>
      <c r="V25" s="203">
        <f t="shared" si="7"/>
        <v>2.4285714285714284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41</v>
      </c>
      <c r="J26" s="221">
        <f>'خطة الإمداد'!F51</f>
        <v>49</v>
      </c>
      <c r="K26" s="261">
        <v>6</v>
      </c>
      <c r="L26" s="203">
        <f t="shared" si="6"/>
        <v>6.833333333333333</v>
      </c>
      <c r="M26" s="262">
        <v>30</v>
      </c>
      <c r="N26" s="261">
        <f t="shared" si="3"/>
        <v>15</v>
      </c>
      <c r="O26" s="221">
        <f>'خطة الإمداد'!G51</f>
        <v>15</v>
      </c>
      <c r="P26" s="261">
        <v>1</v>
      </c>
      <c r="Q26" s="203">
        <f>N26/P26</f>
        <v>15</v>
      </c>
      <c r="R26" s="262">
        <v>180</v>
      </c>
      <c r="S26" s="221">
        <f t="shared" si="4"/>
        <v>104</v>
      </c>
      <c r="T26" s="261">
        <f>'خطة الإمداد'!H51</f>
        <v>76</v>
      </c>
      <c r="U26" s="261">
        <v>21</v>
      </c>
      <c r="V26" s="203">
        <f t="shared" si="7"/>
        <v>4.9523809523809526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54</v>
      </c>
      <c r="J27" s="221">
        <f>'خطة الإمداد'!F52</f>
        <v>36</v>
      </c>
      <c r="K27" s="261">
        <v>7</v>
      </c>
      <c r="L27" s="203">
        <f t="shared" si="6"/>
        <v>7.7142857142857144</v>
      </c>
      <c r="M27" s="262">
        <v>30</v>
      </c>
      <c r="N27" s="261">
        <f t="shared" si="3"/>
        <v>20</v>
      </c>
      <c r="O27" s="221">
        <f>'خطة الإمداد'!G52</f>
        <v>10</v>
      </c>
      <c r="P27" s="261">
        <v>1</v>
      </c>
      <c r="Q27" s="203">
        <f>N27/P27</f>
        <v>20</v>
      </c>
      <c r="R27" s="262">
        <v>180</v>
      </c>
      <c r="S27" s="221">
        <f t="shared" si="4"/>
        <v>128</v>
      </c>
      <c r="T27" s="261">
        <f>'خطة الإمداد'!H52</f>
        <v>52</v>
      </c>
      <c r="U27" s="261">
        <v>22</v>
      </c>
      <c r="V27" s="203">
        <f t="shared" si="7"/>
        <v>5.8181818181818183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71.400000000000006</v>
      </c>
      <c r="E28" s="206">
        <f t="shared" ref="E28:V28" si="8">SUM(E8:E27)</f>
        <v>78.599999999999994</v>
      </c>
      <c r="F28" s="206">
        <f t="shared" si="8"/>
        <v>21.2</v>
      </c>
      <c r="G28" s="206">
        <f t="shared" si="8"/>
        <v>82.083333333333329</v>
      </c>
      <c r="H28" s="262">
        <f t="shared" si="8"/>
        <v>1740</v>
      </c>
      <c r="I28" s="206" t="e">
        <f t="shared" si="8"/>
        <v>#VALUE!</v>
      </c>
      <c r="J28" s="206" t="e">
        <f t="shared" si="8"/>
        <v>#VALUE!</v>
      </c>
      <c r="K28" s="206">
        <f t="shared" si="8"/>
        <v>255</v>
      </c>
      <c r="L28" s="207" t="e">
        <f t="shared" si="8"/>
        <v>#VALUE!</v>
      </c>
      <c r="M28" s="262">
        <f t="shared" si="8"/>
        <v>495</v>
      </c>
      <c r="N28" s="206">
        <f t="shared" si="8"/>
        <v>217</v>
      </c>
      <c r="O28" s="206">
        <f t="shared" si="8"/>
        <v>278</v>
      </c>
      <c r="P28" s="206">
        <f t="shared" si="8"/>
        <v>50</v>
      </c>
      <c r="Q28" s="207">
        <f t="shared" si="8"/>
        <v>125.48928571428571</v>
      </c>
      <c r="R28" s="262">
        <f t="shared" si="8"/>
        <v>2220</v>
      </c>
      <c r="S28" s="206">
        <f t="shared" si="8"/>
        <v>1577</v>
      </c>
      <c r="T28" s="206">
        <f t="shared" si="8"/>
        <v>643</v>
      </c>
      <c r="U28" s="206">
        <f t="shared" si="8"/>
        <v>289</v>
      </c>
      <c r="V28" s="207">
        <f t="shared" si="8"/>
        <v>165.49807064280745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 t="e">
        <f>D28+I28+N28+S28</f>
        <v>#VALUE!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 t="e">
        <f>E28+J28+O28+T28</f>
        <v>#VALUE!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 t="e">
        <f>C30/C29</f>
        <v>#VALUE!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30</v>
      </c>
      <c r="E8" s="10">
        <f>'التمام الصباحي'!N8</f>
        <v>2.4</v>
      </c>
      <c r="F8" s="72">
        <f>'التمام الصباحي'!Q8</f>
        <v>18</v>
      </c>
      <c r="G8" s="10">
        <f>'التمام الصباحي'!T8</f>
        <v>1.5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17</v>
      </c>
      <c r="C9" s="9">
        <f>'التمام الصباحي'!H11</f>
        <v>2.6</v>
      </c>
      <c r="D9" s="72" t="e">
        <f>'التمام الصباحي'!K11</f>
        <v>#VALUE!</v>
      </c>
      <c r="E9" s="10" t="e">
        <f>'التمام الصباحي'!N11</f>
        <v>#VALUE!</v>
      </c>
      <c r="F9" s="72">
        <f>'التمام الصباحي'!Q11</f>
        <v>17</v>
      </c>
      <c r="G9" s="10">
        <f>'التمام الصباحي'!T11</f>
        <v>1.625</v>
      </c>
      <c r="H9" s="5">
        <f>'التمام الصباحي'!W11</f>
        <v>0</v>
      </c>
      <c r="I9" s="10">
        <f>'التمام الصباحي'!Z11</f>
        <v>30</v>
      </c>
      <c r="K9" s="85" t="s">
        <v>16</v>
      </c>
      <c r="L9" s="41">
        <f>IF(B9&gt;101,102,IF(B9&gt;84,85,IF(B9&gt;67,68,IF(B9&gt;50,51,IF(B9&gt;33,34,IF(B9&gt;16,17,0))))))</f>
        <v>17</v>
      </c>
      <c r="M9" s="41" t="e">
        <f t="shared" ref="M9:M26" si="1">IF(D9&gt;101,102,IF(D9&gt;84,85,IF(D9&gt;67,68,IF(D9&gt;50,51,IF(D9&gt;33,34,IF(D9&gt;16,17,0))))))</f>
        <v>#VALUE!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 t="e">
        <f t="shared" si="0"/>
        <v>#VALUE!</v>
      </c>
      <c r="S9" s="540" t="e">
        <f>IF((ROUNDDOWN((SUM(M9:M10)/51)-(R9+R10),0.9))&lt;0,0,(ROUNDDOWN((SUM(M9:M10)/51)-(R9+R10),0.9)))</f>
        <v>#VALUE!</v>
      </c>
      <c r="T9" s="540" t="e">
        <f>IF((ROUNDDOWN((SUM(O9:O10)/51)-(R9+R10),0.9))&lt;0,0,(ROUNDDOWN((SUM(O9:O10)/51)-(R9+R10),0.9)))</f>
        <v>#VALUE!</v>
      </c>
      <c r="U9" s="540" t="e">
        <f>IF((ROUNDDOWN((SUM(L9:O10)/51)-(R9+R10+S9+T9),0.9))&lt;0,0,ROUNDDOWN((SUM(L9:O10)/51)-(R9+R10+S9+T9),0.9))</f>
        <v>#VALUE!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22</v>
      </c>
      <c r="E10" s="10">
        <f>'التمام الصباحي'!N12</f>
        <v>1.6190476190476191</v>
      </c>
      <c r="F10" s="72">
        <f>'التمام الصباحي'!Q12</f>
        <v>16</v>
      </c>
      <c r="G10" s="10">
        <f>'التمام الصباحي'!T12</f>
        <v>1.1666666666666667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15</v>
      </c>
      <c r="C11" s="9">
        <f>'التمام الصباحي'!H13</f>
        <v>3.75</v>
      </c>
      <c r="D11" s="72">
        <f>'التمام الصباحي'!K13</f>
        <v>29</v>
      </c>
      <c r="E11" s="10">
        <f>'التمام الصباحي'!N13</f>
        <v>2.2592592592592591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24</v>
      </c>
      <c r="I11" s="10">
        <f>'التمام الصباحي'!Z13</f>
        <v>19.5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0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15</v>
      </c>
      <c r="C12" s="9">
        <f>'التمام الصباحي'!H14</f>
        <v>2.1428571428571428</v>
      </c>
      <c r="D12" s="72">
        <f>'التمام الصباحي'!K14</f>
        <v>12</v>
      </c>
      <c r="E12" s="10">
        <f>'التمام الصباحي'!N14</f>
        <v>3.5454545454545454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12</v>
      </c>
      <c r="I12" s="10">
        <f>'التمام الصباحي'!Z14</f>
        <v>8.4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20</v>
      </c>
      <c r="E13" s="10">
        <f>'التمام الصباحي'!N15</f>
        <v>3.0769230769230771</v>
      </c>
      <c r="F13" s="72">
        <f>'التمام الصباحي'!Q15</f>
        <v>12</v>
      </c>
      <c r="G13" s="10">
        <f>'التمام الصباحي'!T15</f>
        <v>3.2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17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10</v>
      </c>
      <c r="E14" s="10">
        <f>'التمام الصباحي'!N16</f>
        <v>4.8571428571428568</v>
      </c>
      <c r="F14" s="72">
        <f>'التمام الصباحي'!Q16</f>
        <v>13</v>
      </c>
      <c r="G14" s="10">
        <f>'التمام الصباحي'!T16</f>
        <v>2.9090909090909092</v>
      </c>
      <c r="H14" s="5">
        <f>'التمام الصباحي'!W16</f>
        <v>15</v>
      </c>
      <c r="I14" s="10">
        <f>'التمام الصباحي'!Z16</f>
        <v>4.2</v>
      </c>
      <c r="K14" s="88" t="s">
        <v>21</v>
      </c>
      <c r="L14" s="80"/>
      <c r="M14" s="41">
        <f t="shared" si="1"/>
        <v>0</v>
      </c>
      <c r="N14" s="41">
        <f t="shared" si="2"/>
        <v>0</v>
      </c>
      <c r="O14" s="41">
        <f t="shared" si="4"/>
        <v>0</v>
      </c>
      <c r="P14" s="81"/>
      <c r="Q14" s="89" t="s">
        <v>21</v>
      </c>
      <c r="R14" s="90">
        <f t="shared" si="0"/>
        <v>0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18</v>
      </c>
      <c r="E15" s="10">
        <f>'التمام الصباحي'!N17</f>
        <v>6</v>
      </c>
      <c r="F15" s="72">
        <f>'التمام الصباحي'!Q17</f>
        <v>18</v>
      </c>
      <c r="G15" s="10">
        <f>'التمام الصباحي'!T17</f>
        <v>2</v>
      </c>
      <c r="H15" s="5">
        <f>'التمام الصباحي'!W17</f>
        <v>60</v>
      </c>
      <c r="I15" s="10">
        <f>'التمام الصباحي'!Z17</f>
        <v>3.870967741935484</v>
      </c>
      <c r="K15" s="96" t="s">
        <v>22</v>
      </c>
      <c r="L15" s="80"/>
      <c r="M15" s="41">
        <f t="shared" si="1"/>
        <v>17</v>
      </c>
      <c r="N15" s="41">
        <f t="shared" si="2"/>
        <v>17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36</v>
      </c>
      <c r="E16" s="10">
        <f>'التمام الصباحي'!N18</f>
        <v>4.5</v>
      </c>
      <c r="F16" s="72">
        <f>'التمام الصباحي'!Q18</f>
        <v>14</v>
      </c>
      <c r="G16" s="10">
        <f>'التمام الصباحي'!T18</f>
        <v>4</v>
      </c>
      <c r="H16" s="5">
        <f>'التمام الصباحي'!W18</f>
        <v>11</v>
      </c>
      <c r="I16" s="10">
        <f>'التمام الصباحي'!Z18</f>
        <v>9.8000000000000007</v>
      </c>
      <c r="K16" s="85" t="s">
        <v>23</v>
      </c>
      <c r="L16" s="80"/>
      <c r="M16" s="41">
        <f t="shared" si="1"/>
        <v>34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3">
        <f>IF((ROUNDDOWN((SUM(M16:M17)/51)-(R16+R17),0.9))&lt;0,0,(ROUNDDOWN((SUM(M16:M17)/51)-(R16+R17),0.9)))</f>
        <v>1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19</v>
      </c>
      <c r="E17" s="10">
        <f>'التمام الصباحي'!N19</f>
        <v>8.1999999999999993</v>
      </c>
      <c r="F17" s="72">
        <f>'التمام الصباحي'!Q19</f>
        <v>10</v>
      </c>
      <c r="G17" s="10">
        <f>'التمام الصباحي'!T19</f>
        <v>10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15</v>
      </c>
      <c r="E18" s="10">
        <f>'التمام الصباحي'!N20</f>
        <v>18.75</v>
      </c>
      <c r="F18" s="72">
        <f>'التمام الصباحي'!Q20</f>
        <v>10</v>
      </c>
      <c r="G18" s="10">
        <f>'التمام الصباحي'!T20</f>
        <v>10</v>
      </c>
      <c r="H18" s="5">
        <f>'التمام الصباحي'!W20</f>
        <v>15</v>
      </c>
      <c r="I18" s="10">
        <f>'التمام الصباحي'!Z20</f>
        <v>23.571428571428573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18</v>
      </c>
      <c r="E19" s="10">
        <f>'التمام الصباحي'!N21</f>
        <v>2.1176470588235294</v>
      </c>
      <c r="F19" s="72">
        <f>'التمام الصباحي'!Q21</f>
        <v>5</v>
      </c>
      <c r="G19" s="10">
        <f>'التمام الصباحي'!T21</f>
        <v>1.9230769230769231</v>
      </c>
      <c r="H19" s="5">
        <f>'التمام الصباحي'!W21</f>
        <v>48</v>
      </c>
      <c r="I19" s="10">
        <f>'التمام الصباحي'!Z21</f>
        <v>6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18</v>
      </c>
      <c r="E20" s="10">
        <f>'التمام الصباحي'!N22</f>
        <v>9</v>
      </c>
      <c r="F20" s="72">
        <f>'التمام الصباحي'!Q22</f>
        <v>4</v>
      </c>
      <c r="G20" s="10">
        <f>'التمام الصباحي'!T22</f>
        <v>13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15</v>
      </c>
      <c r="C21" s="9">
        <f>'التمام الصباحي'!H23</f>
        <v>25</v>
      </c>
      <c r="D21" s="72">
        <f>'التمام الصباحي'!K23</f>
        <v>2</v>
      </c>
      <c r="E21" s="10">
        <f>'التمام الصباحي'!N23</f>
        <v>19.333333333333332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20</v>
      </c>
      <c r="I21" s="10">
        <f>'التمام الصباحي'!Z23</f>
        <v>14.285714285714286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14</v>
      </c>
      <c r="E22" s="10">
        <f>'التمام الصباحي'!N24</f>
        <v>7.666666666666667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</v>
      </c>
      <c r="I22" s="10">
        <f>'التمام الصباحي'!Z24</f>
        <v>23.8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13</v>
      </c>
      <c r="E23" s="10">
        <f>'التمام الصباحي'!N25</f>
        <v>5.1333333333333337</v>
      </c>
      <c r="F23" s="72">
        <f>'التمام الصباحي'!Q25</f>
        <v>19</v>
      </c>
      <c r="G23" s="10">
        <f>'التمام الصباحي'!T25</f>
        <v>3.6666666666666665</v>
      </c>
      <c r="H23" s="5">
        <f>'التمام الصباحي'!W25</f>
        <v>35</v>
      </c>
      <c r="I23" s="10">
        <f>'التمام الصباحي'!Z25</f>
        <v>3.3720930232558142</v>
      </c>
      <c r="K23" s="85" t="s">
        <v>30</v>
      </c>
      <c r="L23" s="80"/>
      <c r="M23" s="41">
        <f t="shared" si="1"/>
        <v>0</v>
      </c>
      <c r="N23" s="41">
        <f t="shared" si="2"/>
        <v>17</v>
      </c>
      <c r="O23" s="41">
        <f t="shared" si="4"/>
        <v>34</v>
      </c>
      <c r="P23" s="81"/>
      <c r="Q23" s="86" t="s">
        <v>30</v>
      </c>
      <c r="R23" s="87">
        <f t="shared" si="0"/>
        <v>1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20</v>
      </c>
      <c r="E24" s="10">
        <f>'التمام الصباحي'!N26</f>
        <v>4.117647058823529</v>
      </c>
      <c r="F24" s="72">
        <f>'التمام الصباحي'!Q26</f>
        <v>7</v>
      </c>
      <c r="G24" s="10">
        <f>'التمام الصباحي'!T26</f>
        <v>5.75</v>
      </c>
      <c r="H24" s="5">
        <f>'التمام الصباحي'!W26</f>
        <v>55</v>
      </c>
      <c r="I24" s="10">
        <f>'التمام الصباحي'!Z26</f>
        <v>3.125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37</v>
      </c>
      <c r="E25" s="10">
        <f>'التمام الصباحي'!N27</f>
        <v>4.416666666666667</v>
      </c>
      <c r="F25" s="72">
        <f>'التمام الصباحي'!Q27</f>
        <v>13</v>
      </c>
      <c r="G25" s="10">
        <f>'التمام الصباحي'!T27</f>
        <v>8.5</v>
      </c>
      <c r="H25" s="5">
        <f>'التمام الصباحي'!W27</f>
        <v>54</v>
      </c>
      <c r="I25" s="10">
        <f>'التمام الصباحي'!Z27</f>
        <v>5.7272727272727275</v>
      </c>
      <c r="K25" s="91" t="s">
        <v>32</v>
      </c>
      <c r="L25" s="80"/>
      <c r="M25" s="41">
        <f t="shared" si="1"/>
        <v>34</v>
      </c>
      <c r="N25" s="41">
        <f t="shared" si="2"/>
        <v>0</v>
      </c>
      <c r="O25" s="41">
        <f t="shared" si="4"/>
        <v>51</v>
      </c>
      <c r="P25" s="81"/>
      <c r="Q25" s="92" t="s">
        <v>32</v>
      </c>
      <c r="R25" s="93">
        <f t="shared" si="0"/>
        <v>1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1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27</v>
      </c>
      <c r="E26" s="10">
        <f>'التمام الصباحي'!N28</f>
        <v>7</v>
      </c>
      <c r="F26" s="72">
        <f>'التمام الصباحي'!Q28</f>
        <v>8</v>
      </c>
      <c r="G26" s="10">
        <f>'التمام الصباحي'!T28</f>
        <v>11</v>
      </c>
      <c r="H26" s="5">
        <f>'التمام الصباحي'!W28</f>
        <v>33</v>
      </c>
      <c r="I26" s="10">
        <f>'التمام الصباحي'!Z28</f>
        <v>7.7368421052631575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5"/>
      <c r="T26" s="545"/>
      <c r="U26" s="545"/>
    </row>
    <row r="29" spans="1:21" ht="15.75" x14ac:dyDescent="0.2">
      <c r="K29" s="159" t="s">
        <v>117</v>
      </c>
      <c r="M29" t="e">
        <f>SUM(L8:O26)</f>
        <v>#VALUE!</v>
      </c>
      <c r="U29" s="138" t="e">
        <f>SUM(R8:U26)</f>
        <v>#VALUE!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0</v>
      </c>
      <c r="D6" s="537">
        <f>IF(G20&gt;H20,$D$21*2*$L$21,IF(G20=H20,$D$21*2*$L$21,0))</f>
        <v>80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108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64</v>
      </c>
      <c r="D9" s="537">
        <f>IF(G20&gt;H20,$D$24*2*$L$18,IF(G20=H20,$D$24*2*$L$18,0))</f>
        <v>70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128</v>
      </c>
      <c r="D11" s="537">
        <f>IF(G20&gt;H20,$D$26*2*$L$19,IF(G20=H20,$D$26*2*$L$19,0))</f>
        <v>0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108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78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420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0</v>
      </c>
      <c r="D21" s="537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2</v>
      </c>
      <c r="D24" s="537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2</v>
      </c>
      <c r="D26" s="537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1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1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51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 t="e">
        <f>'خطة الإمداد'!M35</f>
        <v>#VALUE!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17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68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814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839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2263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1021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65" t="s">
        <v>87</v>
      </c>
      <c r="D5" s="534"/>
      <c r="E5" s="566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0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1"/>
      <c r="C16" s="52" t="s">
        <v>93</v>
      </c>
      <c r="D16" s="53">
        <f>[1]التعاون.ملخص!$D$6</f>
        <v>0</v>
      </c>
    </row>
    <row r="17" spans="2:4" ht="16.5" thickBot="1" x14ac:dyDescent="0.25">
      <c r="B17" s="571"/>
      <c r="C17" s="59" t="s">
        <v>87</v>
      </c>
      <c r="D17" s="60" t="e">
        <f>[1]موبيل.ملخص!$D$5</f>
        <v>#REF!</v>
      </c>
    </row>
    <row r="18" spans="2:4" ht="16.5" thickBot="1" x14ac:dyDescent="0.25">
      <c r="B18" s="568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7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8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7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9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68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194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21027</v>
      </c>
      <c r="G7" s="2">
        <f>F7*6.75</f>
        <v>141932.25</v>
      </c>
      <c r="H7" s="2">
        <f>F7*0.33</f>
        <v>6938.9100000000008</v>
      </c>
      <c r="I7" s="2">
        <f>'أخذ التمام الصباحي'!K5</f>
        <v>5771</v>
      </c>
      <c r="J7" s="2">
        <f>I7*7.75</f>
        <v>44725.25</v>
      </c>
      <c r="K7" s="2">
        <f>I7*0.45</f>
        <v>2596.9500000000003</v>
      </c>
      <c r="L7" s="6"/>
      <c r="M7" s="6"/>
      <c r="N7" s="6"/>
      <c r="O7" s="7">
        <f>SUM(D7,G7,J7,M7)/100</f>
        <v>1866.575</v>
      </c>
      <c r="P7" s="10">
        <f>'أخذ التمام الصباحي'!Q5</f>
        <v>1750</v>
      </c>
      <c r="Q7" s="7">
        <f t="shared" ref="Q7:Q27" si="0">P7-O7</f>
        <v>-116.57500000000005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25007</v>
      </c>
      <c r="G8" s="287">
        <f>F8*6.75</f>
        <v>168797.25</v>
      </c>
      <c r="H8" s="287">
        <f>F8*0.33</f>
        <v>8252.31</v>
      </c>
      <c r="I8" s="287">
        <f>'أخذ التمام الصباحي'!K6</f>
        <v>8838</v>
      </c>
      <c r="J8" s="287">
        <f>I8*7.75</f>
        <v>68494.5</v>
      </c>
      <c r="K8" s="287">
        <f>I8*0.45</f>
        <v>3977.1</v>
      </c>
      <c r="L8" s="6"/>
      <c r="M8" s="6"/>
      <c r="N8" s="6"/>
      <c r="O8" s="7">
        <f>SUM(D8,G8,J8,M8)/100</f>
        <v>2372.9175</v>
      </c>
      <c r="P8" s="10">
        <f>'أخذ التمام الصباحي'!Q6</f>
        <v>2180</v>
      </c>
      <c r="Q8" s="7">
        <f t="shared" si="0"/>
        <v>-192.91750000000002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41210</v>
      </c>
      <c r="D9" s="5">
        <f t="shared" ref="D9" si="1">C9*5.5</f>
        <v>226655</v>
      </c>
      <c r="E9" s="5">
        <f>C9*0.25</f>
        <v>10302.5</v>
      </c>
      <c r="F9" s="292">
        <f>'أخذ التمام الصباحي'!H7</f>
        <v>20759</v>
      </c>
      <c r="G9" s="292">
        <f t="shared" ref="G9:G27" si="2">F9*6.75</f>
        <v>140123.25</v>
      </c>
      <c r="H9" s="292">
        <f t="shared" ref="H9:H27" si="3">F9*0.33</f>
        <v>6850.47</v>
      </c>
      <c r="I9" s="292">
        <f>'أخذ التمام الصباحي'!K7</f>
        <v>2925</v>
      </c>
      <c r="J9" s="292">
        <f t="shared" ref="J9:J27" si="4">I9*7.75</f>
        <v>22668.75</v>
      </c>
      <c r="K9" s="292">
        <f t="shared" ref="K9:K27" si="5">I9*0.45</f>
        <v>1316.25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3894.47</v>
      </c>
      <c r="P9" s="10">
        <f>'أخذ التمام الصباحي'!Q7</f>
        <v>3670</v>
      </c>
      <c r="Q9" s="7">
        <f t="shared" si="0"/>
        <v>-224.4699999999998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4374</v>
      </c>
      <c r="D10" s="5">
        <f t="shared" ref="D10:D22" si="7">C10*5.5</f>
        <v>24057</v>
      </c>
      <c r="E10" s="5">
        <f>C10*0.25</f>
        <v>1093.5</v>
      </c>
      <c r="F10" s="292">
        <f>'أخذ التمام الصباحي'!H8</f>
        <v>27391</v>
      </c>
      <c r="G10" s="292">
        <f t="shared" si="2"/>
        <v>184889.25</v>
      </c>
      <c r="H10" s="292">
        <f t="shared" si="3"/>
        <v>9039.0300000000007</v>
      </c>
      <c r="I10" s="292">
        <f>'أخذ التمام الصباحي'!K8</f>
        <v>8452</v>
      </c>
      <c r="J10" s="292">
        <f t="shared" si="4"/>
        <v>65503</v>
      </c>
      <c r="K10" s="292">
        <f t="shared" si="5"/>
        <v>3803.4</v>
      </c>
      <c r="L10" s="2">
        <f>'أخذ التمام الصباحي'!N8</f>
        <v>4660</v>
      </c>
      <c r="M10" s="2">
        <f t="shared" ref="M10:M27" si="8">L10*5.5</f>
        <v>25630</v>
      </c>
      <c r="N10" s="2">
        <f>L10*0.26</f>
        <v>1211.6000000000001</v>
      </c>
      <c r="O10" s="7">
        <f t="shared" ref="O10:O27" si="9">SUM(D10,G10,J10,M10)/100</f>
        <v>3000.7925</v>
      </c>
      <c r="P10" s="10">
        <f>'أخذ التمام الصباحي'!Q8</f>
        <v>3200</v>
      </c>
      <c r="Q10" s="7">
        <f t="shared" si="0"/>
        <v>199.20749999999998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32530</v>
      </c>
      <c r="G11" s="292">
        <f t="shared" si="2"/>
        <v>219577.5</v>
      </c>
      <c r="H11" s="292">
        <f t="shared" si="3"/>
        <v>10734.9</v>
      </c>
      <c r="I11" s="292">
        <f>'أخذ التمام الصباحي'!K9</f>
        <v>8859</v>
      </c>
      <c r="J11" s="292">
        <f t="shared" si="4"/>
        <v>68657.25</v>
      </c>
      <c r="K11" s="292">
        <f t="shared" si="5"/>
        <v>3986.55</v>
      </c>
      <c r="L11" s="6"/>
      <c r="M11" s="6"/>
      <c r="N11" s="6"/>
      <c r="O11" s="7">
        <f t="shared" si="9"/>
        <v>2882.3474999999999</v>
      </c>
      <c r="P11" s="10">
        <f>'أخذ التمام الصباحي'!Q9</f>
        <v>2870</v>
      </c>
      <c r="Q11" s="7">
        <f t="shared" si="0"/>
        <v>-12.347499999999854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3303</v>
      </c>
      <c r="D12" s="5">
        <f t="shared" si="7"/>
        <v>18166.5</v>
      </c>
      <c r="E12" s="5">
        <f t="shared" si="10"/>
        <v>825.75</v>
      </c>
      <c r="F12" s="292">
        <f>'أخذ التمام الصباحي'!H10</f>
        <v>24035</v>
      </c>
      <c r="G12" s="292">
        <f t="shared" si="2"/>
        <v>162236.25</v>
      </c>
      <c r="H12" s="292">
        <f t="shared" si="3"/>
        <v>7931.55</v>
      </c>
      <c r="I12" s="6"/>
      <c r="J12" s="6"/>
      <c r="K12" s="6"/>
      <c r="L12" s="20">
        <f>'أخذ التمام الصباحي'!N10</f>
        <v>8844</v>
      </c>
      <c r="M12" s="2">
        <f t="shared" si="8"/>
        <v>48642</v>
      </c>
      <c r="N12" s="2">
        <f>L12*0.26</f>
        <v>2299.44</v>
      </c>
      <c r="O12" s="7">
        <f t="shared" si="9"/>
        <v>2290.4475000000002</v>
      </c>
      <c r="P12" s="10">
        <f>'أخذ التمام الصباحي'!Q10</f>
        <v>2680</v>
      </c>
      <c r="Q12" s="7">
        <f t="shared" si="0"/>
        <v>389.55249999999978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6713</v>
      </c>
      <c r="D13" s="5">
        <f t="shared" si="7"/>
        <v>36921.5</v>
      </c>
      <c r="E13" s="5">
        <f t="shared" si="10"/>
        <v>1678.25</v>
      </c>
      <c r="F13" s="292">
        <f>'أخذ التمام الصباحي'!H11</f>
        <v>15143</v>
      </c>
      <c r="G13" s="292">
        <f t="shared" si="2"/>
        <v>102215.25</v>
      </c>
      <c r="H13" s="292">
        <f t="shared" si="3"/>
        <v>4997.1900000000005</v>
      </c>
      <c r="I13" s="6"/>
      <c r="J13" s="6"/>
      <c r="K13" s="6"/>
      <c r="L13" s="20">
        <f>'أخذ التمام الصباحي'!N11</f>
        <v>17904</v>
      </c>
      <c r="M13" s="2">
        <f t="shared" si="8"/>
        <v>98472</v>
      </c>
      <c r="N13" s="2">
        <f>L13*0.26</f>
        <v>4655.04</v>
      </c>
      <c r="O13" s="7">
        <f t="shared" si="9"/>
        <v>2376.0875000000001</v>
      </c>
      <c r="P13" s="10">
        <f>'أخذ التمام الصباحي'!Q11</f>
        <v>2700</v>
      </c>
      <c r="Q13" s="7">
        <f t="shared" si="0"/>
        <v>323.91249999999991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32455</v>
      </c>
      <c r="G14" s="292">
        <f t="shared" si="2"/>
        <v>219071.25</v>
      </c>
      <c r="H14" s="292">
        <f t="shared" si="3"/>
        <v>10710.15</v>
      </c>
      <c r="I14" s="292">
        <f>'أخذ التمام الصباحي'!K12</f>
        <v>8730</v>
      </c>
      <c r="J14" s="292">
        <f t="shared" si="4"/>
        <v>67657.5</v>
      </c>
      <c r="K14" s="292">
        <f t="shared" si="5"/>
        <v>3928.5</v>
      </c>
      <c r="L14" s="6"/>
      <c r="M14" s="6"/>
      <c r="N14" s="6"/>
      <c r="O14" s="7">
        <f t="shared" si="9"/>
        <v>2867.2874999999999</v>
      </c>
      <c r="P14" s="10">
        <f>'أخذ التمام الصباحي'!Q12</f>
        <v>2470</v>
      </c>
      <c r="Q14" s="7">
        <f t="shared" si="0"/>
        <v>-397.28749999999991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26108</v>
      </c>
      <c r="G15" s="292">
        <f t="shared" si="2"/>
        <v>176229</v>
      </c>
      <c r="H15" s="292">
        <f t="shared" si="3"/>
        <v>8615.6400000000012</v>
      </c>
      <c r="I15" s="292">
        <f>'أخذ التمام الصباحي'!K13</f>
        <v>8473</v>
      </c>
      <c r="J15" s="292">
        <f t="shared" si="4"/>
        <v>65665.75</v>
      </c>
      <c r="K15" s="292">
        <f t="shared" si="5"/>
        <v>3812.85</v>
      </c>
      <c r="L15" s="20">
        <f>'أخذ التمام الصباحي'!N13</f>
        <v>26357</v>
      </c>
      <c r="M15" s="2">
        <f t="shared" si="8"/>
        <v>144963.5</v>
      </c>
      <c r="N15" s="2">
        <f>L15*0.26</f>
        <v>6852.8200000000006</v>
      </c>
      <c r="O15" s="7">
        <f t="shared" si="9"/>
        <v>3868.5825</v>
      </c>
      <c r="P15" s="10">
        <f>'أخذ التمام الصباحي'!Q13</f>
        <v>0</v>
      </c>
      <c r="Q15" s="7">
        <f t="shared" si="0"/>
        <v>-3868.5825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8871</v>
      </c>
      <c r="G16" s="292">
        <f t="shared" si="2"/>
        <v>59879.25</v>
      </c>
      <c r="H16" s="292">
        <f t="shared" si="3"/>
        <v>2927.4300000000003</v>
      </c>
      <c r="I16" s="292">
        <f>'أخذ التمام الصباحي'!K14</f>
        <v>6859</v>
      </c>
      <c r="J16" s="292">
        <f t="shared" si="4"/>
        <v>53157.25</v>
      </c>
      <c r="K16" s="292">
        <f t="shared" si="5"/>
        <v>3086.55</v>
      </c>
      <c r="L16" s="20">
        <f>'أخذ التمام الصباحي'!N14</f>
        <v>56488</v>
      </c>
      <c r="M16" s="2">
        <f t="shared" si="8"/>
        <v>310684</v>
      </c>
      <c r="N16" s="139">
        <f>L16*0.26</f>
        <v>14686.880000000001</v>
      </c>
      <c r="O16" s="7">
        <f t="shared" si="9"/>
        <v>4237.2049999999999</v>
      </c>
      <c r="P16" s="10">
        <f>'أخذ التمام الصباحي'!Q14</f>
        <v>7114</v>
      </c>
      <c r="Q16" s="7">
        <f t="shared" si="0"/>
        <v>2876.7950000000001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6578</v>
      </c>
      <c r="G17" s="292">
        <f t="shared" si="2"/>
        <v>44401.5</v>
      </c>
      <c r="H17" s="292">
        <f t="shared" si="3"/>
        <v>2170.7400000000002</v>
      </c>
      <c r="I17" s="292">
        <f>'أخذ التمام الصباحي'!K15</f>
        <v>2365</v>
      </c>
      <c r="J17" s="292">
        <f t="shared" si="4"/>
        <v>18328.75</v>
      </c>
      <c r="K17" s="292">
        <f t="shared" si="5"/>
        <v>1064.25</v>
      </c>
      <c r="L17" s="20">
        <f>'أخذ التمام الصباحي'!N15</f>
        <v>4106</v>
      </c>
      <c r="M17" s="2">
        <f t="shared" si="8"/>
        <v>22583</v>
      </c>
      <c r="N17" s="139">
        <f>L17*0.26</f>
        <v>1067.56</v>
      </c>
      <c r="O17" s="7">
        <f t="shared" si="9"/>
        <v>853.13250000000005</v>
      </c>
      <c r="P17" s="10">
        <f>'أخذ التمام الصباحي'!Q15</f>
        <v>1235</v>
      </c>
      <c r="Q17" s="7">
        <f t="shared" si="0"/>
        <v>381.86749999999995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2208</v>
      </c>
      <c r="G18" s="292">
        <f t="shared" si="2"/>
        <v>14904</v>
      </c>
      <c r="H18" s="292">
        <f t="shared" si="3"/>
        <v>728.64</v>
      </c>
      <c r="I18" s="292">
        <f>'أخذ التمام الصباحي'!K16</f>
        <v>5105</v>
      </c>
      <c r="J18" s="292">
        <f t="shared" si="4"/>
        <v>39563.75</v>
      </c>
      <c r="K18" s="292">
        <f t="shared" si="5"/>
        <v>2297.25</v>
      </c>
      <c r="L18" s="6"/>
      <c r="M18" s="6"/>
      <c r="N18" s="6"/>
      <c r="O18" s="7">
        <f t="shared" si="9"/>
        <v>544.67750000000001</v>
      </c>
      <c r="P18" s="10">
        <f>'أخذ التمام الصباحي'!Q16</f>
        <v>706</v>
      </c>
      <c r="Q18" s="7">
        <f t="shared" si="0"/>
        <v>161.32249999999999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3188</v>
      </c>
      <c r="G19" s="292">
        <f t="shared" si="2"/>
        <v>21519</v>
      </c>
      <c r="H19" s="292">
        <f t="shared" si="3"/>
        <v>1052.04</v>
      </c>
      <c r="I19" s="292">
        <f>'أخذ التمام الصباحي'!K17</f>
        <v>1215</v>
      </c>
      <c r="J19" s="292">
        <f t="shared" si="4"/>
        <v>9416.25</v>
      </c>
      <c r="K19" s="292">
        <f t="shared" si="5"/>
        <v>546.75</v>
      </c>
      <c r="L19" s="20">
        <f>'أخذ التمام الصباحي'!N17</f>
        <v>5902</v>
      </c>
      <c r="M19" s="2">
        <f t="shared" si="8"/>
        <v>32461</v>
      </c>
      <c r="N19" s="2">
        <f>L19*0.26</f>
        <v>1534.52</v>
      </c>
      <c r="O19" s="7">
        <f t="shared" si="9"/>
        <v>633.96249999999998</v>
      </c>
      <c r="P19" s="10">
        <f>'أخذ التمام الصباحي'!Q17</f>
        <v>1163</v>
      </c>
      <c r="Q19" s="7">
        <f t="shared" si="0"/>
        <v>529.03750000000002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10329</v>
      </c>
      <c r="G20" s="292">
        <f t="shared" si="2"/>
        <v>69720.75</v>
      </c>
      <c r="H20" s="292">
        <f t="shared" si="3"/>
        <v>3408.57</v>
      </c>
      <c r="I20" s="292">
        <f>'أخذ التمام الصباحي'!K18</f>
        <v>2507</v>
      </c>
      <c r="J20" s="292">
        <f t="shared" si="4"/>
        <v>19429.25</v>
      </c>
      <c r="K20" s="292">
        <f t="shared" si="5"/>
        <v>1128.1500000000001</v>
      </c>
      <c r="L20" s="20">
        <f>'أخذ التمام الصباحي'!N18</f>
        <v>24747</v>
      </c>
      <c r="M20" s="2">
        <f t="shared" si="8"/>
        <v>136108.5</v>
      </c>
      <c r="N20" s="139">
        <f>L20*0.26</f>
        <v>6434.22</v>
      </c>
      <c r="O20" s="7">
        <f t="shared" si="9"/>
        <v>2252.585</v>
      </c>
      <c r="P20" s="10">
        <f>'أخذ التمام الصباحي'!Q18</f>
        <v>3040</v>
      </c>
      <c r="Q20" s="7">
        <f t="shared" si="0"/>
        <v>787.41499999999996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7721</v>
      </c>
      <c r="G21" s="292">
        <f t="shared" si="2"/>
        <v>52116.75</v>
      </c>
      <c r="H21" s="292">
        <f t="shared" si="3"/>
        <v>2547.9300000000003</v>
      </c>
      <c r="I21" s="292">
        <f>'أخذ التمام الصباحي'!K19</f>
        <v>1334</v>
      </c>
      <c r="J21" s="292">
        <f t="shared" si="4"/>
        <v>10338.5</v>
      </c>
      <c r="K21" s="292">
        <f t="shared" si="5"/>
        <v>600.30000000000007</v>
      </c>
      <c r="L21" s="6"/>
      <c r="M21" s="6"/>
      <c r="N21" s="6"/>
      <c r="O21" s="7">
        <f t="shared" si="9"/>
        <v>624.55250000000001</v>
      </c>
      <c r="P21" s="10">
        <f>'أخذ التمام الصباحي'!Q19</f>
        <v>760</v>
      </c>
      <c r="Q21" s="7">
        <f t="shared" si="0"/>
        <v>135.44749999999999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116</v>
      </c>
      <c r="D22" s="5">
        <f t="shared" si="7"/>
        <v>638</v>
      </c>
      <c r="E22" s="5">
        <f>C22*0.25</f>
        <v>29</v>
      </c>
      <c r="F22" s="292">
        <f>'أخذ التمام الصباحي'!H20</f>
        <v>1625</v>
      </c>
      <c r="G22" s="292">
        <f t="shared" si="2"/>
        <v>10968.75</v>
      </c>
      <c r="H22" s="292">
        <f t="shared" si="3"/>
        <v>536.25</v>
      </c>
      <c r="I22" s="6"/>
      <c r="J22" s="6"/>
      <c r="K22" s="6"/>
      <c r="L22" s="20">
        <f>'أخذ التمام الصباحي'!N20</f>
        <v>14562</v>
      </c>
      <c r="M22" s="2">
        <f t="shared" si="8"/>
        <v>80091</v>
      </c>
      <c r="N22" s="2">
        <f t="shared" ref="N22:N27" si="11">L22*0.26</f>
        <v>3786.1200000000003</v>
      </c>
      <c r="O22" s="7">
        <f t="shared" si="9"/>
        <v>916.97749999999996</v>
      </c>
      <c r="P22" s="10">
        <f>'أخذ التمام الصباحي'!Q20</f>
        <v>1310</v>
      </c>
      <c r="Q22" s="7">
        <f t="shared" si="0"/>
        <v>393.02250000000004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2688</v>
      </c>
      <c r="G23" s="292">
        <f t="shared" si="2"/>
        <v>18144</v>
      </c>
      <c r="H23" s="292">
        <f t="shared" si="3"/>
        <v>887.04000000000008</v>
      </c>
      <c r="I23" s="6"/>
      <c r="J23" s="6"/>
      <c r="K23" s="6"/>
      <c r="L23" s="20">
        <f>'أخذ التمام الصباحي'!N21</f>
        <v>3389</v>
      </c>
      <c r="M23" s="2">
        <f t="shared" si="8"/>
        <v>18639.5</v>
      </c>
      <c r="N23" s="183">
        <f t="shared" si="11"/>
        <v>881.14</v>
      </c>
      <c r="O23" s="7">
        <f t="shared" si="9"/>
        <v>367.83499999999998</v>
      </c>
      <c r="P23" s="10">
        <f>'أخذ التمام الصباحي'!Q21</f>
        <v>400</v>
      </c>
      <c r="Q23" s="7">
        <f t="shared" si="0"/>
        <v>32.16500000000002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17918</v>
      </c>
      <c r="G24" s="292">
        <f t="shared" si="2"/>
        <v>120946.5</v>
      </c>
      <c r="H24" s="292">
        <f t="shared" si="3"/>
        <v>5912.9400000000005</v>
      </c>
      <c r="I24" s="292">
        <f>'أخذ التمام الصباحي'!K22</f>
        <v>2415</v>
      </c>
      <c r="J24" s="292">
        <f t="shared" si="4"/>
        <v>18716.25</v>
      </c>
      <c r="K24" s="292">
        <f t="shared" si="5"/>
        <v>1086.75</v>
      </c>
      <c r="L24" s="20">
        <f>'أخذ التمام الصباحي'!N22</f>
        <v>55631</v>
      </c>
      <c r="M24" s="2">
        <f t="shared" si="8"/>
        <v>305970.5</v>
      </c>
      <c r="N24" s="183">
        <f t="shared" si="11"/>
        <v>14464.060000000001</v>
      </c>
      <c r="O24" s="7">
        <f t="shared" si="9"/>
        <v>4456.3325000000004</v>
      </c>
      <c r="P24" s="10">
        <f>'أخذ التمام الصباحي'!Q22</f>
        <v>6240</v>
      </c>
      <c r="Q24" s="7">
        <f t="shared" si="0"/>
        <v>1783.6674999999996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14659</v>
      </c>
      <c r="G25" s="292">
        <f t="shared" si="2"/>
        <v>98948.25</v>
      </c>
      <c r="H25" s="292">
        <f t="shared" si="3"/>
        <v>4837.47</v>
      </c>
      <c r="I25" s="292">
        <f>'أخذ التمام الصباحي'!K23</f>
        <v>3275</v>
      </c>
      <c r="J25" s="292">
        <f t="shared" si="4"/>
        <v>25381.25</v>
      </c>
      <c r="K25" s="292">
        <f t="shared" si="5"/>
        <v>1473.75</v>
      </c>
      <c r="L25" s="20">
        <f>'أخذ التمام الصباحي'!N23</f>
        <v>42195</v>
      </c>
      <c r="M25" s="2">
        <f t="shared" si="8"/>
        <v>232072.5</v>
      </c>
      <c r="N25" s="183">
        <f t="shared" si="11"/>
        <v>10970.7</v>
      </c>
      <c r="O25" s="7">
        <f t="shared" si="9"/>
        <v>3564.02</v>
      </c>
      <c r="P25" s="10">
        <f>'أخذ التمام الصباحي'!Q23</f>
        <v>4755</v>
      </c>
      <c r="Q25" s="7">
        <f t="shared" si="0"/>
        <v>1190.98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13283</v>
      </c>
      <c r="G26" s="292">
        <f t="shared" si="2"/>
        <v>89660.25</v>
      </c>
      <c r="H26" s="292">
        <f t="shared" si="3"/>
        <v>4383.3900000000003</v>
      </c>
      <c r="I26" s="292">
        <f>'أخذ التمام الصباحي'!K24</f>
        <v>2125</v>
      </c>
      <c r="J26" s="292">
        <f t="shared" si="4"/>
        <v>16468.75</v>
      </c>
      <c r="K26" s="292">
        <f t="shared" si="5"/>
        <v>956.25</v>
      </c>
      <c r="L26" s="20">
        <f>'أخذ التمام الصباحي'!N24</f>
        <v>27293</v>
      </c>
      <c r="M26" s="2">
        <f t="shared" si="8"/>
        <v>150111.5</v>
      </c>
      <c r="N26" s="183">
        <f t="shared" si="11"/>
        <v>7096.18</v>
      </c>
      <c r="O26" s="7">
        <f t="shared" si="9"/>
        <v>2562.4050000000002</v>
      </c>
      <c r="P26" s="10">
        <f>'أخذ التمام الصباحي'!Q24</f>
        <v>2535</v>
      </c>
      <c r="Q26" s="7">
        <f t="shared" si="0"/>
        <v>-27.4050000000002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8013</v>
      </c>
      <c r="G27" s="292">
        <f t="shared" si="2"/>
        <v>54087.75</v>
      </c>
      <c r="H27" s="292">
        <f t="shared" si="3"/>
        <v>2644.29</v>
      </c>
      <c r="I27" s="292">
        <f>'أخذ التمام الصباحي'!K25</f>
        <v>1667</v>
      </c>
      <c r="J27" s="292">
        <f t="shared" si="4"/>
        <v>12919.25</v>
      </c>
      <c r="K27" s="292">
        <f t="shared" si="5"/>
        <v>750.15</v>
      </c>
      <c r="L27" s="20">
        <f>'أخذ التمام الصباحي'!N25</f>
        <v>15465</v>
      </c>
      <c r="M27" s="2">
        <f t="shared" si="8"/>
        <v>85057.5</v>
      </c>
      <c r="N27" s="183">
        <f t="shared" si="11"/>
        <v>4020.9</v>
      </c>
      <c r="O27" s="7">
        <f t="shared" si="9"/>
        <v>1520.645</v>
      </c>
      <c r="P27" s="10">
        <f>'أخذ التمام الصباحي'!Q25</f>
        <v>2240</v>
      </c>
      <c r="Q27" s="7">
        <f t="shared" si="0"/>
        <v>719.35500000000002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3653</v>
      </c>
      <c r="D28" s="5">
        <f t="shared" ref="D28" si="12">C28*5.5</f>
        <v>20091.5</v>
      </c>
      <c r="E28" s="5">
        <f t="shared" ref="E28" si="13">C28*0.25</f>
        <v>913.25</v>
      </c>
      <c r="F28" s="301">
        <f>'أخذ التمام الصباحي'!H26</f>
        <v>8392</v>
      </c>
      <c r="G28" s="301">
        <f t="shared" ref="G28" si="14">F28*6.75</f>
        <v>56646</v>
      </c>
      <c r="H28" s="301">
        <f t="shared" ref="H28" si="15">F28*0.33</f>
        <v>2769.36</v>
      </c>
      <c r="I28" s="301">
        <f>'أخذ التمام الصباحي'!K26</f>
        <v>1257</v>
      </c>
      <c r="J28" s="301">
        <f t="shared" ref="J28" si="16">I28*7.75</f>
        <v>9741.75</v>
      </c>
      <c r="K28" s="301">
        <f t="shared" ref="K28" si="17">I28*0.45</f>
        <v>565.65</v>
      </c>
      <c r="L28" s="301">
        <f>'أخذ التمام الصباحي'!N26</f>
        <v>16405</v>
      </c>
      <c r="M28" s="301">
        <f t="shared" ref="M28" si="18">L28*5.5</f>
        <v>90227.5</v>
      </c>
      <c r="N28" s="301">
        <f t="shared" ref="N28" si="19">L28*0.26</f>
        <v>4265.3</v>
      </c>
      <c r="O28" s="7">
        <f t="shared" ref="O28" si="20">SUM(D28,G28,J28,M28)/100</f>
        <v>1767.0675000000001</v>
      </c>
      <c r="P28" s="10">
        <f>'أخذ التمام الصباحي'!Q26</f>
        <v>1150</v>
      </c>
      <c r="Q28" s="7">
        <f t="shared" ref="Q28" si="21">P28-O28</f>
        <v>-617.06750000000011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6302</v>
      </c>
      <c r="G29" s="321">
        <f t="shared" ref="G29:G33" si="24">F29*6.75</f>
        <v>42538.5</v>
      </c>
      <c r="H29" s="321">
        <f t="shared" ref="H29:H33" si="25">F29*0.33</f>
        <v>2079.6600000000003</v>
      </c>
      <c r="I29" s="5">
        <f>'أخذ التمام الصباحي'!K27</f>
        <v>2165</v>
      </c>
      <c r="J29" s="321">
        <f t="shared" ref="J29:J33" si="26">I29*7.75</f>
        <v>16778.75</v>
      </c>
      <c r="K29" s="321">
        <f t="shared" ref="K29:K33" si="27">I29*0.45</f>
        <v>974.25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593.17250000000001</v>
      </c>
      <c r="P29" s="10">
        <f>'أخذ التمام الصباحي'!Q27</f>
        <v>660</v>
      </c>
      <c r="Q29" s="7">
        <f t="shared" ref="Q29:Q33" si="31">P29-O29</f>
        <v>66.827499999999986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26814</v>
      </c>
      <c r="G30" s="321">
        <f t="shared" si="24"/>
        <v>180994.5</v>
      </c>
      <c r="H30" s="321">
        <f t="shared" si="25"/>
        <v>8848.6200000000008</v>
      </c>
      <c r="I30" s="5">
        <f>'أخذ التمام الصباحي'!K28</f>
        <v>9892</v>
      </c>
      <c r="J30" s="321">
        <f t="shared" si="26"/>
        <v>76663</v>
      </c>
      <c r="K30" s="321">
        <f t="shared" si="27"/>
        <v>4451.4000000000005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2576.5749999999998</v>
      </c>
      <c r="P30" s="10">
        <f>'أخذ التمام الصباحي'!Q28</f>
        <v>1300</v>
      </c>
      <c r="Q30" s="7">
        <f t="shared" si="31"/>
        <v>-1276.5749999999998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32246</v>
      </c>
      <c r="G31" s="321">
        <f t="shared" si="24"/>
        <v>217660.5</v>
      </c>
      <c r="H31" s="321">
        <f t="shared" si="25"/>
        <v>10641.18</v>
      </c>
      <c r="I31" s="5">
        <f>'أخذ التمام الصباحي'!K29</f>
        <v>12323</v>
      </c>
      <c r="J31" s="321">
        <f t="shared" si="26"/>
        <v>95503.25</v>
      </c>
      <c r="K31" s="321">
        <f t="shared" si="27"/>
        <v>5545.35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3131.6374999999998</v>
      </c>
      <c r="P31" s="10">
        <f>'أخذ التمام الصباحي'!Q29</f>
        <v>3700</v>
      </c>
      <c r="Q31" s="7">
        <f t="shared" si="31"/>
        <v>568.36250000000018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36530</v>
      </c>
      <c r="G32" s="321">
        <f t="shared" si="24"/>
        <v>246577.5</v>
      </c>
      <c r="H32" s="321">
        <f t="shared" si="25"/>
        <v>12054.900000000001</v>
      </c>
      <c r="I32" s="5">
        <f>'أخذ التمام الصباحي'!K30</f>
        <v>9766</v>
      </c>
      <c r="J32" s="321">
        <f t="shared" si="26"/>
        <v>75686.5</v>
      </c>
      <c r="K32" s="321">
        <f t="shared" si="27"/>
        <v>4394.7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3222.64</v>
      </c>
      <c r="P32" s="10">
        <f>'أخذ التمام الصباحي'!Q30</f>
        <v>480</v>
      </c>
      <c r="Q32" s="7">
        <f t="shared" si="31"/>
        <v>-2742.64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66786</v>
      </c>
      <c r="G33" s="321">
        <f t="shared" si="24"/>
        <v>450805.5</v>
      </c>
      <c r="H33" s="321">
        <f t="shared" si="25"/>
        <v>22039.38</v>
      </c>
      <c r="I33" s="5">
        <f>'أخذ التمام الصباحي'!K31</f>
        <v>15481</v>
      </c>
      <c r="J33" s="321">
        <f t="shared" si="26"/>
        <v>119977.75</v>
      </c>
      <c r="K33" s="321">
        <f t="shared" si="27"/>
        <v>6966.45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5707.8325000000004</v>
      </c>
      <c r="P33" s="10">
        <f>'أخذ التمام الصباحي'!Q31</f>
        <v>6740</v>
      </c>
      <c r="Q33" s="7">
        <f t="shared" si="31"/>
        <v>1032.1674999999996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59369</v>
      </c>
      <c r="D38" s="43">
        <f t="shared" ref="D38:Q38" si="42">SUM(D7:D37)</f>
        <v>326529.5</v>
      </c>
      <c r="E38" s="43">
        <f t="shared" si="42"/>
        <v>14842.25</v>
      </c>
      <c r="F38" s="43">
        <f t="shared" si="42"/>
        <v>498606</v>
      </c>
      <c r="G38" s="43">
        <f t="shared" si="42"/>
        <v>3365590.5</v>
      </c>
      <c r="H38" s="43">
        <f t="shared" si="42"/>
        <v>164539.98000000001</v>
      </c>
      <c r="I38" s="43">
        <f t="shared" si="42"/>
        <v>131799</v>
      </c>
      <c r="J38" s="43">
        <f t="shared" si="42"/>
        <v>1021442.25</v>
      </c>
      <c r="K38" s="43">
        <f t="shared" si="42"/>
        <v>59309.549999999996</v>
      </c>
      <c r="L38" s="43">
        <f t="shared" si="42"/>
        <v>323948</v>
      </c>
      <c r="M38" s="43">
        <f t="shared" si="42"/>
        <v>1781714</v>
      </c>
      <c r="N38" s="43">
        <f t="shared" si="42"/>
        <v>84226.48</v>
      </c>
      <c r="O38" s="43">
        <f t="shared" si="42"/>
        <v>64952.762499999983</v>
      </c>
      <c r="P38" s="43">
        <f t="shared" si="42"/>
        <v>67048</v>
      </c>
      <c r="Q38" s="43">
        <f t="shared" si="42"/>
        <v>2095.2374999999988</v>
      </c>
    </row>
    <row r="39" spans="1:17" ht="32.25" customHeight="1" thickBot="1" x14ac:dyDescent="0.25">
      <c r="A39" s="400" t="s">
        <v>75</v>
      </c>
      <c r="B39" s="400"/>
      <c r="C39" s="411">
        <f>C38+F38+I38+L38</f>
        <v>1013722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6495276.25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322918.26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814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839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2263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0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1021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9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0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71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65" t="str">
        <f>'منطقة السويس'!C5</f>
        <v>موبيل</v>
      </c>
      <c r="D14" s="534">
        <f>'منطقة السويس'!D5</f>
        <v>0</v>
      </c>
      <c r="E14" s="566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71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8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7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8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7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9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70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9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0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9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195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51000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459000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136000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374000</v>
      </c>
      <c r="N11" s="13" t="e">
        <f>M11/L11</f>
        <v>#DIV/0!</v>
      </c>
      <c r="O11" s="140">
        <f>C11+F11+I11+L11</f>
        <v>0</v>
      </c>
      <c r="P11" s="140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59369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498606</v>
      </c>
      <c r="G19" s="209">
        <f>'موقف المحطات'!$G$20</f>
        <v>459000</v>
      </c>
      <c r="H19" s="13">
        <f>G19/F19</f>
        <v>0.92056653951215994</v>
      </c>
      <c r="I19" s="209">
        <f>'موقف المحطات'!$I$20</f>
        <v>131799</v>
      </c>
      <c r="J19" s="209">
        <f>'موقف المحطات'!$J$20</f>
        <v>136000</v>
      </c>
      <c r="K19" s="13">
        <f>J19/I19</f>
        <v>1.0318742934316649</v>
      </c>
      <c r="L19" s="209">
        <f>'موقف المحطات'!$L$20</f>
        <v>323948</v>
      </c>
      <c r="M19" s="209">
        <f>'موقف المحطات'!$M$20</f>
        <v>374000</v>
      </c>
      <c r="N19" s="13">
        <f>M19/L19</f>
        <v>1.1545062787854841</v>
      </c>
      <c r="O19" s="140">
        <f>C19+F19+I19+L19</f>
        <v>1013722</v>
      </c>
      <c r="P19" s="140">
        <f>D19+G19+J19+M19</f>
        <v>969000</v>
      </c>
      <c r="Q19" s="13">
        <f>P19/O19</f>
        <v>0.95588336841856048</v>
      </c>
    </row>
    <row r="20" spans="2:17" ht="22.5" customHeight="1" thickBot="1" x14ac:dyDescent="0.25">
      <c r="B20" s="145" t="s">
        <v>64</v>
      </c>
      <c r="C20" s="140">
        <f>المبيعات!C38</f>
        <v>59369</v>
      </c>
      <c r="D20" s="140">
        <f>D11</f>
        <v>51000</v>
      </c>
      <c r="E20" s="13">
        <f>IFERROR(D20/C20,0)</f>
        <v>0.8590341760851623</v>
      </c>
      <c r="F20" s="140">
        <f>المبيعات!F38</f>
        <v>498606</v>
      </c>
      <c r="G20" s="140">
        <f>G11</f>
        <v>459000</v>
      </c>
      <c r="H20" s="13">
        <f>IFERROR(G20/F20,0)</f>
        <v>0.92056653951215994</v>
      </c>
      <c r="I20" s="140">
        <f>المبيعات!I38</f>
        <v>131799</v>
      </c>
      <c r="J20" s="140">
        <f>J11</f>
        <v>136000</v>
      </c>
      <c r="K20" s="13">
        <f>IFERROR(J20/I20,0)</f>
        <v>1.0318742934316649</v>
      </c>
      <c r="L20" s="140">
        <f>المبيعات!L38</f>
        <v>323948</v>
      </c>
      <c r="M20" s="140">
        <f>M11</f>
        <v>374000</v>
      </c>
      <c r="N20" s="13">
        <f>IFERROR(M20/L20,0)</f>
        <v>1.1545062787854841</v>
      </c>
      <c r="O20" s="140">
        <f>C20+F20+I20+L20</f>
        <v>1013722</v>
      </c>
      <c r="P20" s="140">
        <f>P11</f>
        <v>1020000</v>
      </c>
      <c r="Q20" s="13">
        <f>IFERROR(P20/O20,0)</f>
        <v>1.0061930193879585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25007</v>
      </c>
      <c r="D28" s="147">
        <f>'أخذ التمام الصباحي'!K6</f>
        <v>8838</v>
      </c>
      <c r="E28" s="224"/>
      <c r="F28" s="147">
        <f>'أخذ التمام الصباحي'!H7</f>
        <v>20759</v>
      </c>
      <c r="G28" s="147">
        <f>'أخذ التمام الصباحي'!K7</f>
        <v>2925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193</v>
      </c>
      <c r="D35" s="147">
        <f>'التمام الصباحي'!J39</f>
        <v>2214</v>
      </c>
      <c r="E35" s="143">
        <f>'التمام الصباحي'!P39</f>
        <v>711</v>
      </c>
      <c r="F35" s="147">
        <f>'التمام الصباحي'!V39</f>
        <v>1989</v>
      </c>
      <c r="G35" s="147">
        <f>SUM(C35:F35)</f>
        <v>5107</v>
      </c>
    </row>
    <row r="36" spans="2:8" ht="20.25" customHeight="1" thickBot="1" x14ac:dyDescent="0.25">
      <c r="B36" s="39" t="s">
        <v>37</v>
      </c>
      <c r="C36" s="424" t="e">
        <f>'التمام الصباحي'!C42:Z42</f>
        <v>#VALUE!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 t="e">
        <f>'احتياجات المحطات'!M29</f>
        <v>#VALUE!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 t="e">
        <f>G35+C37</f>
        <v>#VALUE!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 t="e">
        <f>C36-C37</f>
        <v>#VALUE!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969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 t="e">
        <f>C37/C36</f>
        <v>#VALUE!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0.19972586645780302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326529.5</v>
      </c>
      <c r="D55" s="140">
        <f>المبيعات!G38</f>
        <v>3365590.5</v>
      </c>
      <c r="E55" s="149">
        <f>المبيعات!J38</f>
        <v>1021442.25</v>
      </c>
      <c r="F55" s="140">
        <f>المبيعات!M38</f>
        <v>1781714</v>
      </c>
      <c r="G55" s="35">
        <f>C55+D55+E55+F55</f>
        <v>6495276.25</v>
      </c>
    </row>
    <row r="56" spans="2:7" ht="17.25" customHeight="1" thickBot="1" x14ac:dyDescent="0.25">
      <c r="B56" s="145" t="s">
        <v>78</v>
      </c>
      <c r="C56" s="140">
        <f>المبيعات!E38</f>
        <v>14842.25</v>
      </c>
      <c r="D56" s="140">
        <f>المبيعات!H38</f>
        <v>164539.98000000001</v>
      </c>
      <c r="E56" s="140">
        <f>المبيعات!K38</f>
        <v>59309.549999999996</v>
      </c>
      <c r="F56" s="140">
        <f>المبيعات!N38</f>
        <v>84226.48</v>
      </c>
      <c r="G56" s="35">
        <f>F56+E56+D56+C56</f>
        <v>322918.26</v>
      </c>
    </row>
    <row r="57" spans="2:7" ht="17.25" customHeight="1" thickBot="1" x14ac:dyDescent="0.25">
      <c r="B57" s="145" t="s">
        <v>79</v>
      </c>
      <c r="C57" s="419">
        <f>المبيعات!P38</f>
        <v>67048</v>
      </c>
      <c r="D57" s="420"/>
      <c r="E57" s="420"/>
      <c r="F57" s="421"/>
      <c r="G57" s="36">
        <f>C57</f>
        <v>67048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zoomScale="85" zoomScaleNormal="85" workbookViewId="0">
      <selection activeCell="F8" sqref="F8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60</v>
      </c>
      <c r="G5" s="194">
        <v>34</v>
      </c>
      <c r="H5" s="213">
        <v>21027</v>
      </c>
      <c r="I5" s="211">
        <v>12</v>
      </c>
      <c r="J5" s="5">
        <v>17</v>
      </c>
      <c r="K5" s="213">
        <v>5771</v>
      </c>
      <c r="L5" s="214"/>
      <c r="M5" s="192"/>
      <c r="N5" s="215"/>
      <c r="O5" s="217">
        <v>1750</v>
      </c>
      <c r="P5" s="218"/>
      <c r="Q5" s="294">
        <f t="shared" ref="Q5:Q26" si="0">P5+O5</f>
        <v>1750</v>
      </c>
      <c r="R5" s="220" t="s">
        <v>230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69</v>
      </c>
      <c r="G6" s="194"/>
      <c r="H6" s="213">
        <v>25007</v>
      </c>
      <c r="I6" s="211">
        <v>18</v>
      </c>
      <c r="J6" s="5"/>
      <c r="K6" s="213">
        <v>8838</v>
      </c>
      <c r="L6" s="214"/>
      <c r="M6" s="192"/>
      <c r="N6" s="215"/>
      <c r="O6" s="217">
        <v>2180</v>
      </c>
      <c r="P6" s="218"/>
      <c r="Q6" s="294">
        <f t="shared" si="0"/>
        <v>2180</v>
      </c>
      <c r="R6" s="220" t="s">
        <v>240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57</v>
      </c>
      <c r="D7" s="5">
        <v>34</v>
      </c>
      <c r="E7" s="213">
        <v>41210</v>
      </c>
      <c r="F7" s="211">
        <v>21</v>
      </c>
      <c r="G7" s="194">
        <v>17</v>
      </c>
      <c r="H7" s="213">
        <v>20759</v>
      </c>
      <c r="I7" s="211">
        <v>31</v>
      </c>
      <c r="J7" s="5"/>
      <c r="K7" s="213">
        <v>2925</v>
      </c>
      <c r="L7" s="214"/>
      <c r="M7" s="192"/>
      <c r="N7" s="215"/>
      <c r="O7" s="217">
        <v>3670</v>
      </c>
      <c r="P7" s="218"/>
      <c r="Q7" s="294">
        <f t="shared" si="0"/>
        <v>3670</v>
      </c>
      <c r="R7" s="220" t="s">
        <v>235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13</v>
      </c>
      <c r="D8" s="5">
        <v>17</v>
      </c>
      <c r="E8" s="213">
        <v>4374</v>
      </c>
      <c r="F8" s="211" t="s">
        <v>242</v>
      </c>
      <c r="G8" s="194">
        <v>51</v>
      </c>
      <c r="H8" s="213">
        <v>27391</v>
      </c>
      <c r="I8" s="211">
        <v>13</v>
      </c>
      <c r="J8" s="5">
        <v>17</v>
      </c>
      <c r="K8" s="213">
        <v>8452</v>
      </c>
      <c r="L8" s="211">
        <v>180</v>
      </c>
      <c r="M8" s="5">
        <v>17</v>
      </c>
      <c r="N8" s="216">
        <v>4660</v>
      </c>
      <c r="O8" s="217">
        <v>3200</v>
      </c>
      <c r="P8" s="219"/>
      <c r="Q8" s="294">
        <f t="shared" si="0"/>
        <v>3200</v>
      </c>
      <c r="R8" s="220"/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68</v>
      </c>
      <c r="G9" s="194">
        <v>34</v>
      </c>
      <c r="H9" s="213">
        <v>32530</v>
      </c>
      <c r="I9" s="211">
        <v>14</v>
      </c>
      <c r="J9" s="5">
        <v>17</v>
      </c>
      <c r="K9" s="213">
        <v>8859</v>
      </c>
      <c r="L9" s="214"/>
      <c r="M9" s="192"/>
      <c r="N9" s="215"/>
      <c r="O9" s="217">
        <v>2870</v>
      </c>
      <c r="P9" s="218"/>
      <c r="Q9" s="294">
        <f t="shared" si="0"/>
        <v>2870</v>
      </c>
      <c r="R9" s="220" t="s">
        <v>222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15</v>
      </c>
      <c r="D10" s="5"/>
      <c r="E10" s="213">
        <v>3303</v>
      </c>
      <c r="F10" s="211">
        <v>61</v>
      </c>
      <c r="G10" s="194">
        <v>34</v>
      </c>
      <c r="H10" s="213">
        <v>24035</v>
      </c>
      <c r="I10" s="214"/>
      <c r="J10" s="192"/>
      <c r="K10" s="212"/>
      <c r="L10" s="211">
        <v>156</v>
      </c>
      <c r="M10" s="5">
        <v>34</v>
      </c>
      <c r="N10" s="216">
        <v>8844</v>
      </c>
      <c r="O10" s="217">
        <v>2680</v>
      </c>
      <c r="P10" s="219"/>
      <c r="Q10" s="294">
        <f t="shared" si="0"/>
        <v>2680</v>
      </c>
      <c r="R10" s="220" t="s">
        <v>238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15</v>
      </c>
      <c r="D11" s="5"/>
      <c r="E11" s="213">
        <v>6713</v>
      </c>
      <c r="F11" s="211">
        <v>78</v>
      </c>
      <c r="G11" s="194">
        <v>17</v>
      </c>
      <c r="H11" s="213">
        <v>15143</v>
      </c>
      <c r="I11" s="214"/>
      <c r="J11" s="192"/>
      <c r="K11" s="212"/>
      <c r="L11" s="211">
        <v>168</v>
      </c>
      <c r="M11" s="5">
        <v>17</v>
      </c>
      <c r="N11" s="216">
        <v>17904</v>
      </c>
      <c r="O11" s="217">
        <v>2700</v>
      </c>
      <c r="P11" s="219"/>
      <c r="Q11" s="294">
        <f t="shared" si="0"/>
        <v>2700</v>
      </c>
      <c r="R11" s="220" t="s">
        <v>217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160</v>
      </c>
      <c r="G12" s="194">
        <v>34</v>
      </c>
      <c r="H12" s="213">
        <v>32455</v>
      </c>
      <c r="I12" s="211">
        <v>48</v>
      </c>
      <c r="J12" s="5">
        <v>17</v>
      </c>
      <c r="K12" s="213">
        <v>8730</v>
      </c>
      <c r="L12" s="214"/>
      <c r="M12" s="192"/>
      <c r="N12" s="215"/>
      <c r="O12" s="217">
        <v>2470</v>
      </c>
      <c r="P12" s="218"/>
      <c r="Q12" s="294">
        <f t="shared" si="0"/>
        <v>2470</v>
      </c>
      <c r="R12" s="220" t="s">
        <v>233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170</v>
      </c>
      <c r="G13" s="194"/>
      <c r="H13" s="213">
        <v>26108</v>
      </c>
      <c r="I13" s="211">
        <v>32</v>
      </c>
      <c r="J13" s="5"/>
      <c r="K13" s="213">
        <v>8473</v>
      </c>
      <c r="L13" s="211">
        <v>105</v>
      </c>
      <c r="M13" s="5"/>
      <c r="N13" s="216">
        <v>26357</v>
      </c>
      <c r="O13" s="217"/>
      <c r="P13" s="219"/>
      <c r="Q13" s="294">
        <f t="shared" si="0"/>
        <v>0</v>
      </c>
      <c r="R13" s="220" t="s">
        <v>219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72</v>
      </c>
      <c r="G14" s="194">
        <v>17</v>
      </c>
      <c r="H14" s="213">
        <v>8871</v>
      </c>
      <c r="I14" s="211">
        <v>12</v>
      </c>
      <c r="J14" s="5">
        <v>17</v>
      </c>
      <c r="K14" s="213">
        <v>6859</v>
      </c>
      <c r="L14" s="211">
        <v>120</v>
      </c>
      <c r="M14" s="5">
        <v>68</v>
      </c>
      <c r="N14" s="216">
        <v>56488</v>
      </c>
      <c r="O14" s="217">
        <v>7114</v>
      </c>
      <c r="P14" s="219"/>
      <c r="Q14" s="294">
        <f t="shared" si="0"/>
        <v>7114</v>
      </c>
      <c r="R14" s="220" t="s">
        <v>232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54</v>
      </c>
      <c r="G15" s="194"/>
      <c r="H15" s="213">
        <v>6578</v>
      </c>
      <c r="I15" s="211">
        <v>16</v>
      </c>
      <c r="J15" s="5"/>
      <c r="K15" s="213">
        <v>2365</v>
      </c>
      <c r="L15" s="211">
        <v>49</v>
      </c>
      <c r="M15" s="5"/>
      <c r="N15" s="216">
        <v>4106</v>
      </c>
      <c r="O15" s="217">
        <v>1235</v>
      </c>
      <c r="P15" s="219"/>
      <c r="Q15" s="294">
        <f t="shared" si="0"/>
        <v>1235</v>
      </c>
      <c r="R15" s="220" t="s">
        <v>225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41</v>
      </c>
      <c r="G16" s="194"/>
      <c r="H16" s="213">
        <v>2208</v>
      </c>
      <c r="I16" s="211">
        <v>20</v>
      </c>
      <c r="J16" s="5"/>
      <c r="K16" s="213">
        <v>5105</v>
      </c>
      <c r="L16" s="214"/>
      <c r="M16" s="192"/>
      <c r="N16" s="215"/>
      <c r="O16" s="217">
        <v>706</v>
      </c>
      <c r="P16" s="218"/>
      <c r="Q16" s="294">
        <f t="shared" si="0"/>
        <v>706</v>
      </c>
      <c r="R16" s="220" t="s">
        <v>228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75</v>
      </c>
      <c r="G17" s="194"/>
      <c r="H17" s="213">
        <v>3188</v>
      </c>
      <c r="I17" s="211">
        <v>20</v>
      </c>
      <c r="J17" s="5"/>
      <c r="K17" s="213">
        <v>1215</v>
      </c>
      <c r="L17" s="211">
        <v>165</v>
      </c>
      <c r="M17" s="5"/>
      <c r="N17" s="216">
        <v>5902</v>
      </c>
      <c r="O17" s="217">
        <v>1163</v>
      </c>
      <c r="P17" s="219"/>
      <c r="Q17" s="294">
        <f t="shared" si="0"/>
        <v>1163</v>
      </c>
      <c r="R17" s="220" t="s">
        <v>229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72</v>
      </c>
      <c r="G18" s="194">
        <v>17</v>
      </c>
      <c r="H18" s="213">
        <v>10329</v>
      </c>
      <c r="I18" s="211">
        <v>25</v>
      </c>
      <c r="J18" s="5"/>
      <c r="K18" s="213">
        <v>2507</v>
      </c>
      <c r="L18" s="211">
        <v>132</v>
      </c>
      <c r="M18" s="5">
        <v>34</v>
      </c>
      <c r="N18" s="216">
        <v>24747</v>
      </c>
      <c r="O18" s="217">
        <v>1020</v>
      </c>
      <c r="P18" s="219">
        <v>2020</v>
      </c>
      <c r="Q18" s="294">
        <f t="shared" si="0"/>
        <v>3040</v>
      </c>
      <c r="R18" s="220" t="s">
        <v>218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72</v>
      </c>
      <c r="G19" s="194"/>
      <c r="H19" s="213">
        <v>7721</v>
      </c>
      <c r="I19" s="211">
        <v>26</v>
      </c>
      <c r="J19" s="5"/>
      <c r="K19" s="213">
        <v>1334</v>
      </c>
      <c r="L19" s="214"/>
      <c r="M19" s="192"/>
      <c r="N19" s="215"/>
      <c r="O19" s="217">
        <v>760</v>
      </c>
      <c r="P19" s="218"/>
      <c r="Q19" s="294">
        <f t="shared" si="0"/>
        <v>760</v>
      </c>
      <c r="R19" s="220" t="s">
        <v>223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15</v>
      </c>
      <c r="D20" s="5"/>
      <c r="E20" s="213">
        <v>116</v>
      </c>
      <c r="F20" s="211">
        <v>58</v>
      </c>
      <c r="G20" s="194"/>
      <c r="H20" s="213">
        <v>1625</v>
      </c>
      <c r="I20" s="214"/>
      <c r="J20" s="192"/>
      <c r="K20" s="212"/>
      <c r="L20" s="211">
        <v>100</v>
      </c>
      <c r="M20" s="5"/>
      <c r="N20" s="216">
        <v>14562</v>
      </c>
      <c r="O20" s="217">
        <v>160</v>
      </c>
      <c r="P20" s="219">
        <v>1150</v>
      </c>
      <c r="Q20" s="294">
        <f t="shared" si="0"/>
        <v>1310</v>
      </c>
      <c r="R20" s="220" t="s">
        <v>227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46</v>
      </c>
      <c r="G21" s="194"/>
      <c r="H21" s="213">
        <v>2688</v>
      </c>
      <c r="I21" s="214"/>
      <c r="J21" s="192"/>
      <c r="K21" s="212"/>
      <c r="L21" s="211">
        <v>119</v>
      </c>
      <c r="M21" s="5"/>
      <c r="N21" s="216">
        <v>3389</v>
      </c>
      <c r="O21" s="217">
        <v>400</v>
      </c>
      <c r="P21" s="219"/>
      <c r="Q21" s="294">
        <f t="shared" si="0"/>
        <v>400</v>
      </c>
      <c r="R21" s="220"/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77</v>
      </c>
      <c r="G22" s="194"/>
      <c r="H22" s="213">
        <v>17918</v>
      </c>
      <c r="I22" s="211">
        <v>11</v>
      </c>
      <c r="J22" s="5">
        <v>17</v>
      </c>
      <c r="K22" s="213">
        <v>2415</v>
      </c>
      <c r="L22" s="211">
        <v>145</v>
      </c>
      <c r="M22" s="5">
        <v>51</v>
      </c>
      <c r="N22" s="216">
        <v>55631</v>
      </c>
      <c r="O22" s="217">
        <v>1950</v>
      </c>
      <c r="P22" s="219">
        <v>4290</v>
      </c>
      <c r="Q22" s="294">
        <f t="shared" si="0"/>
        <v>6240</v>
      </c>
      <c r="R22" s="220" t="s">
        <v>230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70</v>
      </c>
      <c r="G23" s="194">
        <v>17</v>
      </c>
      <c r="H23" s="213">
        <v>14659</v>
      </c>
      <c r="I23" s="211">
        <v>23</v>
      </c>
      <c r="J23" s="5"/>
      <c r="K23" s="213">
        <v>3275</v>
      </c>
      <c r="L23" s="211">
        <v>125</v>
      </c>
      <c r="M23" s="5">
        <v>68</v>
      </c>
      <c r="N23" s="216">
        <v>42195</v>
      </c>
      <c r="O23" s="217">
        <v>1540</v>
      </c>
      <c r="P23" s="219">
        <v>3215</v>
      </c>
      <c r="Q23" s="294">
        <f t="shared" si="0"/>
        <v>4755</v>
      </c>
      <c r="R23" s="220" t="s">
        <v>220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53</v>
      </c>
      <c r="G24" s="194">
        <v>34</v>
      </c>
      <c r="H24" s="213">
        <v>13283</v>
      </c>
      <c r="I24" s="211">
        <v>17</v>
      </c>
      <c r="J24" s="5">
        <v>0</v>
      </c>
      <c r="K24" s="213">
        <v>2125</v>
      </c>
      <c r="L24" s="211">
        <v>126</v>
      </c>
      <c r="M24" s="5">
        <v>51</v>
      </c>
      <c r="N24" s="216">
        <v>27293</v>
      </c>
      <c r="O24" s="217">
        <v>1160</v>
      </c>
      <c r="P24" s="219">
        <v>1375</v>
      </c>
      <c r="Q24" s="294">
        <f t="shared" si="0"/>
        <v>2535</v>
      </c>
      <c r="R24" s="220" t="s">
        <v>225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63</v>
      </c>
      <c r="G25" s="194">
        <v>17</v>
      </c>
      <c r="H25" s="213">
        <v>8013</v>
      </c>
      <c r="I25" s="211">
        <v>22</v>
      </c>
      <c r="J25" s="5">
        <v>0</v>
      </c>
      <c r="K25" s="213">
        <v>1667</v>
      </c>
      <c r="L25" s="211">
        <v>147</v>
      </c>
      <c r="M25" s="5"/>
      <c r="N25" s="216">
        <v>15465</v>
      </c>
      <c r="O25" s="217">
        <v>870</v>
      </c>
      <c r="P25" s="219">
        <v>1370</v>
      </c>
      <c r="Q25" s="294">
        <f t="shared" si="0"/>
        <v>2240</v>
      </c>
      <c r="R25" s="220" t="s">
        <v>221</v>
      </c>
    </row>
    <row r="26" spans="1:20" ht="16.5" thickBot="1" x14ac:dyDescent="0.3">
      <c r="A26" s="299">
        <v>22</v>
      </c>
      <c r="B26" s="297" t="s">
        <v>112</v>
      </c>
      <c r="C26" s="197">
        <v>78</v>
      </c>
      <c r="D26" s="194"/>
      <c r="E26" s="213">
        <v>3653</v>
      </c>
      <c r="F26" s="211">
        <v>20</v>
      </c>
      <c r="G26" s="194">
        <v>17</v>
      </c>
      <c r="H26" s="213">
        <v>8392</v>
      </c>
      <c r="I26" s="211">
        <v>32</v>
      </c>
      <c r="J26" s="5"/>
      <c r="K26" s="213">
        <v>1257</v>
      </c>
      <c r="L26" s="211">
        <v>152</v>
      </c>
      <c r="M26" s="5">
        <v>34</v>
      </c>
      <c r="N26" s="216">
        <v>16405</v>
      </c>
      <c r="O26" s="217">
        <v>1150</v>
      </c>
      <c r="P26" s="219"/>
      <c r="Q26" s="294">
        <f t="shared" si="0"/>
        <v>1150</v>
      </c>
      <c r="R26" s="220" t="s">
        <v>234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126</v>
      </c>
      <c r="G27" s="194"/>
      <c r="H27" s="213">
        <v>6302</v>
      </c>
      <c r="I27" s="211">
        <v>30</v>
      </c>
      <c r="J27" s="5"/>
      <c r="K27" s="213">
        <v>2165</v>
      </c>
      <c r="L27" s="214"/>
      <c r="M27" s="192"/>
      <c r="N27" s="215"/>
      <c r="O27" s="217">
        <v>660</v>
      </c>
      <c r="P27" s="218"/>
      <c r="Q27" s="294">
        <f t="shared" ref="Q27:Q30" si="1">P27+O27</f>
        <v>660</v>
      </c>
      <c r="R27" s="220" t="s">
        <v>226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157</v>
      </c>
      <c r="G28" s="194">
        <v>34</v>
      </c>
      <c r="H28" s="213">
        <v>26814</v>
      </c>
      <c r="I28" s="211">
        <v>75</v>
      </c>
      <c r="J28" s="5">
        <v>17</v>
      </c>
      <c r="K28" s="213">
        <v>9892</v>
      </c>
      <c r="L28" s="214"/>
      <c r="M28" s="192"/>
      <c r="N28" s="215"/>
      <c r="O28" s="217">
        <v>1300</v>
      </c>
      <c r="P28" s="218"/>
      <c r="Q28" s="294">
        <f t="shared" si="1"/>
        <v>1300</v>
      </c>
      <c r="R28" s="220" t="s">
        <v>224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161</v>
      </c>
      <c r="G29" s="194"/>
      <c r="H29" s="213">
        <v>32246</v>
      </c>
      <c r="I29" s="211">
        <v>75</v>
      </c>
      <c r="J29" s="5"/>
      <c r="K29" s="213">
        <v>12323</v>
      </c>
      <c r="L29" s="214"/>
      <c r="M29" s="192"/>
      <c r="N29" s="215"/>
      <c r="O29" s="217">
        <v>3700</v>
      </c>
      <c r="P29" s="218"/>
      <c r="Q29" s="294">
        <f t="shared" si="1"/>
        <v>3700</v>
      </c>
      <c r="R29" s="220" t="s">
        <v>239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160</v>
      </c>
      <c r="G30" s="194"/>
      <c r="H30" s="213">
        <v>36530</v>
      </c>
      <c r="I30" s="211">
        <v>72</v>
      </c>
      <c r="J30" s="5"/>
      <c r="K30" s="213">
        <v>9766</v>
      </c>
      <c r="L30" s="214"/>
      <c r="M30" s="192"/>
      <c r="N30" s="215"/>
      <c r="O30" s="217">
        <v>480</v>
      </c>
      <c r="P30" s="218"/>
      <c r="Q30" s="294">
        <f t="shared" si="1"/>
        <v>480</v>
      </c>
      <c r="R30" s="220" t="s">
        <v>231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150</v>
      </c>
      <c r="G31" s="194">
        <v>85</v>
      </c>
      <c r="H31" s="213">
        <v>66786</v>
      </c>
      <c r="I31" s="211">
        <v>67</v>
      </c>
      <c r="J31" s="5">
        <v>17</v>
      </c>
      <c r="K31" s="213">
        <v>15481</v>
      </c>
      <c r="L31" s="214"/>
      <c r="M31" s="192"/>
      <c r="N31" s="215"/>
      <c r="O31" s="217">
        <v>6740</v>
      </c>
      <c r="P31" s="218"/>
      <c r="Q31" s="294">
        <f t="shared" ref="Q31:Q35" si="2">P31+O31</f>
        <v>6740</v>
      </c>
      <c r="R31" s="220" t="s">
        <v>236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459</v>
      </c>
      <c r="J39" s="193">
        <f>SUM(J5:J31)</f>
        <v>136</v>
      </c>
      <c r="M39" s="193">
        <f>SUM(M5:M31)</f>
        <v>374</v>
      </c>
    </row>
  </sheetData>
  <sheetProtection selectLockedCells="1"/>
  <customSheetViews>
    <customSheetView guid="{18C0F7AC-4BB1-46DE-8A01-8E31FE0585FC}" scale="85" fitToPage="1">
      <selection activeCell="M10" sqref="M10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26814</v>
      </c>
      <c r="F10" s="350">
        <f>'أخذ التمام الصباحي'!$K$28</f>
        <v>9892</v>
      </c>
      <c r="G10" s="342"/>
      <c r="H10" s="343">
        <f>SUM(D10:G10)</f>
        <v>36706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32246</v>
      </c>
      <c r="F11" s="350">
        <f>'أخذ التمام الصباحي'!$K$29</f>
        <v>12323</v>
      </c>
      <c r="G11" s="342"/>
      <c r="H11" s="343">
        <f t="shared" ref="H11" si="0">SUM(D11:G11)</f>
        <v>44569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36530</v>
      </c>
      <c r="F12" s="350">
        <f>'أخذ التمام الصباحي'!$K$30</f>
        <v>9766</v>
      </c>
      <c r="G12" s="342"/>
      <c r="H12" s="343">
        <f>SUM(D12:G12)</f>
        <v>46296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66786</v>
      </c>
      <c r="F13" s="350">
        <f>'أخذ التمام الصباحي'!$K$31</f>
        <v>15481</v>
      </c>
      <c r="G13" s="342"/>
      <c r="H13" s="343">
        <f>SUM(D13:G13)</f>
        <v>82267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25007</v>
      </c>
      <c r="F14" s="350">
        <f>'أخذ التمام الصباحي'!$K$6</f>
        <v>8838</v>
      </c>
      <c r="G14" s="342"/>
      <c r="H14" s="343">
        <f>SUM(D14:G14)</f>
        <v>33845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41210</v>
      </c>
      <c r="E15" s="350">
        <f>'أخذ التمام الصباحي'!$H$7</f>
        <v>20759</v>
      </c>
      <c r="F15" s="350">
        <f>'أخذ التمام الصباحي'!$K$7</f>
        <v>2925</v>
      </c>
      <c r="G15" s="342"/>
      <c r="H15" s="343">
        <f t="shared" ref="H15:H17" si="1">SUM(D15:G15)</f>
        <v>64894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3653</v>
      </c>
      <c r="E16" s="350">
        <f>'أخذ التمام الصباحي'!$H$26</f>
        <v>8392</v>
      </c>
      <c r="F16" s="350">
        <f>'أخذ التمام الصباحي'!$K$26</f>
        <v>1257</v>
      </c>
      <c r="G16" s="350">
        <f>'أخذ التمام الصباحي'!$N$26</f>
        <v>16405</v>
      </c>
      <c r="H16" s="343">
        <f t="shared" si="1"/>
        <v>29707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6302</v>
      </c>
      <c r="F17" s="350">
        <f>'أخذ التمام الصباحي'!$K$27</f>
        <v>2165</v>
      </c>
      <c r="G17" s="342"/>
      <c r="H17" s="343">
        <f t="shared" si="1"/>
        <v>8467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44863</v>
      </c>
      <c r="E18" s="351">
        <f t="shared" si="2"/>
        <v>222836</v>
      </c>
      <c r="F18" s="351">
        <f t="shared" si="2"/>
        <v>62647</v>
      </c>
      <c r="G18" s="351">
        <f t="shared" si="2"/>
        <v>16405</v>
      </c>
      <c r="H18" s="351">
        <f>SUM(H10:H17)</f>
        <v>346751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view="pageBreakPreview" zoomScale="60" zoomScaleNormal="100" workbookViewId="0">
      <selection activeCell="B6" sqref="B6:K7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237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201</v>
      </c>
      <c r="E11" s="472" t="s">
        <v>202</v>
      </c>
      <c r="F11" s="473"/>
      <c r="G11" s="473"/>
      <c r="H11" s="474" t="s">
        <v>50</v>
      </c>
      <c r="I11" s="476" t="s">
        <v>183</v>
      </c>
      <c r="J11" s="472" t="s">
        <v>205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203</v>
      </c>
      <c r="K12" s="368" t="s">
        <v>201</v>
      </c>
    </row>
    <row r="13" spans="2:12" ht="16.5" customHeight="1" thickBot="1" x14ac:dyDescent="0.25">
      <c r="B13" s="370">
        <v>1</v>
      </c>
      <c r="C13" s="342" t="s">
        <v>163</v>
      </c>
      <c r="D13" s="479" t="s">
        <v>206</v>
      </c>
      <c r="E13" s="371" t="s">
        <v>207</v>
      </c>
      <c r="F13" s="371">
        <f>'تمام محطات الوكلاء'!E14</f>
        <v>25007</v>
      </c>
      <c r="G13" s="371">
        <f>'تمام محطات الوكلاء'!F14</f>
        <v>8838</v>
      </c>
      <c r="H13" s="371" t="s">
        <v>207</v>
      </c>
      <c r="I13" s="374">
        <f>SUM(E13:H13)</f>
        <v>33845</v>
      </c>
      <c r="J13" s="372">
        <f>F13*0.2525+G13*0.355</f>
        <v>9451.7574999999997</v>
      </c>
      <c r="K13" s="372">
        <f>F13*0.1075+G13*0.145</f>
        <v>3969.7624999999998</v>
      </c>
    </row>
    <row r="14" spans="2:12" ht="18.75" thickBot="1" x14ac:dyDescent="0.25">
      <c r="B14" s="370">
        <v>2</v>
      </c>
      <c r="C14" s="342" t="s">
        <v>112</v>
      </c>
      <c r="D14" s="480"/>
      <c r="E14" s="373">
        <f>'تمام محطات الوكلاء'!D16</f>
        <v>3653</v>
      </c>
      <c r="F14" s="371">
        <f>'تمام محطات الوكلاء'!E16</f>
        <v>8392</v>
      </c>
      <c r="G14" s="371">
        <f>'تمام محطات الوكلاء'!F16</f>
        <v>1257</v>
      </c>
      <c r="H14" s="371">
        <f>'تمام محطات الوكلاء'!G16</f>
        <v>16405</v>
      </c>
      <c r="I14" s="374">
        <f t="shared" ref="I14:I22" si="0">SUM(E14:H14)</f>
        <v>29707</v>
      </c>
      <c r="J14" s="372">
        <f>E14*0.2105+F14*0.2525+H14*0.195+G14*0.355</f>
        <v>6533.1464999999998</v>
      </c>
      <c r="K14" s="372">
        <f>E14*0.0695+F14*0.1075+G14*0.145+H14*0.085</f>
        <v>2732.7135000000003</v>
      </c>
    </row>
    <row r="15" spans="2:12" ht="18.75" thickBot="1" x14ac:dyDescent="0.25">
      <c r="B15" s="370">
        <v>3</v>
      </c>
      <c r="C15" s="342" t="s">
        <v>158</v>
      </c>
      <c r="D15" s="481"/>
      <c r="E15" s="373">
        <f>'تمام محطات الوكلاء'!D15</f>
        <v>41210</v>
      </c>
      <c r="F15" s="373">
        <f>'تمام محطات الوكلاء'!E15</f>
        <v>20759</v>
      </c>
      <c r="G15" s="373">
        <f>'تمام محطات الوكلاء'!F15</f>
        <v>2925</v>
      </c>
      <c r="H15" s="371" t="s">
        <v>207</v>
      </c>
      <c r="I15" s="374">
        <f t="shared" si="0"/>
        <v>64894</v>
      </c>
      <c r="J15" s="372">
        <f>E15*0.2105+F15*0.2525+G15*0.355</f>
        <v>14954.727500000001</v>
      </c>
      <c r="K15" s="372">
        <f>E15*0.0695+F15*0.1075+G15*0.145</f>
        <v>5519.8125</v>
      </c>
    </row>
    <row r="16" spans="2:12" ht="21" thickBot="1" x14ac:dyDescent="0.25">
      <c r="B16" s="482" t="s">
        <v>208</v>
      </c>
      <c r="C16" s="483"/>
      <c r="D16" s="484"/>
      <c r="E16" s="375">
        <f>SUM(E13:E15)</f>
        <v>44863</v>
      </c>
      <c r="F16" s="375">
        <f t="shared" ref="F16:K16" si="1">SUM(F13:F15)</f>
        <v>54158</v>
      </c>
      <c r="G16" s="375">
        <f t="shared" si="1"/>
        <v>13020</v>
      </c>
      <c r="H16" s="375">
        <f t="shared" si="1"/>
        <v>16405</v>
      </c>
      <c r="I16" s="376">
        <f t="shared" si="1"/>
        <v>128446</v>
      </c>
      <c r="J16" s="375">
        <f t="shared" si="1"/>
        <v>30939.6315</v>
      </c>
      <c r="K16" s="377">
        <f t="shared" si="1"/>
        <v>12222.288500000001</v>
      </c>
    </row>
    <row r="17" spans="2:11" ht="18.75" thickBot="1" x14ac:dyDescent="0.25">
      <c r="B17" s="370">
        <v>4</v>
      </c>
      <c r="C17" s="342" t="s">
        <v>121</v>
      </c>
      <c r="D17" s="485" t="s">
        <v>209</v>
      </c>
      <c r="E17" s="371" t="s">
        <v>207</v>
      </c>
      <c r="F17" s="371">
        <f>'تمام محطات الوكلاء'!E17</f>
        <v>6302</v>
      </c>
      <c r="G17" s="371">
        <f>'تمام محطات الوكلاء'!F17</f>
        <v>2165</v>
      </c>
      <c r="H17" s="371" t="s">
        <v>207</v>
      </c>
      <c r="I17" s="374">
        <f t="shared" si="0"/>
        <v>8467</v>
      </c>
      <c r="J17" s="372">
        <f>F17*0.2525+G17*0.355</f>
        <v>2359.83</v>
      </c>
      <c r="K17" s="372">
        <f>F17*0.1075+G17*0.145</f>
        <v>991.39</v>
      </c>
    </row>
    <row r="18" spans="2:11" ht="18.75" thickBot="1" x14ac:dyDescent="0.25">
      <c r="B18" s="370">
        <v>5</v>
      </c>
      <c r="C18" s="344" t="s">
        <v>210</v>
      </c>
      <c r="D18" s="486"/>
      <c r="E18" s="371" t="s">
        <v>207</v>
      </c>
      <c r="F18" s="371">
        <f>'تمام محطات الوكلاء'!E12</f>
        <v>36530</v>
      </c>
      <c r="G18" s="371">
        <f>'تمام محطات الوكلاء'!F12</f>
        <v>9766</v>
      </c>
      <c r="H18" s="371" t="s">
        <v>207</v>
      </c>
      <c r="I18" s="374">
        <f t="shared" si="0"/>
        <v>46296</v>
      </c>
      <c r="J18" s="372">
        <f>F18*0.2525+G18*0.355</f>
        <v>12690.755000000001</v>
      </c>
      <c r="K18" s="372">
        <f>F18*0.1075+G18*0.145</f>
        <v>5343.0450000000001</v>
      </c>
    </row>
    <row r="19" spans="2:11" ht="18.75" thickBot="1" x14ac:dyDescent="0.25">
      <c r="B19" s="370">
        <v>6</v>
      </c>
      <c r="C19" s="342" t="s">
        <v>211</v>
      </c>
      <c r="D19" s="487"/>
      <c r="E19" s="371" t="s">
        <v>207</v>
      </c>
      <c r="F19" s="371">
        <f>'تمام محطات الوكلاء'!E10</f>
        <v>26814</v>
      </c>
      <c r="G19" s="371">
        <f>'تمام محطات الوكلاء'!F10</f>
        <v>9892</v>
      </c>
      <c r="H19" s="371" t="s">
        <v>207</v>
      </c>
      <c r="I19" s="374">
        <f t="shared" si="0"/>
        <v>36706</v>
      </c>
      <c r="J19" s="372">
        <f>F19*0.2525+G19*0.355</f>
        <v>10282.195</v>
      </c>
      <c r="K19" s="372">
        <f>F19*0.1075+G19*0.145</f>
        <v>4316.8450000000003</v>
      </c>
    </row>
    <row r="20" spans="2:11" ht="21" thickBot="1" x14ac:dyDescent="0.25">
      <c r="B20" s="488" t="s">
        <v>212</v>
      </c>
      <c r="C20" s="489"/>
      <c r="D20" s="490"/>
      <c r="E20" s="378"/>
      <c r="F20" s="379">
        <f t="shared" ref="F20:K20" si="2">SUM(F17:F19)</f>
        <v>69646</v>
      </c>
      <c r="G20" s="379">
        <f t="shared" si="2"/>
        <v>21823</v>
      </c>
      <c r="H20" s="379"/>
      <c r="I20" s="380">
        <f t="shared" si="2"/>
        <v>91469</v>
      </c>
      <c r="J20" s="379">
        <f t="shared" si="2"/>
        <v>25332.78</v>
      </c>
      <c r="K20" s="379">
        <f t="shared" si="2"/>
        <v>10651.28</v>
      </c>
    </row>
    <row r="21" spans="2:11" ht="18.75" thickBot="1" x14ac:dyDescent="0.25">
      <c r="B21" s="370">
        <v>7</v>
      </c>
      <c r="C21" s="342" t="s">
        <v>213</v>
      </c>
      <c r="D21" s="485" t="s">
        <v>214</v>
      </c>
      <c r="E21" s="371" t="s">
        <v>207</v>
      </c>
      <c r="F21" s="371">
        <f>'تمام محطات الوكلاء'!E13</f>
        <v>66786</v>
      </c>
      <c r="G21" s="371">
        <f>'تمام محطات الوكلاء'!F13</f>
        <v>15481</v>
      </c>
      <c r="H21" s="371" t="s">
        <v>207</v>
      </c>
      <c r="I21" s="374">
        <f t="shared" si="0"/>
        <v>82267</v>
      </c>
      <c r="J21" s="372">
        <f>F21*0.2525+G21*0.355</f>
        <v>22359.22</v>
      </c>
      <c r="K21" s="372">
        <f>F21*0.1075+G21*0.145</f>
        <v>9424.24</v>
      </c>
    </row>
    <row r="22" spans="2:11" ht="18.75" thickBot="1" x14ac:dyDescent="0.25">
      <c r="B22" s="370">
        <v>8</v>
      </c>
      <c r="C22" s="342" t="s">
        <v>215</v>
      </c>
      <c r="D22" s="486"/>
      <c r="E22" s="371" t="s">
        <v>207</v>
      </c>
      <c r="F22" s="371">
        <f>'تمام محطات الوكلاء'!E11</f>
        <v>32246</v>
      </c>
      <c r="G22" s="371">
        <f>'تمام محطات الوكلاء'!F11</f>
        <v>12323</v>
      </c>
      <c r="H22" s="371" t="s">
        <v>207</v>
      </c>
      <c r="I22" s="374">
        <f t="shared" si="0"/>
        <v>44569</v>
      </c>
      <c r="J22" s="372">
        <f>F22*0.2525+G22*0.355</f>
        <v>12516.779999999999</v>
      </c>
      <c r="K22" s="372">
        <f>F22*0.1075+G22*0.145</f>
        <v>5253.28</v>
      </c>
    </row>
    <row r="23" spans="2:11" ht="21" thickBot="1" x14ac:dyDescent="0.25">
      <c r="B23" s="464" t="s">
        <v>216</v>
      </c>
      <c r="C23" s="465"/>
      <c r="D23" s="466"/>
      <c r="E23" s="381"/>
      <c r="F23" s="381">
        <f t="shared" ref="F23:K23" si="3">SUM(F21:F22)</f>
        <v>99032</v>
      </c>
      <c r="G23" s="381">
        <f t="shared" si="3"/>
        <v>27804</v>
      </c>
      <c r="H23" s="381"/>
      <c r="I23" s="382">
        <f t="shared" si="3"/>
        <v>126836</v>
      </c>
      <c r="J23" s="381">
        <f t="shared" si="3"/>
        <v>34876</v>
      </c>
      <c r="K23" s="383">
        <f t="shared" si="3"/>
        <v>14677.52</v>
      </c>
    </row>
    <row r="24" spans="2:11" x14ac:dyDescent="0.2">
      <c r="B24" s="493" t="s">
        <v>204</v>
      </c>
      <c r="C24" s="493"/>
      <c r="D24" s="493"/>
      <c r="E24" s="491">
        <f>SUM(E16,E20,E23)</f>
        <v>44863</v>
      </c>
      <c r="F24" s="491">
        <f t="shared" ref="F24:K24" si="4">SUM(F16,F20,F23)</f>
        <v>222836</v>
      </c>
      <c r="G24" s="491">
        <f t="shared" si="4"/>
        <v>62647</v>
      </c>
      <c r="H24" s="491">
        <f t="shared" si="4"/>
        <v>16405</v>
      </c>
      <c r="I24" s="491">
        <f t="shared" si="4"/>
        <v>346751</v>
      </c>
      <c r="J24" s="491">
        <f t="shared" si="4"/>
        <v>91148.411500000002</v>
      </c>
      <c r="K24" s="491">
        <f t="shared" si="4"/>
        <v>37551.088499999998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scale="60" showPageBreaks="1" printArea="1" hiddenRows="1" view="pageBreakPreview">
      <selection activeCell="B6" sqref="B6:K7"/>
      <pageMargins left="0.70866141732283472" right="0.70866141732283472" top="0.74803149606299213" bottom="0.74803149606299213" header="0.31496062992125984" footer="0.31496062992125984"/>
      <printOptions horizontalCentered="1"/>
      <pageSetup paperSize="9" scale="77" orientation="landscape" r:id="rId1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/>
      <c r="D5" s="184"/>
      <c r="E5" s="161"/>
      <c r="F5" s="161"/>
      <c r="G5" s="161"/>
      <c r="H5" s="322">
        <v>34</v>
      </c>
      <c r="I5" s="322">
        <v>17</v>
      </c>
      <c r="N5" s="191" t="s">
        <v>22</v>
      </c>
      <c r="O5" s="330"/>
      <c r="P5" s="189"/>
      <c r="Q5" s="330"/>
      <c r="R5" s="189">
        <v>17</v>
      </c>
      <c r="S5" s="293">
        <v>17</v>
      </c>
      <c r="T5" s="293">
        <v>68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51</v>
      </c>
      <c r="D9" s="184"/>
      <c r="E9" s="184">
        <v>17</v>
      </c>
      <c r="F9" s="184"/>
      <c r="G9" s="184">
        <v>17</v>
      </c>
      <c r="H9" s="184"/>
      <c r="I9" s="226">
        <v>17</v>
      </c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17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34</v>
      </c>
      <c r="D10" s="184"/>
      <c r="E10" s="161"/>
      <c r="F10" s="161"/>
      <c r="G10" s="184"/>
      <c r="H10" s="184"/>
      <c r="I10" s="184">
        <v>17</v>
      </c>
    </row>
    <row r="11" spans="1:23" ht="16.5" thickBot="1" x14ac:dyDescent="0.25">
      <c r="B11" s="186" t="s">
        <v>18</v>
      </c>
      <c r="C11" s="184">
        <v>34</v>
      </c>
      <c r="D11" s="161"/>
      <c r="E11" s="184"/>
      <c r="F11" s="184">
        <v>34</v>
      </c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/>
      <c r="F12" s="184">
        <v>17</v>
      </c>
      <c r="G12" s="184"/>
      <c r="H12" s="184"/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/>
      <c r="D14" s="184"/>
      <c r="E14" s="184"/>
      <c r="F14" s="184"/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51</v>
      </c>
      <c r="U14" s="162">
        <f>H22+D34</f>
        <v>136</v>
      </c>
      <c r="V14" s="162">
        <f>I22</f>
        <v>68</v>
      </c>
      <c r="W14" s="162">
        <f>F22+E34</f>
        <v>153</v>
      </c>
    </row>
    <row r="15" spans="1:23" ht="16.5" thickBot="1" x14ac:dyDescent="0.25">
      <c r="A15" s="47"/>
      <c r="B15" s="332" t="s">
        <v>176</v>
      </c>
      <c r="C15" s="330">
        <v>0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306</v>
      </c>
      <c r="V15" s="162">
        <f>D22+P9+G34</f>
        <v>51</v>
      </c>
      <c r="W15" s="162">
        <f>E22+I34+Q9</f>
        <v>102</v>
      </c>
    </row>
    <row r="16" spans="1:23" ht="16.5" thickBot="1" x14ac:dyDescent="0.25">
      <c r="A16" s="47"/>
      <c r="B16" s="327" t="s">
        <v>177</v>
      </c>
      <c r="C16" s="330">
        <v>51</v>
      </c>
      <c r="D16" s="330">
        <v>0</v>
      </c>
      <c r="E16" s="161"/>
      <c r="F16" s="161"/>
      <c r="G16" s="161"/>
      <c r="H16" s="330">
        <v>34</v>
      </c>
      <c r="I16" s="330">
        <v>17</v>
      </c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17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51</v>
      </c>
      <c r="S19" s="163" t="s">
        <v>155</v>
      </c>
      <c r="T19" s="162">
        <f>'التمام الصباحي'!F39</f>
        <v>51</v>
      </c>
      <c r="U19" s="162">
        <f>'التمام الصباحي'!L39</f>
        <v>459</v>
      </c>
      <c r="V19" s="162">
        <f>'التمام الصباحي'!R39</f>
        <v>136</v>
      </c>
      <c r="W19" s="162">
        <f>'التمام الصباحي'!X39</f>
        <v>374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51</v>
      </c>
      <c r="U20" s="162">
        <f>C22+H22+D34+F34+O9+R9</f>
        <v>459</v>
      </c>
      <c r="V20" s="162">
        <f>D22+I22+G34+P9+S9</f>
        <v>136</v>
      </c>
      <c r="W20" s="162">
        <f>E22+F22+Q9+T9+E34+I34+Q19</f>
        <v>374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272</v>
      </c>
      <c r="D22" s="330">
        <f>SUM(D5:D21)+F44</f>
        <v>51</v>
      </c>
      <c r="E22" s="330">
        <f>SUM(E5:E18)+G44</f>
        <v>34</v>
      </c>
      <c r="F22" s="330">
        <f>SUM(F5:F18)+D44</f>
        <v>153</v>
      </c>
      <c r="G22" s="330">
        <f>SUM(G5:G18)</f>
        <v>51</v>
      </c>
      <c r="H22" s="330">
        <f>SUM(H5:H21)+B44</f>
        <v>136</v>
      </c>
      <c r="I22" s="330">
        <f>SUM(I5:I21)+C44</f>
        <v>68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/>
      <c r="H32" s="331"/>
      <c r="I32" s="330">
        <v>34</v>
      </c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0</v>
      </c>
      <c r="H34" s="330">
        <f>SUM(H28:H32)+K44</f>
        <v>0</v>
      </c>
      <c r="I34" s="330">
        <f>SUM(I28:I33)+J44</f>
        <v>68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/>
      <c r="F40" s="330">
        <v>17</v>
      </c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51</v>
      </c>
      <c r="E41" s="330">
        <v>17</v>
      </c>
      <c r="F41" s="330"/>
      <c r="G41" s="330">
        <v>17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>
        <v>34</v>
      </c>
      <c r="C42" s="301"/>
      <c r="D42" s="301">
        <v>51</v>
      </c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>
        <v>17</v>
      </c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51</v>
      </c>
      <c r="C44" s="313">
        <f t="shared" si="2"/>
        <v>0</v>
      </c>
      <c r="D44" s="313">
        <f t="shared" si="2"/>
        <v>102</v>
      </c>
      <c r="E44" s="313">
        <f t="shared" si="2"/>
        <v>17</v>
      </c>
      <c r="F44" s="313">
        <f t="shared" si="2"/>
        <v>17</v>
      </c>
      <c r="G44" s="313">
        <f t="shared" si="2"/>
        <v>17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E10" sqref="E1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55</v>
      </c>
      <c r="G32" s="194">
        <f>'التمام الصباحي'!Q8+'التمام الصباحي'!S8</f>
        <v>26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51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0" t="s">
        <v>101</v>
      </c>
      <c r="X32" s="513" t="e">
        <f>SUM(R32:U39)/3</f>
        <v>#VALUE!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50</v>
      </c>
      <c r="G33" s="194">
        <f>'التمام الصباحي'!Q9+'التمام الصباحي'!S9</f>
        <v>21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69</v>
      </c>
      <c r="F34" s="194">
        <f>'التمام الصباحي'!K10+'التمام الصباحي'!M10</f>
        <v>48</v>
      </c>
      <c r="G34" s="194">
        <f>'التمام الصباحي'!Q10+'التمام الصباحي'!S10</f>
        <v>18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2</v>
      </c>
      <c r="S34" s="510" t="e">
        <f>IF((ROUNDDOWN((SUM(M34:M35)/51)-(R34+R35),0.9))&lt;0,0,(ROUNDDOWN((SUM(M34:M35)/51)-(R34+R35),0.9)))</f>
        <v>#VALUE!</v>
      </c>
      <c r="T34" s="510" t="e">
        <f>IF((ROUNDDOWN((SUM(O34:O35)/51)-(R34+R35),0.9))&lt;0,0,(ROUNDDOWN((SUM(O34:O35)/51)-(R34+R35),0.9)))</f>
        <v>#VALUE!</v>
      </c>
      <c r="U34" s="510" t="e">
        <f>IF((ROUNDDOWN((SUM(L34:O35)/51)-(R34+R35+S34+T34),0.9))&lt;0,0,ROUNDDOWN((SUM(L34:O35)/51)-(R34+R35+S34+T34),0.9))</f>
        <v>#VALUE!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22</v>
      </c>
      <c r="F35" s="194" t="e">
        <f>'التمام الصباحي'!K11+'التمام الصباحي'!M11</f>
        <v>#VALUE!</v>
      </c>
      <c r="G35" s="194">
        <f>'التمام الصباحي'!Q11+'التمام الصباحي'!S11</f>
        <v>25</v>
      </c>
      <c r="H35" s="194">
        <f>'التمام الصباحي'!W11+'التمام الصباحي'!Y11</f>
        <v>6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 t="e">
        <f t="shared" si="12"/>
        <v>#VALUE!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 t="e">
        <f t="shared" si="11"/>
        <v>#VALUE!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64</v>
      </c>
      <c r="G36" s="194">
        <f>'التمام الصباحي'!Q12+'التمام الصباحي'!S12</f>
        <v>28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1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19</v>
      </c>
      <c r="F37" s="194">
        <f>'التمام الصباحي'!K13+'التمام الصباحي'!M13</f>
        <v>56</v>
      </c>
      <c r="G37" s="295"/>
      <c r="H37" s="194">
        <f>'التمام الصباحي'!W13+'التمام الصباحي'!Y13</f>
        <v>32</v>
      </c>
      <c r="K37" s="233" t="s">
        <v>18</v>
      </c>
      <c r="L37" s="235">
        <f t="shared" si="14"/>
        <v>17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22</v>
      </c>
      <c r="F38" s="194">
        <f>'التمام الصباحي'!K14+'التمام الصباحي'!M14</f>
        <v>34</v>
      </c>
      <c r="G38" s="295"/>
      <c r="H38" s="194">
        <f>'التمام الصباحي'!W14+'التمام الصباحي'!Y14</f>
        <v>32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17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1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72</v>
      </c>
      <c r="G39" s="194">
        <f>'التمام الصباحي'!Q15+'التمام الصباحي'!S15</f>
        <v>27</v>
      </c>
      <c r="H39" s="354"/>
      <c r="K39" s="233" t="s">
        <v>20</v>
      </c>
      <c r="L39" s="234"/>
      <c r="M39" s="235">
        <f t="shared" si="12"/>
        <v>68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45</v>
      </c>
      <c r="G40" s="194">
        <f>'التمام الصباحي'!Q16+'التمام الصباحي'!S16</f>
        <v>24</v>
      </c>
      <c r="H40" s="194">
        <f>'التمام الصباحي'!W16+'التمام الصباحي'!Y16</f>
        <v>40</v>
      </c>
      <c r="K40" s="233" t="s">
        <v>21</v>
      </c>
      <c r="L40" s="234"/>
      <c r="M40" s="235">
        <f t="shared" si="12"/>
        <v>34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1</v>
      </c>
      <c r="S40" s="252"/>
      <c r="T40" s="253"/>
      <c r="U40" s="254"/>
      <c r="W40" s="512" t="s">
        <v>85</v>
      </c>
      <c r="X40" s="513">
        <f>SUM(R40:U43)/3</f>
        <v>1.3333333333333333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30</v>
      </c>
      <c r="G41" s="194">
        <f>'التمام الصباحي'!Q17+'التمام الصباحي'!S17</f>
        <v>24</v>
      </c>
      <c r="H41" s="194">
        <f>'التمام الصباحي'!W17+'التمام الصباحي'!Y17</f>
        <v>91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0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48</v>
      </c>
      <c r="G42" s="194">
        <f>'التمام الصباحي'!Q18+'التمام الصباحي'!S18</f>
        <v>18</v>
      </c>
      <c r="H42" s="194">
        <f>'التمام الصباحي'!W18+'التمام الصباحي'!Y18</f>
        <v>16</v>
      </c>
      <c r="K42" s="233" t="s">
        <v>23</v>
      </c>
      <c r="L42" s="234"/>
      <c r="M42" s="235">
        <f t="shared" si="12"/>
        <v>34</v>
      </c>
      <c r="N42" s="235">
        <f t="shared" si="13"/>
        <v>17</v>
      </c>
      <c r="O42" s="235">
        <f t="shared" si="13"/>
        <v>0</v>
      </c>
      <c r="P42" s="236"/>
      <c r="Q42" s="248" t="s">
        <v>24</v>
      </c>
      <c r="R42" s="249">
        <f t="shared" si="11"/>
        <v>1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24</v>
      </c>
      <c r="G43" s="194">
        <f>'التمام الصباحي'!Q19+'التمام الصباحي'!S19</f>
        <v>12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19</v>
      </c>
      <c r="G44" s="194">
        <f>'التمام الصباحي'!Q20+'التمام الصباحي'!S20</f>
        <v>12</v>
      </c>
      <c r="H44" s="194">
        <f>'التمام الصباحي'!W20+'التمام الصباحي'!Y20</f>
        <v>22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1</v>
      </c>
      <c r="W44" s="512" t="s">
        <v>102</v>
      </c>
      <c r="X44" s="513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52</v>
      </c>
      <c r="G45" s="194">
        <f>'التمام الصباحي'!Q21+'التمام الصباحي'!S21</f>
        <v>18</v>
      </c>
      <c r="H45" s="194">
        <f>'التمام الصباحي'!W21+'التمام الصباحي'!Y21</f>
        <v>70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68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26</v>
      </c>
      <c r="G46" s="194">
        <f>'التمام الصباحي'!Q22+'التمام الصباحي'!S22</f>
        <v>6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0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15.6</v>
      </c>
      <c r="F47" s="194">
        <f>'التمام الصباحي'!K23+'التمام الصباحي'!M23</f>
        <v>5</v>
      </c>
      <c r="G47" s="295"/>
      <c r="H47" s="194">
        <f>'التمام الصباحي'!W23+'التمام الصباحي'!Y23</f>
        <v>27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20</v>
      </c>
      <c r="G48" s="295"/>
      <c r="H48" s="194">
        <f>'التمام الصباحي'!W24+'التمام الصباحي'!Y24</f>
        <v>6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0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13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28</v>
      </c>
      <c r="G49" s="194">
        <f>'التمام الصباحي'!Q25+'التمام الصباحي'!S25</f>
        <v>22</v>
      </c>
      <c r="H49" s="194">
        <f>'التمام الصباحي'!W25+'التمام الصباحي'!Y25</f>
        <v>78</v>
      </c>
      <c r="K49" s="233" t="s">
        <v>30</v>
      </c>
      <c r="L49" s="234"/>
      <c r="M49" s="235">
        <f t="shared" si="12"/>
        <v>17</v>
      </c>
      <c r="N49" s="235">
        <f t="shared" si="13"/>
        <v>17</v>
      </c>
      <c r="O49" s="235">
        <f t="shared" si="21"/>
        <v>68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37</v>
      </c>
      <c r="G50" s="194">
        <f>'التمام الصباحي'!Q26+'التمام الصباحي'!S26</f>
        <v>11</v>
      </c>
      <c r="H50" s="194">
        <f>'التمام الصباحي'!W26+'التمام الصباحي'!Y26</f>
        <v>95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0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49</v>
      </c>
      <c r="G51" s="194">
        <f>'التمام الصباحي'!Q27+'التمام الصباحي'!S27</f>
        <v>15</v>
      </c>
      <c r="H51" s="194">
        <f>'التمام الصباحي'!W27+'التمام الصباحي'!Y27</f>
        <v>76</v>
      </c>
      <c r="K51" s="233" t="s">
        <v>32</v>
      </c>
      <c r="L51" s="234"/>
      <c r="M51" s="235">
        <f t="shared" si="12"/>
        <v>34</v>
      </c>
      <c r="N51" s="235">
        <f t="shared" si="13"/>
        <v>0</v>
      </c>
      <c r="O51" s="235">
        <f t="shared" si="21"/>
        <v>68</v>
      </c>
      <c r="P51" s="236"/>
      <c r="Q51" s="256" t="s">
        <v>33</v>
      </c>
      <c r="R51" s="257">
        <f t="shared" si="11"/>
        <v>2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36</v>
      </c>
      <c r="G52" s="194">
        <f>'التمام الصباحي'!Q28+'التمام الصباحي'!S28</f>
        <v>10</v>
      </c>
      <c r="H52" s="194">
        <f>'التمام الصباحي'!W28+'التمام الصباحي'!Y28</f>
        <v>52</v>
      </c>
      <c r="K52" s="233" t="s">
        <v>33</v>
      </c>
      <c r="L52" s="234"/>
      <c r="M52" s="235">
        <f t="shared" si="12"/>
        <v>34</v>
      </c>
      <c r="N52" s="235">
        <f t="shared" si="13"/>
        <v>0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17</v>
      </c>
      <c r="F53" s="194">
        <f>'التمام الصباحي'!K29+'التمام الصباحي'!M29</f>
        <v>34</v>
      </c>
      <c r="G53" s="194">
        <f>'التمام الصباحي'!Q29+'التمام الصباحي'!S29</f>
        <v>15</v>
      </c>
      <c r="H53" s="194">
        <f>'التمام الصباحي'!W29+'التمام الصباحي'!Y29</f>
        <v>44</v>
      </c>
      <c r="K53" s="233" t="s">
        <v>112</v>
      </c>
      <c r="L53" s="235">
        <f t="shared" si="14"/>
        <v>17</v>
      </c>
      <c r="M53" s="235">
        <f t="shared" si="12"/>
        <v>34</v>
      </c>
      <c r="N53" s="235">
        <f t="shared" si="13"/>
        <v>0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15</v>
      </c>
      <c r="G54" s="194">
        <f>'التمام الصباحي'!Q30+'التمام الصباحي'!S30</f>
        <v>17</v>
      </c>
      <c r="H54" s="354"/>
      <c r="K54" s="233" t="s">
        <v>121</v>
      </c>
      <c r="L54" s="234"/>
      <c r="M54" s="235">
        <f t="shared" si="12"/>
        <v>0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50</v>
      </c>
      <c r="G55" s="194">
        <f>'التمام الصباحي'!Q31+'التمام الصباحي'!S31</f>
        <v>25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46</v>
      </c>
      <c r="G56" s="194">
        <f>'التمام الصباحي'!Q32+'التمام الصباحي'!S32</f>
        <v>24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53</v>
      </c>
      <c r="G57" s="194">
        <f>'التمام الصباحي'!Q33+'التمام الصباحي'!S33</f>
        <v>26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82</v>
      </c>
      <c r="G58" s="194">
        <f>'التمام الصباحي'!Q34+'التمام الصباحي'!S34</f>
        <v>34</v>
      </c>
      <c r="H58" s="354"/>
      <c r="K58" s="318" t="s">
        <v>171</v>
      </c>
      <c r="L58" s="234"/>
      <c r="M58" s="235">
        <f t="shared" si="12"/>
        <v>68</v>
      </c>
      <c r="N58" s="235">
        <f t="shared" si="13"/>
        <v>34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 t="e">
        <f>'خطة الإمداد'!X32</f>
        <v>#VALUE!</v>
      </c>
    </row>
    <row r="3" spans="1:2" x14ac:dyDescent="0.2">
      <c r="A3" t="s">
        <v>85</v>
      </c>
      <c r="B3" s="138">
        <f>'خطة الإمداد'!X40</f>
        <v>1.3333333333333333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</vt:i4>
      </vt:variant>
    </vt:vector>
  </HeadingPairs>
  <TitlesOfParts>
    <vt:vector size="28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'عائد محطات الوكلاء'!Print_Area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2019-09-22T07:26:26Z</cp:lastPrinted>
  <dcterms:created xsi:type="dcterms:W3CDTF">2018-10-24T15:18:02Z</dcterms:created>
  <dcterms:modified xsi:type="dcterms:W3CDTF">2019-09-23T07:28:25Z</dcterms:modified>
</cp:coreProperties>
</file>