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urrent Month\"/>
    </mc:Choice>
  </mc:AlternateContent>
  <bookViews>
    <workbookView xWindow="0" yWindow="0" windowWidth="21600" windowHeight="9735" firstSheet="1" activeTab="6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p - Personal View" guid="{8317B6D8-8A99-4EB0-9DBC-8E9AE0170A4B}" mergeInterval="0" personalView="1" xWindow="527" yWindow="257" windowWidth="1314" windowHeight="542" tabRatio="631" activeSheetId="4"/>
    <customWorkbookView name="pp - Personal View" guid="{18C0F7AC-4BB1-46DE-8A01-8E31FE0585FC}" mergeInterval="0" personalView="1" maximized="1" xWindow="-8" yWindow="-8" windowWidth="145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H35" i="1" l="1"/>
  <c r="F35" i="1"/>
  <c r="E35" i="1"/>
  <c r="D35" i="1"/>
  <c r="G34" i="7" l="1"/>
  <c r="F34" i="7"/>
  <c r="D34" i="2" l="1"/>
  <c r="E34" i="2"/>
  <c r="F34" i="2"/>
  <c r="G34" i="2"/>
  <c r="H34" i="2"/>
  <c r="I34" i="2"/>
  <c r="J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O34" i="2" l="1"/>
  <c r="Q34" i="2" s="1"/>
  <c r="Q37" i="2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9" i="1" l="1"/>
  <c r="Q8" i="4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G23" i="6" s="1"/>
  <c r="F10" i="5"/>
  <c r="G19" i="6" s="1"/>
  <c r="E10" i="5"/>
  <c r="F19" i="6" s="1"/>
  <c r="J13" i="6" l="1"/>
  <c r="I13" i="6"/>
  <c r="K13" i="6"/>
  <c r="G16" i="6"/>
  <c r="F16" i="6"/>
  <c r="J15" i="6"/>
  <c r="I15" i="6"/>
  <c r="K15" i="6"/>
  <c r="G18" i="5"/>
  <c r="H14" i="6"/>
  <c r="H16" i="6" s="1"/>
  <c r="H24" i="6" s="1"/>
  <c r="E16" i="6"/>
  <c r="E24" i="6" s="1"/>
  <c r="J14" i="6"/>
  <c r="K21" i="6"/>
  <c r="J21" i="6"/>
  <c r="I21" i="6"/>
  <c r="K22" i="6"/>
  <c r="I22" i="6"/>
  <c r="J22" i="6"/>
  <c r="J23" i="6" s="1"/>
  <c r="F23" i="6"/>
  <c r="G20" i="6"/>
  <c r="G24" i="6" s="1"/>
  <c r="J19" i="6"/>
  <c r="I19" i="6"/>
  <c r="K19" i="6"/>
  <c r="I17" i="6"/>
  <c r="K17" i="6"/>
  <c r="J17" i="6"/>
  <c r="K18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X39" i="1"/>
  <c r="R39" i="1"/>
  <c r="J16" i="6"/>
  <c r="K14" i="6"/>
  <c r="K16" i="6" s="1"/>
  <c r="I14" i="6"/>
  <c r="I16" i="6" s="1"/>
  <c r="F24" i="6"/>
  <c r="K23" i="6"/>
  <c r="I23" i="6"/>
  <c r="I20" i="6"/>
  <c r="K20" i="6"/>
  <c r="J20" i="6"/>
  <c r="J24" i="6" s="1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K24" i="6"/>
  <c r="I24" i="6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D29" i="2" l="1"/>
  <c r="F29" i="2"/>
  <c r="H29" i="2" s="1"/>
  <c r="I29" i="2"/>
  <c r="J29" i="2" s="1"/>
  <c r="L29" i="2"/>
  <c r="N29" i="2" s="1"/>
  <c r="E30" i="2"/>
  <c r="F30" i="2"/>
  <c r="G30" i="2" s="1"/>
  <c r="I30" i="2"/>
  <c r="J30" i="2" s="1"/>
  <c r="L30" i="2"/>
  <c r="M30" i="2" s="1"/>
  <c r="E31" i="2"/>
  <c r="F31" i="2"/>
  <c r="G31" i="2" s="1"/>
  <c r="I31" i="2"/>
  <c r="J31" i="2" s="1"/>
  <c r="L31" i="2"/>
  <c r="N31" i="2" s="1"/>
  <c r="E32" i="2"/>
  <c r="F32" i="2"/>
  <c r="G32" i="2" s="1"/>
  <c r="I32" i="2"/>
  <c r="K32" i="2" s="1"/>
  <c r="L32" i="2"/>
  <c r="M32" i="2" s="1"/>
  <c r="D33" i="2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C34" i="7" l="1"/>
  <c r="T14" i="7" s="1"/>
  <c r="I22" i="7"/>
  <c r="V14" i="7" s="1"/>
  <c r="W15" i="7"/>
  <c r="V15" i="7"/>
  <c r="U14" i="7"/>
  <c r="U15" i="7"/>
  <c r="W14" i="7"/>
  <c r="U20" i="7"/>
  <c r="W20" i="7"/>
  <c r="Q32" i="2"/>
  <c r="P33" i="2"/>
  <c r="Q33" i="2" s="1"/>
  <c r="C28" i="2"/>
  <c r="D28" i="2" s="1"/>
  <c r="T20" i="7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E22" i="2" l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D38" i="2" s="1"/>
  <c r="C10" i="12"/>
  <c r="C11" i="12"/>
  <c r="C12" i="12"/>
  <c r="C21" i="12"/>
  <c r="D34" i="3"/>
  <c r="D35" i="3"/>
  <c r="E34" i="3"/>
  <c r="E35" i="3"/>
  <c r="F35" i="3"/>
  <c r="C34" i="3"/>
  <c r="M38" i="2" l="1"/>
  <c r="F55" i="3" s="1"/>
  <c r="C55" i="3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<sst xmlns="http://schemas.openxmlformats.org/spreadsheetml/2006/main" count="1164" uniqueCount="245">
  <si>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</si>
  <si>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</si>
  <si>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</si>
  <si>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</si>
  <si>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</si>
  <si>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</si>
  <si>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</si>
  <si>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</si>
  <si>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</si>
  <si>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</si>
  <si>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</si>
  <si>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</si>
  <si>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</si>
  <si>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</si>
  <si>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</si>
  <si>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</si>
  <si>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</si>
  <si>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</si>
  <si>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</si>
  <si>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</si>
  <si>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</si>
  <si>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</si>
  <si>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</si>
  <si>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</si>
  <si>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</si>
  <si>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</si>
  <si>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</si>
  <si>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</si>
  <si>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</si>
  <si>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</si>
  <si>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</si>
  <si>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</si>
  <si>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</si>
  <si>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</si>
  <si>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</si>
  <si>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</si>
  <si>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</si>
  <si>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</si>
  <si>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</si>
  <si>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</si>
  <si>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</si>
  <si>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</si>
  <si>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</si>
  <si>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</si>
  <si>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</si>
  <si>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</si>
  <si>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</si>
  <si>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</si>
  <si>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</si>
  <si>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</si>
  <si>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</si>
  <si>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</si>
  <si>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</si>
  <si>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</si>
  <si>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</si>
  <si>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</si>
  <si>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</si>
  <si>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</si>
  <si>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</si>
  <si>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</si>
  <si>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</si>
  <si>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</si>
  <si>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</si>
  <si>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</si>
  <si>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</si>
  <si>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</si>
  <si>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</si>
  <si>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</si>
  <si>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</si>
  <si>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</si>
  <si>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</si>
  <si>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</si>
  <si>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</si>
  <si>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</si>
  <si>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</si>
  <si>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</si>
  <si>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</si>
  <si>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</si>
  <si>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</si>
  <si>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</si>
  <si>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</si>
  <si>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</si>
  <si>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</si>
  <si>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</si>
  <si>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</si>
  <si>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</si>
  <si>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</si>
  <si>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</si>
  <si>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</si>
  <si>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</si>
  <si>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</si>
  <si>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</si>
  <si>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</si>
  <si>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</si>
  <si>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</si>
  <si>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</si>
  <si>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</si>
  <si>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</si>
  <si>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</si>
  <si>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</si>
  <si>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</si>
  <si>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</si>
  <si>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</si>
  <si>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</si>
  <si>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</si>
  <si>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</si>
  <si>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</si>
  <si>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</si>
  <si>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</si>
  <si>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</si>
  <si>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</si>
  <si>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</si>
  <si>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</si>
  <si>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</si>
  <si>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</si>
  <si>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</si>
  <si>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</si>
  <si>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</si>
  <si>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</si>
  <si>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</si>
  <si>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</si>
  <si>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</si>
  <si>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</si>
  <si>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</si>
  <si>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</si>
  <si>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</si>
  <si>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</si>
  <si>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</si>
  <si>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</si>
  <si>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</si>
  <si>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</si>
  <si>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</si>
  <si>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</si>
  <si>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</si>
  <si>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</si>
  <si>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</si>
  <si>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</si>
  <si>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</si>
  <si>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</si>
  <si>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</si>
  <si>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</si>
  <si>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</si>
  <si>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</si>
  <si>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</si>
  <si>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</si>
  <si>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</si>
  <si>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</si>
  <si>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</si>
  <si>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</si>
  <si>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</si>
  <si>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</si>
  <si>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</si>
  <si>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</si>
  <si>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</si>
  <si>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</si>
  <si>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</si>
  <si>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</si>
  <si>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</si>
  <si>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</si>
  <si>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</si>
  <si>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</si>
  <si>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</si>
  <si>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</si>
  <si>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</si>
  <si>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</si>
  <si>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</si>
  <si>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</si>
  <si>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</si>
  <si>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</si>
  <si>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</si>
  <si>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</si>
  <si>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</si>
  <si>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</si>
  <si>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</si>
  <si>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</si>
  <si>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</si>
  <si>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</si>
  <si>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</si>
  <si>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</si>
  <si>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</si>
  <si>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</si>
  <si>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</si>
  <si>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</si>
  <si>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</si>
  <si>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</si>
  <si>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</si>
  <si>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</si>
  <si>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</si>
  <si>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</si>
  <si>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</si>
  <si>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</si>
  <si>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</si>
  <si>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</si>
  <si>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</si>
  <si>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</si>
  <si>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</si>
  <si>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</si>
  <si>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</si>
  <si>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</si>
  <si>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</si>
  <si>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</si>
  <si>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</si>
  <si>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</si>
  <si>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</si>
  <si>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</si>
  <si>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</si>
  <si>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</si>
  <si>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</si>
  <si>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</si>
  <si>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</si>
  <si>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</si>
  <si>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</si>
  <si>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</si>
  <si>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</si>
  <si>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</si>
  <si>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</si>
  <si>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</si>
  <si>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</si>
  <si>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عميد محمد</t>
  </si>
  <si>
    <t xml:space="preserve">عقيد ايمن </t>
  </si>
  <si>
    <t xml:space="preserve">عقيد محمد </t>
  </si>
  <si>
    <t xml:space="preserve">عقيد احمد </t>
  </si>
  <si>
    <t xml:space="preserve">النقيب صلاح </t>
  </si>
  <si>
    <t xml:space="preserve">المقدم محمد </t>
  </si>
  <si>
    <t xml:space="preserve">محاسب محمد </t>
  </si>
  <si>
    <t xml:space="preserve">جندي عبدالله </t>
  </si>
  <si>
    <t>عميد هشام</t>
  </si>
  <si>
    <t xml:space="preserve">العميد خالد </t>
  </si>
  <si>
    <t xml:space="preserve">النقيب حفناوي </t>
  </si>
  <si>
    <t xml:space="preserve">النقيب ايمن </t>
  </si>
  <si>
    <t xml:space="preserve">الرائد وليد </t>
  </si>
  <si>
    <t xml:space="preserve">عميد محمد </t>
  </si>
  <si>
    <t xml:space="preserve">جندي حاتم </t>
  </si>
  <si>
    <t xml:space="preserve">عميد خالد </t>
  </si>
  <si>
    <t>جندي ابراهيم</t>
  </si>
  <si>
    <t xml:space="preserve">النقيب احمد </t>
  </si>
  <si>
    <t xml:space="preserve">استاذة مي </t>
  </si>
  <si>
    <t xml:space="preserve">العقيد محمد </t>
  </si>
  <si>
    <t xml:space="preserve">عقيد علاء </t>
  </si>
  <si>
    <t xml:space="preserve">محاسب ماركو </t>
  </si>
  <si>
    <t xml:space="preserve">محاسب اسلام </t>
  </si>
  <si>
    <t xml:space="preserve">اكرم محاسب </t>
  </si>
  <si>
    <t xml:space="preserve">الظابط سامح </t>
  </si>
  <si>
    <t xml:space="preserve">محاسب مصطفي </t>
  </si>
  <si>
    <t xml:space="preserve">معدل البيع اليومى لمحطات وقود شل اوت التي يديرها الوكلاء (المتحدة  - ماستر اكسبريس - اينوتك) 2019/9/22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</si>
</sst>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610</v>
          </cell>
        </row>
        <row r="3">
          <cell r="D3">
            <v>2042</v>
          </cell>
        </row>
        <row r="4">
          <cell r="D4">
            <v>754</v>
          </cell>
        </row>
        <row r="5">
          <cell r="D5">
            <v>817</v>
          </cell>
        </row>
        <row r="6">
          <cell r="D6">
            <v>0</v>
          </cell>
        </row>
        <row r="7">
          <cell r="D7">
            <v>98</v>
          </cell>
        </row>
        <row r="8">
          <cell r="D8">
            <v>49</v>
          </cell>
        </row>
        <row r="9">
          <cell r="D9">
            <v>147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6903496-932D-40A8-AF6C-8532C30E88B0}" diskRevisions="1" revisionId="316" version="33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E0A1F6C-A317-495E-96A5-E853BFA6C44B}" dateTime="2019-09-23T07:45:39" maxSheetId="25" userName="pp" r:id="rId2" minRId="1" maxRId="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F79AF09-A171-429A-91F8-DDF03BB4A560}" dateTime="2019-09-23T07:52:11" maxSheetId="25" userName="pp" r:id="rId3" minRId="17" maxRId="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EB627B-B608-4F7A-B86F-698E78D960EA}" dateTime="2019-09-23T08:27:56" maxSheetId="25" userName="pp" r:id="rId4" minRId="23" maxRId="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333E512-EADF-443C-8B3E-4FBBBBEFB28B}" dateTime="2019-09-23T08:29:14" maxSheetId="25" userName="pp" r:id="rId5" minRId="38" maxRId="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4A70B9B-2330-40C5-834E-AE651C53D8BE}" dateTime="2019-09-23T08:31:20" maxSheetId="25" userName="pp" r:id="rId6" minRId="43" maxRId="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E80B6CE-DE36-425A-8936-5CDCECA5A19B}" dateTime="2019-09-23T08:32:42" maxSheetId="25" userName="pp" r:id="rId7" minRId="49" maxRId="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7FC95E1-0D37-46A7-9CF0-62AD833413AA}" dateTime="2019-09-23T08:36:22" maxSheetId="25" userName="pp" r:id="rId8" minRId="56" maxRId="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5CD6A2-49A3-4794-9C1F-2BAFFAA2EF8D}" dateTime="2019-09-23T08:41:04" maxSheetId="25" userName="pp" r:id="rId9" minRId="65" maxRId="7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3FF0B87-F74A-47F8-9A49-CBD50359A277}" dateTime="2019-09-23T08:43:00" maxSheetId="25" userName="pp" r:id="rId10" minRId="73" maxRId="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189D4C0-EBB6-44BE-BC95-BC56058B22A8}" dateTime="2019-09-23T08:44:31" maxSheetId="25" userName="pp" r:id="rId11" minRId="81" maxRId="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DA4FD2A-C828-402D-805F-0243B76F040A}" dateTime="2019-09-23T08:46:30" maxSheetId="25" userName="pp" r:id="rId12" minRId="87" maxRId="9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3D6DF01-C661-424A-9B20-3BB76242F0F6}" dateTime="2019-09-23T08:54:40" maxSheetId="25" userName="pp" r:id="rId13" minRId="93" maxRId="1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823C45B-76D4-49BD-9D1C-5388A66AC87A}" dateTime="2019-09-23T09:01:10" maxSheetId="25" userName="pp" r:id="rId14" minRId="101" maxRId="1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A2C5854-C0AD-4C40-BE2B-ACEA61FD1223}" dateTime="2019-09-23T09:02:46" maxSheetId="25" userName="pp" r:id="rId15" minRId="110" maxRId="1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148307-277C-4229-8FB8-AB201A59CFCF}" dateTime="2019-09-23T09:07:13" maxSheetId="25" userName="pp" r:id="rId16" minRId="118" maxRId="1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CDDE6D-0CAC-4964-81E1-723421BE006B}" dateTime="2019-09-23T09:09:47" maxSheetId="25" userName="pp" r:id="rId17" minRId="127" maxRId="1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859C778-CA71-4F72-8720-CCFE7D69F5A1}" dateTime="2019-09-23T09:42:39" maxSheetId="25" userName="pp" r:id="rId18" minRId="136" maxRId="1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1487C79-22DD-4270-96AC-0B48F014E701}" dateTime="2019-09-23T09:44:44" maxSheetId="25" userName="pp" r:id="rId19" minRId="144" maxRId="1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605E4F9-DF91-4899-BDB0-3078AC29C8DF}" dateTime="2019-09-23T09:53:22" maxSheetId="25" userName="pp" r:id="rId20" minRId="153" maxRId="1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F0FE952-D219-4021-A515-91D505D0B6CC}" dateTime="2019-09-23T09:56:17" maxSheetId="25" userName="pp" r:id="rId21" minRId="165" maxRId="1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65881EE-E710-4EEF-A848-4B625F3591CD}" dateTime="2019-09-23T09:57:21" maxSheetId="25" userName="pp" r:id="rId22" minRId="171" maxRId="17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0D4BF40-531E-49A2-8853-AEB6196E674E}" dateTime="2019-09-23T09:57:52" maxSheetId="25" userName="pp" r:id="rId23" minRId="1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6FF967D-E6B7-4449-B4B3-5DF60C9DBB29}" dateTime="2019-09-23T10:00:36" maxSheetId="25" userName="pp" r:id="rId24" minRId="178" maxRId="1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0695067-C05D-4C10-85DD-CE47C19BA1F4}" dateTime="2019-09-23T10:03:41" maxSheetId="25" userName="pp" r:id="rId25" minRId="188" maxRId="1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06D0176-E207-46B1-9699-8DD6D1804D43}" dateTime="2019-09-23T10:06:28" maxSheetId="25" userName="pp" r:id="rId26" minRId="196" maxRId="20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CDF4AC0-6469-4575-890D-E09CA03C0098}" dateTime="2019-09-23T10:13:42" maxSheetId="25" userName="pp" r:id="rId27" minRId="202" maxRId="2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C250E42-0586-4833-91F9-0B2576D394BE}" dateTime="2019-09-23T10:13:53" maxSheetId="25" userName="pp" r:id="rId28" minRId="2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20F7505-0816-400D-8DAC-DE9C6D143A25}" dateTime="2019-09-23T10:34:59" maxSheetId="25" userName="pp" r:id="rId29" minRId="2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DA60877-6B88-42C7-B594-AA287A8DF6DC}" dateTime="2019-09-23T10:37:16" maxSheetId="25" userName="pp" r:id="rId30" minRId="211" maxRId="2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6FF54A5-4980-4BBE-9EDF-8820181AEC3C}" dateTime="2019-09-23T10:42:54" maxSheetId="25" userName="pp" r:id="rId31" minRId="227" maxRId="2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FB05826-2164-4262-B09E-96028373881C}" dateTime="2019-09-23T10:43:31" maxSheetId="25" userName="pp" r:id="rId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6903496-932D-40A8-AF6C-8532C30E88B0}" dateTime="2019-09-24T00:22:36" maxSheetId="25" userName="pp" r:id="rId33" minRId="247" maxRId="3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4">
    <nc r="H17">
      <v>2427</v>
    </nc>
  </rcc>
  <rcc rId="74" sId="4">
    <nc r="K17">
      <v>795</v>
    </nc>
  </rcc>
  <rcc rId="75" sId="4">
    <nc r="N17">
      <v>7001</v>
    </nc>
  </rcc>
  <rcc rId="76" sId="4" numFmtId="4">
    <nc r="O17">
      <v>1152</v>
    </nc>
  </rcc>
  <rcc rId="77" sId="4">
    <nc r="F17">
      <v>72</v>
    </nc>
  </rcc>
  <rcc rId="78" sId="4">
    <nc r="I17">
      <v>19</v>
    </nc>
  </rcc>
  <rcc rId="79" sId="4">
    <nc r="L17">
      <v>143</v>
    </nc>
  </rcc>
  <rcc rId="80" sId="4">
    <nc r="R17" t="inlineStr">
      <is>
        <t xml:space="preserve">العميد خالد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4">
    <nc r="R27" t="inlineStr">
      <is>
        <t xml:space="preserve">النقيب حفناوي </t>
      </is>
    </nc>
  </rcc>
  <rcc rId="82" sId="4">
    <nc r="H27">
      <v>9664</v>
    </nc>
  </rcc>
  <rcc rId="83" sId="4">
    <nc r="K27">
      <v>1491</v>
    </nc>
  </rcc>
  <rcc rId="84" sId="4" numFmtId="4">
    <nc r="O27">
      <v>910</v>
    </nc>
  </rcc>
  <rcc rId="85" sId="4">
    <nc r="F27">
      <v>116</v>
    </nc>
  </rcc>
  <rcc rId="86" sId="4">
    <nc r="I27">
      <v>27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4">
    <nc r="H28">
      <v>31846</v>
    </nc>
  </rcc>
  <rcc rId="88" sId="4">
    <nc r="K28">
      <v>10243</v>
    </nc>
  </rcc>
  <rcc rId="89" sId="4" numFmtId="4">
    <nc r="O28">
      <v>1400</v>
    </nc>
  </rcc>
  <rcc rId="90" sId="4">
    <nc r="F28">
      <v>160</v>
    </nc>
  </rcc>
  <rcc rId="91" sId="4">
    <nc r="I28">
      <v>81</v>
    </nc>
  </rcc>
  <rcc rId="92" sId="4">
    <nc r="R28" t="inlineStr">
      <is>
        <t xml:space="preserve">النقيب ايمن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" sId="4">
    <nc r="H10">
      <v>22231</v>
    </nc>
  </rcc>
  <rcc rId="94" sId="4">
    <nc r="E10">
      <v>3262</v>
    </nc>
  </rcc>
  <rcc rId="95" sId="4">
    <nc r="N10">
      <v>7033</v>
    </nc>
  </rcc>
  <rcc rId="96" sId="4" numFmtId="4">
    <nc r="O10">
      <v>760</v>
    </nc>
  </rcc>
  <rcc rId="97" sId="4">
    <nc r="F10">
      <v>74</v>
    </nc>
  </rcc>
  <rcc rId="98" sId="4">
    <nc r="C10">
      <v>13</v>
    </nc>
  </rcc>
  <rcc rId="99" sId="4">
    <nc r="L10">
      <v>175</v>
    </nc>
  </rcc>
  <rcc rId="100" sId="4">
    <nc r="R10" t="inlineStr">
      <is>
        <t xml:space="preserve">الرائد وليد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4">
    <nc r="K25">
      <v>996</v>
    </nc>
  </rcc>
  <rcc rId="102" sId="4">
    <nc r="H25">
      <v>6701</v>
    </nc>
  </rcc>
  <rcc rId="103" sId="4">
    <nc r="N25">
      <v>26965</v>
    </nc>
  </rcc>
  <rcc rId="104" sId="4" numFmtId="4">
    <nc r="O25">
      <v>605</v>
    </nc>
  </rcc>
  <rcc rId="105" sId="4">
    <nc r="P25">
      <v>2015</v>
    </nc>
  </rcc>
  <rcc rId="106" sId="4">
    <nc r="I25">
      <v>21</v>
    </nc>
  </rcc>
  <rcc rId="107" sId="4">
    <nc r="F25">
      <v>73</v>
    </nc>
  </rcc>
  <rcc rId="108" sId="4">
    <nc r="L25">
      <v>120</v>
    </nc>
  </rcc>
  <rcc rId="109" sId="4">
    <nc r="R25" t="inlineStr">
      <is>
        <t xml:space="preserve">عميد محمد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4">
    <nc r="H14">
      <v>6664</v>
    </nc>
  </rcc>
  <rcc rId="111" sId="4">
    <nc r="F14">
      <v>83</v>
    </nc>
  </rcc>
  <rcc rId="112" sId="4">
    <nc r="K14">
      <v>4588</v>
    </nc>
  </rcc>
  <rcc rId="113" sId="4">
    <nc r="I14">
      <v>24</v>
    </nc>
  </rcc>
  <rcc rId="114" sId="4">
    <nc r="N14">
      <v>66542</v>
    </nc>
  </rcc>
  <rcc rId="115" sId="4">
    <nc r="L14">
      <v>120</v>
    </nc>
  </rcc>
  <rcc rId="116" sId="4" numFmtId="4">
    <nc r="O14">
      <v>7832</v>
    </nc>
  </rcc>
  <rcc rId="117" sId="4">
    <nc r="R14" t="inlineStr">
      <is>
        <t xml:space="preserve">جندي حاتم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4">
    <nc r="K23">
      <v>2411</v>
    </nc>
  </rcc>
  <rcc rId="119" sId="4">
    <nc r="H23">
      <v>13382</v>
    </nc>
  </rcc>
  <rcc rId="120" sId="4">
    <nc r="N23">
      <v>48535</v>
    </nc>
  </rcc>
  <rcc rId="121" sId="4" numFmtId="4">
    <nc r="O23">
      <v>1200</v>
    </nc>
  </rcc>
  <rcc rId="122" sId="4">
    <nc r="P23">
      <v>3460</v>
    </nc>
  </rcc>
  <rcc rId="123" sId="4">
    <nc r="I23">
      <v>20</v>
    </nc>
  </rcc>
  <rcc rId="124" sId="4">
    <nc r="F23">
      <v>72</v>
    </nc>
  </rcc>
  <rcc rId="125" sId="4">
    <nc r="L23">
      <v>146</v>
    </nc>
  </rcc>
  <rcc rId="126" sId="4">
    <nc r="R23" t="inlineStr">
      <is>
        <t xml:space="preserve">عميد خالد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4">
    <nc r="K24">
      <v>1669</v>
    </nc>
  </rcc>
  <rcc rId="128" sId="4">
    <nc r="H24">
      <v>10428</v>
    </nc>
  </rcc>
  <rcc rId="129" sId="4">
    <nc r="N24">
      <v>24409</v>
    </nc>
  </rcc>
  <rcc rId="130" sId="4">
    <nc r="I24">
      <v>16</v>
    </nc>
  </rcc>
  <rcc rId="131" sId="4">
    <nc r="F24">
      <v>77</v>
    </nc>
  </rcc>
  <rcc rId="132" sId="4">
    <nc r="L24">
      <v>155</v>
    </nc>
  </rcc>
  <rcc rId="133" sId="4" numFmtId="4">
    <nc r="O24">
      <v>925</v>
    </nc>
  </rcc>
  <rcc rId="134" sId="4">
    <nc r="P24">
      <v>1640</v>
    </nc>
  </rcc>
  <rcc rId="135" sId="4">
    <nc r="R24" t="inlineStr">
      <is>
        <t xml:space="preserve">جندي عبدالله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4">
    <nc r="H15">
      <v>7654</v>
    </nc>
  </rcc>
  <rcc rId="137" sId="4">
    <nc r="F15">
      <v>80</v>
    </nc>
  </rcc>
  <rcc rId="138" sId="4">
    <nc r="K15">
      <v>2076</v>
    </nc>
  </rcc>
  <rcc rId="139" sId="4">
    <nc r="I15">
      <v>14</v>
    </nc>
  </rcc>
  <rcc rId="140" sId="4">
    <nc r="N15">
      <v>3078</v>
    </nc>
  </rcc>
  <rcc rId="141" sId="4">
    <nc r="L15">
      <v>46</v>
    </nc>
  </rcc>
  <rcc rId="142" sId="4" numFmtId="4">
    <nc r="O15">
      <v>835</v>
    </nc>
  </rcc>
  <rcc rId="143" sId="4">
    <nc r="R15" t="inlineStr">
      <is>
        <t>جندي ابراهيم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4">
    <nc r="N8">
      <v>4181</v>
    </nc>
  </rcc>
  <rcc rId="145" sId="4">
    <nc r="E8">
      <v>2805</v>
    </nc>
  </rcc>
  <rcc rId="146" sId="4">
    <nc r="H8">
      <v>19819</v>
    </nc>
  </rcc>
  <rcc rId="147" sId="4">
    <nc r="K8">
      <v>6005</v>
    </nc>
  </rcc>
  <rcc rId="148" sId="4">
    <nc r="I8">
      <v>24</v>
    </nc>
  </rcc>
  <rcc rId="149" sId="4">
    <nc r="F8">
      <v>50</v>
    </nc>
  </rcc>
  <rcc rId="150" sId="4">
    <nc r="C8">
      <v>25</v>
    </nc>
  </rcc>
  <rcc rId="151" sId="4">
    <nc r="L8">
      <v>178</v>
    </nc>
  </rcc>
  <rcc rId="152" sId="4">
    <nc r="R8" t="inlineStr">
      <is>
        <t xml:space="preserve">النقيب احمد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18">
      <v>9546</v>
    </nc>
  </rcc>
  <rcc rId="2" sId="4">
    <nc r="N18">
      <v>23846</v>
    </nc>
  </rcc>
  <rcc rId="3" sId="4" numFmtId="4">
    <nc r="O18">
      <v>820</v>
    </nc>
  </rcc>
  <rcc rId="4" sId="4">
    <nc r="P18">
      <v>1630</v>
    </nc>
  </rcc>
  <rcc rId="5" sId="4">
    <nc r="I18">
      <v>24</v>
    </nc>
  </rcc>
  <rcc rId="6" sId="4">
    <nc r="F18">
      <v>80</v>
    </nc>
  </rcc>
  <rcc rId="7" sId="4">
    <nc r="L18">
      <v>144</v>
    </nc>
  </rcc>
  <rcc rId="8" sId="4">
    <nc r="R18" t="inlineStr">
      <is>
        <t>عميد محمد</t>
      </is>
    </nc>
  </rcc>
  <rcc rId="9" sId="4">
    <nc r="K18">
      <v>1886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4">
    <nc r="H29">
      <v>35318</v>
    </nc>
  </rcc>
  <rcc rId="154" sId="4">
    <nc r="K29">
      <v>10002</v>
    </nc>
  </rcc>
  <rcc rId="155" sId="4">
    <nc r="F29">
      <v>160</v>
    </nc>
  </rcc>
  <rcc rId="156" sId="4">
    <nc r="I29">
      <v>82</v>
    </nc>
  </rcc>
  <rcc rId="157" sId="4" numFmtId="4">
    <nc r="O29">
      <v>3750</v>
    </nc>
  </rcc>
  <rcc rId="158" sId="4">
    <nc r="R29" t="inlineStr">
      <is>
        <t xml:space="preserve">استاذة مي </t>
      </is>
    </nc>
  </rcc>
  <rcc rId="159" sId="4">
    <nc r="H9">
      <v>30541</v>
    </nc>
  </rcc>
  <rcc rId="160" sId="4">
    <nc r="K9">
      <v>8911</v>
    </nc>
  </rcc>
  <rcc rId="161" sId="4" numFmtId="4">
    <nc r="O9">
      <v>2690</v>
    </nc>
  </rcc>
  <rcc rId="162" sId="4">
    <nc r="F9">
      <v>75</v>
    </nc>
  </rcc>
  <rcc rId="163" sId="4">
    <nc r="I9">
      <v>25</v>
    </nc>
  </rcc>
  <rcc rId="164" sId="4">
    <nc r="R9" t="inlineStr">
      <is>
        <t xml:space="preserve">العقيد محمد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4">
    <nc r="H21">
      <v>1373</v>
    </nc>
  </rcc>
  <rcc rId="166" sId="4">
    <nc r="N21">
      <v>4177</v>
    </nc>
  </rcc>
  <rcc rId="167" sId="4" numFmtId="4">
    <nc r="O21">
      <v>370</v>
    </nc>
  </rcc>
  <rcc rId="168" sId="4">
    <nc r="F21">
      <v>44</v>
    </nc>
  </rcc>
  <rcc rId="169" sId="4">
    <nc r="L21">
      <v>116</v>
    </nc>
  </rcc>
  <rcc rId="170" sId="4">
    <nc r="R21" t="inlineStr">
      <is>
        <t xml:space="preserve">عقيد علاء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4">
    <nc r="H31">
      <v>58842</v>
    </nc>
  </rcc>
  <rcc rId="172" sId="4">
    <nc r="K31">
      <v>13645</v>
    </nc>
  </rcc>
  <rcc rId="173" sId="4" numFmtId="4">
    <nc r="O31">
      <v>5900</v>
    </nc>
  </rcc>
  <rcc rId="174" sId="4">
    <nc r="F31">
      <v>126</v>
    </nc>
  </rcc>
  <rcc rId="175" sId="4">
    <nc r="I31">
      <v>70</v>
    </nc>
  </rcc>
  <rcc rId="176" sId="4">
    <nc r="R31" t="inlineStr">
      <is>
        <t xml:space="preserve">محاسب ماركو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4" numFmtId="4">
    <nc r="O8">
      <v>2650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4">
    <nc r="E26">
      <v>3842</v>
    </nc>
  </rcc>
  <rcc rId="179" sId="4">
    <nc r="H26">
      <v>8703</v>
    </nc>
  </rcc>
  <rcc rId="180" sId="4">
    <nc r="K26">
      <v>1783</v>
    </nc>
  </rcc>
  <rcc rId="181" sId="4">
    <nc r="N26">
      <v>16546</v>
    </nc>
  </rcc>
  <rcc rId="182" sId="4" numFmtId="4">
    <nc r="O26">
      <v>1150</v>
    </nc>
  </rcc>
  <rcc rId="183" sId="4">
    <nc r="I26">
      <v>30</v>
    </nc>
  </rcc>
  <rcc rId="184" sId="4">
    <nc r="F26">
      <v>28</v>
    </nc>
  </rcc>
  <rcc rId="185" sId="4">
    <nc r="C26">
      <v>74</v>
    </nc>
  </rcc>
  <rcc rId="186" sId="4">
    <nc r="L26">
      <v>170</v>
    </nc>
  </rcc>
  <rcc rId="187" sId="4">
    <nc r="R26" t="inlineStr">
      <is>
        <t xml:space="preserve">محاسب اسلام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4">
    <nc r="E7">
      <v>38933</v>
    </nc>
  </rcc>
  <rcc rId="189" sId="4">
    <nc r="H7">
      <v>20553</v>
    </nc>
  </rcc>
  <rcc rId="190" sId="4">
    <nc r="K7">
      <v>3554</v>
    </nc>
  </rcc>
  <rcc rId="191" sId="4" numFmtId="4">
    <nc r="O7">
      <v>3490</v>
    </nc>
  </rcc>
  <rcc rId="192" sId="4">
    <nc r="C7">
      <v>52</v>
    </nc>
  </rcc>
  <rcc rId="193" sId="4">
    <nc r="F7">
      <v>18</v>
    </nc>
  </rcc>
  <rcc rId="194" sId="4">
    <nc r="I7">
      <v>27</v>
    </nc>
  </rcc>
  <rcc rId="195" sId="4">
    <nc r="R7" t="inlineStr">
      <is>
        <t xml:space="preserve">اكرم محاسب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4">
    <nc r="H12">
      <v>36176</v>
    </nc>
  </rcc>
  <rcc rId="197" sId="4">
    <nc r="K12">
      <v>10185</v>
    </nc>
  </rcc>
  <rcc rId="198" sId="4" numFmtId="4">
    <nc r="O12">
      <v>2900</v>
    </nc>
  </rcc>
  <rcc rId="199" sId="4">
    <nc r="F12">
      <v>160</v>
    </nc>
  </rcc>
  <rcc rId="200" sId="4">
    <nc r="I12">
      <v>55</v>
    </nc>
  </rcc>
  <rcc rId="201" sId="4">
    <nc r="R12" t="inlineStr">
      <is>
        <t xml:space="preserve">الظابط سامح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4">
    <nc r="H6">
      <v>30648</v>
    </nc>
  </rcc>
  <rcc rId="203" sId="4">
    <nc r="K6">
      <v>10159</v>
    </nc>
  </rcc>
  <rcc rId="204" sId="4" numFmtId="4">
    <nc r="O6">
      <v>2620</v>
    </nc>
  </rcc>
  <rcc rId="205" sId="4">
    <nc r="S6">
      <v>3613</v>
    </nc>
  </rcc>
  <rcc rId="206" sId="4">
    <nc r="F6">
      <v>38</v>
    </nc>
  </rcc>
  <rcc rId="207" sId="4">
    <nc r="I6">
      <v>7</v>
    </nc>
  </rcc>
  <rcc rId="208" sId="4">
    <nc r="R6" t="inlineStr">
      <is>
        <t xml:space="preserve">محاسب مصطفي محاسب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4">
    <oc r="R6" t="inlineStr">
      <is>
        <t xml:space="preserve">محاسب مصطفي محاسب </t>
      </is>
    </oc>
    <nc r="R6" t="inlineStr">
      <is>
        <t xml:space="preserve">محاسب مصطفي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2019/9/22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K19">
      <v>1558</v>
    </nc>
  </rcc>
  <rcc rId="18" sId="4">
    <nc r="H19">
      <v>7082</v>
    </nc>
  </rcc>
  <rcc rId="19" sId="4" numFmtId="4">
    <nc r="O19">
      <v>680</v>
    </nc>
  </rcc>
  <rcc rId="20" sId="4">
    <nc r="I19">
      <v>25</v>
    </nc>
  </rcc>
  <rcc rId="21" sId="4">
    <nc r="F19">
      <v>64</v>
    </nc>
  </rcc>
  <rcc rId="22" sId="4">
    <nc r="R19" t="inlineStr">
      <is>
        <t xml:space="preserve">عقيد ايمن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32" start="0" length="0">
    <dxf>
      <fill>
        <patternFill patternType="none">
          <bgColor indexed="65"/>
        </patternFill>
      </fill>
      <border outline="0">
        <left style="thick">
          <color auto="1"/>
        </left>
      </border>
    </dxf>
  </rfmt>
  <rfmt sheetId="4" sqref="D32" start="0" length="0">
    <dxf>
      <fill>
        <patternFill patternType="none">
          <bgColor indexed="65"/>
        </patternFill>
      </fill>
    </dxf>
  </rfmt>
  <rfmt sheetId="4" sqref="E32" start="0" length="0">
    <dxf>
      <fill>
        <patternFill patternType="none">
          <bgColor indexed="65"/>
        </patternFill>
      </fill>
    </dxf>
  </rfmt>
  <rfmt sheetId="1" sqref="C35" start="0" length="0">
    <dxf>
      <fill>
        <patternFill>
          <bgColor theme="0" tint="-0.14999847407452621"/>
        </patternFill>
      </fill>
    </dxf>
  </rfmt>
  <rfmt sheetId="1" sqref="D35" start="0" length="0">
    <dxf>
      <fill>
        <patternFill patternType="none">
          <bgColor indexed="65"/>
        </patternFill>
      </fill>
    </dxf>
  </rfmt>
  <rfmt sheetId="1" sqref="E35" start="0" length="0">
    <dxf>
      <fill>
        <patternFill patternType="none">
          <bgColor indexed="65"/>
        </patternFill>
      </fill>
    </dxf>
  </rfmt>
  <rfmt sheetId="1" sqref="F35" start="0" length="0">
    <dxf>
      <fill>
        <patternFill patternType="none">
          <bgColor indexed="65"/>
        </patternFill>
      </fill>
    </dxf>
  </rfmt>
  <rfmt sheetId="1" sqref="G35" start="0" length="0">
    <dxf>
      <fill>
        <patternFill patternType="none">
          <bgColor indexed="65"/>
        </patternFill>
      </fill>
    </dxf>
  </rfmt>
  <rfmt sheetId="1" sqref="H35" start="0" length="0">
    <dxf>
      <fill>
        <patternFill patternType="none">
          <bgColor indexed="65"/>
        </patternFill>
      </fill>
    </dxf>
  </rfmt>
  <rcc rId="211" sId="1">
    <nc r="C35">
      <v>90</v>
    </nc>
  </rcc>
  <rfmt sheetId="1" sqref="D30" start="0" length="0">
    <dxf>
      <fill>
        <patternFill patternType="none">
          <bgColor indexed="65"/>
        </patternFill>
      </fill>
    </dxf>
  </rfmt>
  <rfmt sheetId="1" sqref="D31" start="0" length="0">
    <dxf>
      <fill>
        <patternFill patternType="none">
          <bgColor indexed="65"/>
        </patternFill>
      </fill>
    </dxf>
  </rfmt>
  <rfmt sheetId="1" sqref="D32" start="0" length="0">
    <dxf>
      <fill>
        <patternFill patternType="none">
          <bgColor indexed="65"/>
        </patternFill>
      </fill>
    </dxf>
  </rfmt>
  <rfmt sheetId="1" sqref="D33" start="0" length="0">
    <dxf>
      <fill>
        <patternFill patternType="none">
          <bgColor indexed="65"/>
        </patternFill>
      </fill>
    </dxf>
  </rfmt>
  <rfmt sheetId="1" sqref="D34" start="0" length="0">
    <dxf>
      <fill>
        <patternFill patternType="none">
          <bgColor indexed="65"/>
        </patternFill>
      </fill>
    </dxf>
  </rfmt>
  <rcc rId="212" sId="1">
    <nc r="D35">
      <f>'أخذ التمام الصباحي'!C32</f>
    </nc>
  </rcc>
  <rfmt sheetId="1" sqref="E30" start="0" length="0">
    <dxf>
      <fill>
        <patternFill patternType="none">
          <bgColor indexed="65"/>
        </patternFill>
      </fill>
    </dxf>
  </rfmt>
  <rfmt sheetId="1" sqref="E31" start="0" length="0">
    <dxf>
      <fill>
        <patternFill patternType="none">
          <bgColor indexed="65"/>
        </patternFill>
      </fill>
    </dxf>
  </rfmt>
  <rfmt sheetId="1" sqref="E32" start="0" length="0">
    <dxf>
      <fill>
        <patternFill patternType="none">
          <bgColor indexed="65"/>
        </patternFill>
      </fill>
    </dxf>
  </rfmt>
  <rfmt sheetId="1" sqref="E33" start="0" length="0">
    <dxf>
      <fill>
        <patternFill patternType="none">
          <bgColor indexed="65"/>
        </patternFill>
      </fill>
    </dxf>
  </rfmt>
  <rfmt sheetId="1" sqref="E34" start="0" length="0">
    <dxf>
      <fill>
        <patternFill patternType="none">
          <bgColor indexed="65"/>
        </patternFill>
      </fill>
    </dxf>
  </rfmt>
  <rcc rId="213" sId="1">
    <nc r="E35">
      <f>C35-D35</f>
    </nc>
  </rcc>
  <rfmt sheetId="1" sqref="F30" start="0" length="0">
    <dxf>
      <fill>
        <patternFill patternType="none">
          <bgColor indexed="65"/>
        </patternFill>
      </fill>
    </dxf>
  </rfmt>
  <rfmt sheetId="1" sqref="F31" start="0" length="0">
    <dxf>
      <fill>
        <patternFill patternType="none">
          <bgColor indexed="65"/>
        </patternFill>
      </fill>
    </dxf>
  </rfmt>
  <rfmt sheetId="1" sqref="F32" start="0" length="0">
    <dxf>
      <fill>
        <patternFill patternType="none">
          <bgColor indexed="65"/>
        </patternFill>
      </fill>
    </dxf>
  </rfmt>
  <rfmt sheetId="1" sqref="F33" start="0" length="0">
    <dxf>
      <fill>
        <patternFill patternType="none">
          <bgColor indexed="65"/>
        </patternFill>
      </fill>
    </dxf>
  </rfmt>
  <rfmt sheetId="1" sqref="F34" start="0" length="0">
    <dxf>
      <fill>
        <patternFill patternType="none">
          <bgColor indexed="65"/>
        </patternFill>
      </fill>
    </dxf>
  </rfmt>
  <rcc rId="214" sId="1">
    <nc r="F35">
      <f>'أخذ التمام الصباحي'!D32</f>
    </nc>
  </rcc>
  <rfmt sheetId="1" sqref="G30" start="0" length="0">
    <dxf>
      <fill>
        <patternFill patternType="none">
          <bgColor indexed="65"/>
        </patternFill>
      </fill>
    </dxf>
  </rfmt>
  <rfmt sheetId="1" sqref="G31" start="0" length="0">
    <dxf>
      <fill>
        <patternFill patternType="none">
          <bgColor indexed="65"/>
        </patternFill>
      </fill>
    </dxf>
  </rfmt>
  <rfmt sheetId="1" sqref="G32" start="0" length="0">
    <dxf>
      <fill>
        <patternFill patternType="none">
          <bgColor indexed="65"/>
        </patternFill>
      </fill>
    </dxf>
  </rfmt>
  <rfmt sheetId="1" sqref="G33" start="0" length="0">
    <dxf>
      <fill>
        <patternFill patternType="none">
          <bgColor indexed="65"/>
        </patternFill>
      </fill>
    </dxf>
  </rfmt>
  <rfmt sheetId="1" sqref="G34" start="0" length="0">
    <dxf>
      <fill>
        <patternFill patternType="none">
          <bgColor indexed="65"/>
        </patternFill>
      </fill>
    </dxf>
  </rfmt>
  <rfmt sheetId="1" sqref="H30" start="0" length="0">
    <dxf>
      <fill>
        <patternFill patternType="none">
          <bgColor indexed="65"/>
        </patternFill>
      </fill>
    </dxf>
  </rfmt>
  <rfmt sheetId="1" sqref="H31" start="0" length="0">
    <dxf>
      <fill>
        <patternFill patternType="none">
          <bgColor indexed="65"/>
        </patternFill>
      </fill>
    </dxf>
  </rfmt>
  <rfmt sheetId="1" sqref="H32" start="0" length="0">
    <dxf>
      <fill>
        <patternFill patternType="none">
          <bgColor indexed="65"/>
        </patternFill>
      </fill>
    </dxf>
  </rfmt>
  <rfmt sheetId="1" sqref="H33" start="0" length="0">
    <dxf>
      <fill>
        <patternFill patternType="none">
          <bgColor indexed="65"/>
        </patternFill>
      </fill>
    </dxf>
  </rfmt>
  <rfmt sheetId="1" sqref="H34" start="0" length="0">
    <dxf>
      <fill>
        <patternFill patternType="none">
          <bgColor indexed="65"/>
        </patternFill>
      </fill>
    </dxf>
  </rfmt>
  <rcc rId="215" sId="1">
    <nc r="H35">
      <f>D35/G35</f>
    </nc>
  </rcc>
  <rfmt sheetId="1" sqref="D30" start="0" length="0">
    <dxf>
      <fill>
        <patternFill patternType="solid">
          <bgColor theme="8" tint="0.59999389629810485"/>
        </patternFill>
      </fill>
    </dxf>
  </rfmt>
  <rfmt sheetId="1" sqref="E30" start="0" length="0">
    <dxf>
      <fill>
        <patternFill patternType="solid">
          <bgColor theme="8" tint="0.59999389629810485"/>
        </patternFill>
      </fill>
    </dxf>
  </rfmt>
  <rfmt sheetId="1" sqref="F30" start="0" length="0">
    <dxf>
      <fill>
        <patternFill patternType="solid">
          <bgColor theme="8" tint="0.59999389629810485"/>
        </patternFill>
      </fill>
    </dxf>
  </rfmt>
  <rfmt sheetId="1" sqref="G30" start="0" length="0">
    <dxf>
      <fill>
        <patternFill patternType="solid">
          <bgColor theme="8" tint="0.59999389629810485"/>
        </patternFill>
      </fill>
    </dxf>
  </rfmt>
  <rfmt sheetId="1" sqref="H30" start="0" length="0">
    <dxf>
      <fill>
        <patternFill patternType="solid">
          <bgColor theme="8" tint="0.59999389629810485"/>
        </patternFill>
      </fill>
    </dxf>
  </rfmt>
  <rfmt sheetId="1" sqref="D31" start="0" length="0">
    <dxf>
      <fill>
        <patternFill patternType="solid">
          <bgColor theme="8" tint="0.59999389629810485"/>
        </patternFill>
      </fill>
    </dxf>
  </rfmt>
  <rfmt sheetId="1" sqref="E31" start="0" length="0">
    <dxf>
      <fill>
        <patternFill patternType="solid">
          <bgColor theme="8" tint="0.59999389629810485"/>
        </patternFill>
      </fill>
    </dxf>
  </rfmt>
  <rfmt sheetId="1" sqref="F31" start="0" length="0">
    <dxf>
      <fill>
        <patternFill patternType="solid">
          <bgColor theme="8" tint="0.59999389629810485"/>
        </patternFill>
      </fill>
    </dxf>
  </rfmt>
  <rfmt sheetId="1" sqref="G31" start="0" length="0">
    <dxf>
      <fill>
        <patternFill patternType="solid">
          <bgColor theme="8" tint="0.59999389629810485"/>
        </patternFill>
      </fill>
    </dxf>
  </rfmt>
  <rfmt sheetId="1" sqref="H31" start="0" length="0">
    <dxf>
      <fill>
        <patternFill patternType="solid">
          <bgColor theme="8" tint="0.59999389629810485"/>
        </patternFill>
      </fill>
    </dxf>
  </rfmt>
  <rfmt sheetId="1" sqref="D32" start="0" length="0">
    <dxf>
      <fill>
        <patternFill patternType="solid">
          <bgColor theme="8" tint="0.59999389629810485"/>
        </patternFill>
      </fill>
    </dxf>
  </rfmt>
  <rfmt sheetId="1" sqref="E32" start="0" length="0">
    <dxf>
      <fill>
        <patternFill patternType="solid">
          <bgColor theme="8" tint="0.59999389629810485"/>
        </patternFill>
      </fill>
    </dxf>
  </rfmt>
  <rfmt sheetId="1" sqref="F32" start="0" length="0">
    <dxf>
      <fill>
        <patternFill patternType="solid">
          <bgColor theme="8" tint="0.59999389629810485"/>
        </patternFill>
      </fill>
    </dxf>
  </rfmt>
  <rfmt sheetId="1" sqref="G32" start="0" length="0">
    <dxf>
      <fill>
        <patternFill patternType="solid">
          <bgColor theme="8" tint="0.59999389629810485"/>
        </patternFill>
      </fill>
    </dxf>
  </rfmt>
  <rfmt sheetId="1" sqref="H32" start="0" length="0">
    <dxf>
      <fill>
        <patternFill patternType="solid">
          <bgColor theme="8" tint="0.59999389629810485"/>
        </patternFill>
      </fill>
    </dxf>
  </rfmt>
  <rfmt sheetId="1" sqref="D33" start="0" length="0">
    <dxf>
      <fill>
        <patternFill patternType="solid">
          <bgColor theme="8" tint="0.59999389629810485"/>
        </patternFill>
      </fill>
    </dxf>
  </rfmt>
  <rfmt sheetId="1" sqref="E33" start="0" length="0">
    <dxf>
      <fill>
        <patternFill patternType="solid">
          <bgColor theme="8" tint="0.59999389629810485"/>
        </patternFill>
      </fill>
    </dxf>
  </rfmt>
  <rfmt sheetId="1" sqref="F33" start="0" length="0">
    <dxf>
      <fill>
        <patternFill patternType="solid">
          <bgColor theme="8" tint="0.59999389629810485"/>
        </patternFill>
      </fill>
    </dxf>
  </rfmt>
  <rfmt sheetId="1" sqref="G33" start="0" length="0">
    <dxf>
      <fill>
        <patternFill patternType="solid">
          <bgColor theme="8" tint="0.59999389629810485"/>
        </patternFill>
      </fill>
    </dxf>
  </rfmt>
  <rfmt sheetId="1" sqref="H33" start="0" length="0">
    <dxf>
      <fill>
        <patternFill patternType="solid">
          <bgColor theme="8" tint="0.59999389629810485"/>
        </patternFill>
      </fill>
    </dxf>
  </rfmt>
  <rfmt sheetId="1" sqref="D34" start="0" length="0">
    <dxf>
      <fill>
        <patternFill patternType="solid">
          <bgColor theme="8" tint="0.59999389629810485"/>
        </patternFill>
      </fill>
    </dxf>
  </rfmt>
  <rfmt sheetId="1" sqref="E34" start="0" length="0">
    <dxf>
      <fill>
        <patternFill patternType="solid">
          <bgColor theme="8" tint="0.59999389629810485"/>
        </patternFill>
      </fill>
    </dxf>
  </rfmt>
  <rfmt sheetId="1" sqref="F34" start="0" length="0">
    <dxf>
      <fill>
        <patternFill patternType="solid">
          <bgColor theme="8" tint="0.59999389629810485"/>
        </patternFill>
      </fill>
    </dxf>
  </rfmt>
  <rfmt sheetId="1" sqref="G34" start="0" length="0">
    <dxf>
      <fill>
        <patternFill patternType="solid">
          <bgColor theme="8" tint="0.59999389629810485"/>
        </patternFill>
      </fill>
    </dxf>
  </rfmt>
  <rfmt sheetId="1" sqref="H34" start="0" length="0">
    <dxf>
      <fill>
        <patternFill patternType="solid">
          <bgColor theme="8" tint="0.59999389629810485"/>
        </patternFill>
      </fill>
    </dxf>
  </rfmt>
  <rcc rId="216" sId="1">
    <nc r="G35">
      <v>20</v>
    </nc>
  </rcc>
  <rcc rId="217" sId="1">
    <oc r="I35">
      <v>180</v>
    </oc>
    <nc r="I35">
      <v>135</v>
    </nc>
  </rcc>
  <rcc rId="218" sId="1">
    <oc r="O35">
      <v>90</v>
    </oc>
    <nc r="O35">
      <v>45</v>
    </nc>
  </rcc>
  <rcc rId="219" sId="1">
    <oc r="U38">
      <v>180</v>
    </oc>
    <nc r="U38">
      <v>120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2" odxf="1" dxf="1">
    <oc r="C29">
      <f>'أخذ التمام الصباحي'!E27</f>
    </oc>
    <nc r="C29">
      <f>'أخذ التمام الصباحي'!E27</f>
    </nc>
    <odxf/>
    <ndxf/>
  </rcc>
  <rcc rId="228" sId="2" odxf="1" dxf="1">
    <oc r="C30">
      <f>'أخذ التمام الصباحي'!E28</f>
    </oc>
    <nc r="C30">
      <f>'أخذ التمام الصباحي'!E28</f>
    </nc>
    <odxf/>
    <ndxf/>
  </rcc>
  <rcc rId="229" sId="2" odxf="1" dxf="1">
    <oc r="C31">
      <f>'أخذ التمام الصباحي'!E29</f>
    </oc>
    <nc r="C31">
      <f>'أخذ التمام الصباحي'!E29</f>
    </nc>
    <odxf/>
    <ndxf/>
  </rcc>
  <rcc rId="230" sId="2" odxf="1" dxf="1">
    <oc r="C32">
      <f>'أخذ التمام الصباحي'!E30</f>
    </oc>
    <nc r="C32">
      <f>'أخذ التمام الصباحي'!E30</f>
    </nc>
    <odxf/>
    <ndxf/>
  </rcc>
  <rcc rId="231" sId="2" odxf="1" dxf="1">
    <oc r="C33">
      <f>'أخذ التمام الصباحي'!E31</f>
    </oc>
    <nc r="C33">
      <f>'أخذ التمام الصباحي'!E31</f>
    </nc>
    <odxf/>
    <ndxf/>
  </rcc>
  <rcc rId="232" sId="2" odxf="1" dxf="1">
    <oc r="C34">
      <f>'أخذ التمام الصباحي'!E32</f>
    </oc>
    <nc r="C34">
      <f>'أخذ التمام الصباحي'!E32</f>
    </nc>
    <odxf/>
    <ndxf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4">
    <nc r="J29">
      <v>17</v>
    </nc>
  </rcc>
  <rcc rId="248" sId="4">
    <nc r="G15">
      <v>34</v>
    </nc>
  </rcc>
  <rcc rId="249" sId="4">
    <nc r="G16">
      <v>17</v>
    </nc>
  </rcc>
  <rcc rId="250" sId="4">
    <nc r="M13">
      <v>51</v>
    </nc>
  </rcc>
  <rcc rId="251" sId="4">
    <nc r="M25">
      <v>51</v>
    </nc>
  </rcc>
  <rcc rId="252" sId="4">
    <nc r="G10">
      <v>17</v>
    </nc>
  </rcc>
  <rcc rId="253" sId="4">
    <nc r="D10">
      <v>17</v>
    </nc>
  </rcc>
  <rcc rId="254" sId="4">
    <nc r="D11">
      <v>17</v>
    </nc>
  </rcc>
  <rcc rId="255" sId="4">
    <nc r="G13">
      <v>34</v>
    </nc>
  </rcc>
  <rcc rId="256" sId="4">
    <nc r="J13">
      <v>17</v>
    </nc>
  </rcc>
  <rcc rId="257" sId="4">
    <nc r="G22">
      <v>17</v>
    </nc>
  </rcc>
  <rcc rId="258" sId="4">
    <nc r="G23">
      <v>17</v>
    </nc>
  </rcc>
  <rcc rId="259" sId="4">
    <nc r="M23">
      <v>34</v>
    </nc>
  </rcc>
  <rcc rId="260" sId="4">
    <nc r="M22">
      <v>34</v>
    </nc>
  </rcc>
  <rcc rId="261" sId="4">
    <nc r="G17">
      <v>17</v>
    </nc>
  </rcc>
  <rcc rId="262" sId="4">
    <nc r="M17">
      <v>34</v>
    </nc>
  </rcc>
  <rcc rId="263" sId="4">
    <nc r="G6">
      <v>51</v>
    </nc>
  </rcc>
  <rcc rId="264" sId="4">
    <nc r="J6">
      <v>17</v>
    </nc>
  </rcc>
  <rcc rId="265" sId="4">
    <nc r="G27">
      <v>17</v>
    </nc>
  </rcc>
  <rcc rId="266" sId="4">
    <nc r="J27">
      <v>17</v>
    </nc>
  </rcc>
  <rcc rId="267" sId="4">
    <nc r="J31">
      <v>17</v>
    </nc>
  </rcc>
  <rcc rId="268" sId="4">
    <nc r="J30">
      <v>34</v>
    </nc>
  </rcc>
  <rcc rId="269" sId="4">
    <nc r="G30">
      <v>68</v>
    </nc>
  </rcc>
  <rcc rId="270" sId="4">
    <nc r="G9">
      <v>34</v>
    </nc>
  </rcc>
  <rcc rId="271" sId="4">
    <nc r="G8">
      <v>17</v>
    </nc>
  </rcc>
  <rcc rId="272" sId="4">
    <nc r="M14">
      <v>51</v>
    </nc>
  </rcc>
  <rcc rId="273" sId="4">
    <nc r="G7">
      <v>34</v>
    </nc>
  </rcc>
  <rcc rId="274" sId="4">
    <nc r="J7">
      <v>17</v>
    </nc>
  </rcc>
  <rcc rId="275" sId="4">
    <nc r="D7">
      <v>51</v>
    </nc>
  </rcc>
  <rcc rId="276" sId="4">
    <nc r="G31">
      <v>85</v>
    </nc>
  </rcc>
  <rcc rId="277" sId="4">
    <nc r="G29">
      <v>68</v>
    </nc>
  </rcc>
  <rcc rId="278" sId="4">
    <nc r="G28">
      <v>17</v>
    </nc>
  </rcc>
  <rcc rId="279" sId="7">
    <nc r="C6">
      <v>17</v>
    </nc>
  </rcc>
  <rcc rId="280" sId="7">
    <nc r="D6">
      <v>17</v>
    </nc>
  </rcc>
  <rcc rId="281" sId="7">
    <nc r="C7">
      <v>51</v>
    </nc>
  </rcc>
  <rcc rId="282" sId="7">
    <nc r="D7">
      <v>17</v>
    </nc>
  </rcc>
  <rcc rId="283" sId="7">
    <nc r="C10">
      <v>34</v>
    </nc>
  </rcc>
  <rcc rId="284" sId="7">
    <nc r="C9">
      <v>17</v>
    </nc>
  </rcc>
  <rcc rId="285" sId="7">
    <nc r="C8">
      <v>34</v>
    </nc>
  </rcc>
  <rcc rId="286" sId="7">
    <nc r="D8">
      <v>17</v>
    </nc>
  </rcc>
  <rcc rId="287" sId="7">
    <nc r="G8">
      <v>51</v>
    </nc>
  </rcc>
  <rcc rId="288" sId="7">
    <nc r="F14">
      <v>51</v>
    </nc>
  </rcc>
  <rcc rId="289" sId="7">
    <nc r="C14">
      <v>34</v>
    </nc>
  </rcc>
  <rcc rId="290" sId="7">
    <nc r="D14">
      <v>17</v>
    </nc>
  </rcc>
  <rcc rId="291" sId="7">
    <nc r="C15">
      <v>68</v>
    </nc>
  </rcc>
  <rcc rId="292" sId="7">
    <nc r="D15">
      <v>34</v>
    </nc>
  </rcc>
  <rcc rId="293" sId="7">
    <nc r="C16">
      <v>85</v>
    </nc>
  </rcc>
  <rcc rId="294" sId="7">
    <nc r="D16">
      <v>17</v>
    </nc>
  </rcc>
  <rcc rId="295" sId="7">
    <nc r="D18">
      <v>17</v>
    </nc>
  </rcc>
  <rcc rId="296" sId="7">
    <nc r="C18">
      <v>68</v>
    </nc>
  </rcc>
  <rcc rId="297" sId="7">
    <nc r="C17">
      <v>17</v>
    </nc>
  </rcc>
  <rcc rId="298" sId="7">
    <nc r="C32">
      <v>17</v>
    </nc>
  </rcc>
  <rcc rId="299" sId="7">
    <nc r="D32">
      <v>17</v>
    </nc>
  </rcc>
  <rcc rId="300" sId="7">
    <nc r="E32">
      <v>17</v>
    </nc>
  </rcc>
  <rcc rId="301" sId="7">
    <nc r="T8">
      <v>34</v>
    </nc>
  </rcc>
  <rcc rId="302" sId="7">
    <nc r="R8">
      <v>17</v>
    </nc>
  </rcc>
  <rcc rId="303" sId="7">
    <nc r="T5">
      <v>51</v>
    </nc>
  </rcc>
  <rcc rId="304" sId="7">
    <nc r="E40">
      <v>17</v>
    </nc>
  </rcc>
  <rcc rId="305" sId="7">
    <nc r="E41">
      <v>17</v>
    </nc>
  </rcc>
  <rcc rId="306" sId="7">
    <nc r="G41">
      <v>34</v>
    </nc>
  </rcc>
  <rcc rId="307" sId="7">
    <nc r="G40">
      <v>34</v>
    </nc>
  </rcc>
  <rcc rId="308" sId="7">
    <nc r="G11">
      <v>17</v>
    </nc>
  </rcc>
  <rcc rId="309" sId="7">
    <nc r="G12">
      <v>17</v>
    </nc>
  </rcc>
  <rcc rId="310" sId="7">
    <nc r="H11">
      <v>17</v>
    </nc>
  </rcc>
  <rcc rId="311" sId="7">
    <nc r="D43">
      <v>51</v>
    </nc>
  </rcc>
  <rcc rId="312" sId="4">
    <nc r="D26">
      <v>17</v>
    </nc>
  </rcc>
  <rcc rId="313" sId="4">
    <nc r="G26">
      <v>17</v>
    </nc>
  </rcc>
  <rcc rId="314" sId="4">
    <nc r="M26">
      <v>17</v>
    </nc>
  </rcc>
  <rcc rId="315" sId="7">
    <nc r="R7">
      <v>34</v>
    </nc>
  </rcc>
  <rcc rId="316" sId="7">
    <nc r="R6">
      <v>17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K16">
      <v>1147</v>
    </nc>
  </rcc>
  <rcc rId="24" sId="4">
    <nc r="H16">
      <v>2928</v>
    </nc>
  </rcc>
  <rcc rId="25" sId="4" numFmtId="4">
    <nc r="O16">
      <v>307</v>
    </nc>
  </rcc>
  <rcc rId="26" sId="4">
    <nc r="I16">
      <v>19</v>
    </nc>
  </rcc>
  <rcc rId="27" sId="4">
    <nc r="F16">
      <v>55</v>
    </nc>
  </rcc>
  <rcc rId="28" sId="4">
    <nc r="R16" t="inlineStr">
      <is>
        <t xml:space="preserve">عقيد محمد </t>
      </is>
    </nc>
  </rcc>
  <rcc rId="29" sId="4">
    <nc r="I22">
      <v>29</v>
    </nc>
  </rcc>
  <rcc rId="30" sId="4">
    <nc r="K22">
      <v>2127</v>
    </nc>
  </rcc>
  <rcc rId="31" sId="4">
    <nc r="F22">
      <v>63</v>
    </nc>
  </rcc>
  <rcc rId="32" sId="4">
    <nc r="H22">
      <v>14020</v>
    </nc>
  </rcc>
  <rcc rId="33" sId="4">
    <nc r="L22">
      <v>144</v>
    </nc>
  </rcc>
  <rcc rId="34" sId="4">
    <nc r="N22">
      <v>53852</v>
    </nc>
  </rcc>
  <rcc rId="35" sId="4" numFmtId="4">
    <nc r="O22">
      <v>1550</v>
    </nc>
  </rcc>
  <rcc rId="36" sId="4">
    <nc r="P22">
      <v>4150</v>
    </nc>
  </rcc>
  <rcc rId="37" sId="4">
    <nc r="R22" t="inlineStr">
      <is>
        <t xml:space="preserve">عقيد احمد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4">
    <nc r="H30">
      <v>37039</v>
    </nc>
  </rcc>
  <rcc rId="39" sId="4">
    <nc r="K30">
      <v>9840</v>
    </nc>
  </rcc>
  <rcc rId="40" sId="4">
    <nc r="F30">
      <v>150</v>
    </nc>
  </rcc>
  <rcc rId="41" sId="4">
    <nc r="I30">
      <v>78</v>
    </nc>
  </rcc>
  <rcc rId="42" sId="4">
    <nc r="R30" t="inlineStr">
      <is>
        <t xml:space="preserve">النقيب صلاح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4">
    <nc r="H5">
      <v>21483</v>
    </nc>
  </rcc>
  <rcc rId="44" sId="4">
    <nc r="K5">
      <v>5759</v>
    </nc>
  </rcc>
  <rcc rId="45" sId="4" numFmtId="4">
    <nc r="O5">
      <v>1800</v>
    </nc>
  </rcc>
  <rcc rId="46" sId="4">
    <nc r="F5">
      <v>75</v>
    </nc>
  </rcc>
  <rcc rId="47" sId="4">
    <nc r="I5">
      <v>24</v>
    </nc>
  </rcc>
  <rcc rId="48" sId="4">
    <nc r="R5" t="inlineStr">
      <is>
        <t xml:space="preserve">المقدم محمد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4">
    <nc r="K13">
      <v>11900</v>
    </nc>
  </rcc>
  <rcc rId="50" sId="4">
    <nc r="H13">
      <v>41500</v>
    </nc>
  </rcc>
  <rcc rId="51" sId="4">
    <nc r="N13">
      <v>38500</v>
    </nc>
  </rcc>
  <rcc rId="52" sId="4">
    <nc r="F13">
      <v>170</v>
    </nc>
  </rcc>
  <rcc rId="53" sId="4">
    <nc r="I13">
      <v>42</v>
    </nc>
  </rcc>
  <rcc rId="54" sId="4">
    <nc r="L13">
      <v>65</v>
    </nc>
  </rcc>
  <rcc rId="55" sId="4">
    <nc r="R13" t="inlineStr">
      <is>
        <t xml:space="preserve">محاسب محمد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4">
    <nc r="H20">
      <v>815</v>
    </nc>
  </rcc>
  <rcc rId="57" sId="4">
    <nc r="E20">
      <v>551</v>
    </nc>
  </rcc>
  <rcc rId="58" sId="4">
    <nc r="N20">
      <v>4996</v>
    </nc>
  </rcc>
  <rcc rId="59" sId="4" numFmtId="4">
    <nc r="O20">
      <v>112</v>
    </nc>
  </rcc>
  <rcc rId="60" sId="4">
    <nc r="P20">
      <v>388</v>
    </nc>
  </rcc>
  <rcc rId="61" sId="4">
    <nc r="F20">
      <v>57</v>
    </nc>
  </rcc>
  <rcc rId="62" sId="4">
    <nc r="C20">
      <v>14</v>
    </nc>
  </rcc>
  <rcc rId="63" sId="4">
    <nc r="L20">
      <v>95</v>
    </nc>
  </rcc>
  <rcc rId="64" sId="4">
    <nc r="R20" t="inlineStr">
      <is>
        <t xml:space="preserve">جندي عبدالله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4">
    <nc r="E11">
      <v>5472</v>
    </nc>
  </rcc>
  <rcc rId="66" sId="4">
    <nc r="H11">
      <v>14198</v>
    </nc>
  </rcc>
  <rcc rId="67" sId="4">
    <nc r="N11">
      <v>18303</v>
    </nc>
  </rcc>
  <rcc rId="68" sId="4">
    <nc r="C11">
      <v>10</v>
    </nc>
  </rcc>
  <rcc rId="69" sId="4">
    <nc r="F11">
      <v>81</v>
    </nc>
  </rcc>
  <rcc rId="70" sId="4">
    <nc r="L11">
      <v>167</v>
    </nc>
  </rcc>
  <rcc rId="71" sId="4" numFmtId="4">
    <nc r="O11">
      <v>2500</v>
    </nc>
  </rcc>
  <rcc rId="72" sId="4">
    <nc r="R11" t="inlineStr">
      <is>
        <t>عميد هشام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6" sqref="A6:A7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1" t="s">
        <v>0</v>
      </c>
      <c r="B1" s="391"/>
      <c r="C1" s="391"/>
      <c r="D1" s="391"/>
      <c r="E1" s="391"/>
      <c r="X1" s="387"/>
      <c r="Y1" s="387"/>
    </row>
    <row r="2" spans="1:26" ht="15.75" x14ac:dyDescent="0.25">
      <c r="A2" s="391" t="s">
        <v>1</v>
      </c>
      <c r="B2" s="391"/>
      <c r="C2" s="391"/>
      <c r="D2" s="391"/>
      <c r="E2" s="391"/>
    </row>
    <row r="3" spans="1:26" ht="15.75" x14ac:dyDescent="0.25">
      <c r="A3" s="391" t="s">
        <v>2</v>
      </c>
      <c r="B3" s="391"/>
      <c r="C3" s="391"/>
      <c r="D3" s="391"/>
      <c r="E3" s="391"/>
    </row>
    <row r="5" spans="1:26" ht="18.75" thickBot="1" x14ac:dyDescent="0.3">
      <c r="G5" s="199"/>
      <c r="I5" s="390" t="s">
        <v>194</v>
      </c>
      <c r="J5" s="390"/>
      <c r="K5" s="390"/>
      <c r="L5" s="390"/>
      <c r="M5" s="390"/>
      <c r="N5" s="390"/>
      <c r="V5" s="200" t="s">
        <v>41</v>
      </c>
    </row>
    <row r="6" spans="1:26" ht="20.100000000000001" customHeight="1" thickBot="1" x14ac:dyDescent="0.25">
      <c r="A6" s="389" t="s">
        <v>14</v>
      </c>
      <c r="B6" s="389" t="s">
        <v>3</v>
      </c>
      <c r="C6" s="389" t="s">
        <v>4</v>
      </c>
      <c r="D6" s="389" t="s">
        <v>5</v>
      </c>
      <c r="E6" s="389"/>
      <c r="F6" s="389"/>
      <c r="G6" s="389"/>
      <c r="H6" s="389"/>
      <c r="I6" s="389" t="s">
        <v>4</v>
      </c>
      <c r="J6" s="389" t="s">
        <v>11</v>
      </c>
      <c r="K6" s="389"/>
      <c r="L6" s="389"/>
      <c r="M6" s="389"/>
      <c r="N6" s="389"/>
      <c r="O6" s="389" t="s">
        <v>4</v>
      </c>
      <c r="P6" s="389" t="s">
        <v>12</v>
      </c>
      <c r="Q6" s="389"/>
      <c r="R6" s="389"/>
      <c r="S6" s="389"/>
      <c r="T6" s="389"/>
      <c r="U6" s="389" t="s">
        <v>4</v>
      </c>
      <c r="V6" s="389" t="s">
        <v>13</v>
      </c>
      <c r="W6" s="389"/>
      <c r="X6" s="389"/>
      <c r="Y6" s="389"/>
      <c r="Z6" s="389"/>
    </row>
    <row r="7" spans="1:26" ht="20.100000000000001" customHeight="1" thickBot="1" x14ac:dyDescent="0.25">
      <c r="A7" s="389"/>
      <c r="B7" s="389"/>
      <c r="C7" s="389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89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89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89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75</v>
      </c>
      <c r="K8" s="221">
        <f>I8-J8</f>
        <v>15</v>
      </c>
      <c r="L8" s="335">
        <f>'أخذ التمام الصباحي'!G5</f>
        <v>0</v>
      </c>
      <c r="M8" s="335">
        <v>25</v>
      </c>
      <c r="N8" s="203">
        <f>J8/M8</f>
        <v>3</v>
      </c>
      <c r="O8" s="336">
        <v>30</v>
      </c>
      <c r="P8" s="335">
        <f>'أخذ التمام الصباحي'!I5</f>
        <v>24</v>
      </c>
      <c r="Q8" s="221">
        <f>O8-P8</f>
        <v>6</v>
      </c>
      <c r="R8" s="335">
        <f>'أخذ التمام الصباحي'!J5</f>
        <v>0</v>
      </c>
      <c r="S8" s="335">
        <v>8</v>
      </c>
      <c r="T8" s="203">
        <f>P8/S8</f>
        <v>3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38</v>
      </c>
      <c r="K9" s="221">
        <f>I9-J9</f>
        <v>52</v>
      </c>
      <c r="L9" s="355">
        <f>'أخذ التمام الصباحي'!G6</f>
        <v>51</v>
      </c>
      <c r="M9" s="335">
        <v>29</v>
      </c>
      <c r="N9" s="203">
        <f>J9/M9</f>
        <v>1.3103448275862069</v>
      </c>
      <c r="O9" s="336">
        <v>30</v>
      </c>
      <c r="P9" s="338">
        <f>'أخذ التمام الصباحي'!I6</f>
        <v>7</v>
      </c>
      <c r="Q9" s="221">
        <f>O9-P9</f>
        <v>23</v>
      </c>
      <c r="R9" s="338">
        <f>'أخذ التمام الصباحي'!J6</f>
        <v>17</v>
      </c>
      <c r="S9" s="335">
        <v>9</v>
      </c>
      <c r="T9" s="203">
        <f>P9/S9</f>
        <v>0.77777777777777779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52</v>
      </c>
      <c r="E10" s="221">
        <f t="shared" ref="E10:E23" si="0">C10-D10</f>
        <v>38</v>
      </c>
      <c r="F10" s="335">
        <f>'أخذ التمام الصباحي'!D7</f>
        <v>51</v>
      </c>
      <c r="G10" s="335">
        <v>36</v>
      </c>
      <c r="H10" s="204">
        <f t="shared" ref="H10:H23" si="1">D10/G10</f>
        <v>1.4444444444444444</v>
      </c>
      <c r="I10" s="336">
        <v>45</v>
      </c>
      <c r="J10" s="338">
        <f>'أخذ التمام الصباحي'!F7</f>
        <v>18</v>
      </c>
      <c r="K10" s="221">
        <f t="shared" ref="K10:K34" si="2">I10-J10</f>
        <v>27</v>
      </c>
      <c r="L10" s="355">
        <f>'أخذ التمام الصباحي'!G7</f>
        <v>34</v>
      </c>
      <c r="M10" s="335">
        <v>24</v>
      </c>
      <c r="N10" s="203">
        <f t="shared" ref="N10:N34" si="3">J10/M10</f>
        <v>0.75</v>
      </c>
      <c r="O10" s="336">
        <v>45</v>
      </c>
      <c r="P10" s="338">
        <f>'أخذ التمام الصباحي'!I7</f>
        <v>27</v>
      </c>
      <c r="Q10" s="221">
        <f t="shared" ref="Q10:Q34" si="4">O10-P10</f>
        <v>18</v>
      </c>
      <c r="R10" s="338">
        <f>'أخذ التمام الصباحي'!J7</f>
        <v>17</v>
      </c>
      <c r="S10" s="335">
        <v>4</v>
      </c>
      <c r="T10" s="203">
        <f t="shared" ref="T10:T34" si="5">P10/S10</f>
        <v>6.75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25</v>
      </c>
      <c r="E11" s="221">
        <f t="shared" si="0"/>
        <v>5</v>
      </c>
      <c r="F11" s="338">
        <f>'أخذ التمام الصباحي'!D8</f>
        <v>0</v>
      </c>
      <c r="G11" s="335">
        <v>5</v>
      </c>
      <c r="H11" s="204">
        <f t="shared" si="1"/>
        <v>5</v>
      </c>
      <c r="I11" s="336">
        <v>60</v>
      </c>
      <c r="J11" s="338">
        <f>'أخذ التمام الصباحي'!F8</f>
        <v>50</v>
      </c>
      <c r="K11" s="221">
        <f t="shared" si="2"/>
        <v>10</v>
      </c>
      <c r="L11" s="355">
        <f>'أخذ التمام الصباحي'!G8</f>
        <v>17</v>
      </c>
      <c r="M11" s="335">
        <v>25</v>
      </c>
      <c r="N11" s="203">
        <f t="shared" si="3"/>
        <v>2</v>
      </c>
      <c r="O11" s="336">
        <v>30</v>
      </c>
      <c r="P11" s="338">
        <f>'أخذ التمام الصباحي'!I8</f>
        <v>24</v>
      </c>
      <c r="Q11" s="221">
        <f t="shared" si="4"/>
        <v>6</v>
      </c>
      <c r="R11" s="338">
        <f>'أخذ التمام الصباحي'!J8</f>
        <v>0</v>
      </c>
      <c r="S11" s="335">
        <v>8</v>
      </c>
      <c r="T11" s="203">
        <f t="shared" si="5"/>
        <v>3</v>
      </c>
      <c r="U11" s="336">
        <v>180</v>
      </c>
      <c r="V11" s="335">
        <f>'أخذ التمام الصباحي'!L8</f>
        <v>178</v>
      </c>
      <c r="W11" s="221">
        <f t="shared" ref="W11:W29" si="6">U11-V11</f>
        <v>2</v>
      </c>
      <c r="X11" s="335">
        <f>'أخذ التمام الصباحي'!M8</f>
        <v>0</v>
      </c>
      <c r="Y11" s="335">
        <v>6</v>
      </c>
      <c r="Z11" s="203">
        <f>V11/Y11</f>
        <v>29.666666666666668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75</v>
      </c>
      <c r="K12" s="221">
        <f t="shared" si="2"/>
        <v>15</v>
      </c>
      <c r="L12" s="355">
        <f>'أخذ التمام الصباحي'!G9</f>
        <v>34</v>
      </c>
      <c r="M12" s="335">
        <v>42</v>
      </c>
      <c r="N12" s="203">
        <f t="shared" si="3"/>
        <v>1.7857142857142858</v>
      </c>
      <c r="O12" s="336">
        <v>30</v>
      </c>
      <c r="P12" s="338">
        <f>'أخذ التمام الصباحي'!I9</f>
        <v>25</v>
      </c>
      <c r="Q12" s="221">
        <f t="shared" si="4"/>
        <v>5</v>
      </c>
      <c r="R12" s="338">
        <f>'أخذ التمام الصباحي'!J9</f>
        <v>0</v>
      </c>
      <c r="S12" s="335">
        <v>12</v>
      </c>
      <c r="T12" s="203">
        <f t="shared" si="5"/>
        <v>2.0833333333333335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13</v>
      </c>
      <c r="E13" s="221">
        <f t="shared" si="0"/>
        <v>17</v>
      </c>
      <c r="F13" s="338">
        <f>'أخذ التمام الصباحي'!D10</f>
        <v>17</v>
      </c>
      <c r="G13" s="335">
        <v>4</v>
      </c>
      <c r="H13" s="204">
        <f t="shared" si="1"/>
        <v>3.25</v>
      </c>
      <c r="I13" s="336">
        <v>90</v>
      </c>
      <c r="J13" s="338">
        <f>'أخذ التمام الصباحي'!F10</f>
        <v>74</v>
      </c>
      <c r="K13" s="221">
        <f t="shared" si="2"/>
        <v>16</v>
      </c>
      <c r="L13" s="355">
        <f>'أخذ التمام الصباحي'!G10</f>
        <v>17</v>
      </c>
      <c r="M13" s="335">
        <v>27</v>
      </c>
      <c r="N13" s="203">
        <f t="shared" si="3"/>
        <v>2.7407407407407409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175</v>
      </c>
      <c r="W13" s="221">
        <f t="shared" si="6"/>
        <v>5</v>
      </c>
      <c r="X13" s="335">
        <f>'أخذ التمام الصباحي'!M10</f>
        <v>0</v>
      </c>
      <c r="Y13" s="335">
        <v>8</v>
      </c>
      <c r="Z13" s="203">
        <f t="shared" ref="Z13:Z29" si="7">V13/Y13</f>
        <v>21.875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10</v>
      </c>
      <c r="E14" s="221">
        <f t="shared" si="0"/>
        <v>20</v>
      </c>
      <c r="F14" s="338">
        <f>'أخذ التمام الصباحي'!D11</f>
        <v>17</v>
      </c>
      <c r="G14" s="335">
        <v>7</v>
      </c>
      <c r="H14" s="204">
        <f t="shared" si="1"/>
        <v>1.4285714285714286</v>
      </c>
      <c r="I14" s="336">
        <v>90</v>
      </c>
      <c r="J14" s="338">
        <f>'أخذ التمام الصباحي'!F11</f>
        <v>81</v>
      </c>
      <c r="K14" s="221">
        <f t="shared" si="2"/>
        <v>9</v>
      </c>
      <c r="L14" s="355">
        <f>'أخذ التمام الصباحي'!G11</f>
        <v>0</v>
      </c>
      <c r="M14" s="335">
        <v>22</v>
      </c>
      <c r="N14" s="203">
        <f t="shared" si="3"/>
        <v>3.6818181818181817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167</v>
      </c>
      <c r="W14" s="221">
        <f t="shared" si="6"/>
        <v>13</v>
      </c>
      <c r="X14" s="338">
        <f>'أخذ التمام الصباحي'!M11</f>
        <v>0</v>
      </c>
      <c r="Y14" s="335">
        <v>20</v>
      </c>
      <c r="Z14" s="203">
        <f t="shared" si="7"/>
        <v>8.35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160</v>
      </c>
      <c r="K15" s="221">
        <f t="shared" si="2"/>
        <v>20</v>
      </c>
      <c r="L15" s="355">
        <f>'أخذ التمام الصباحي'!G12</f>
        <v>0</v>
      </c>
      <c r="M15" s="335">
        <v>52</v>
      </c>
      <c r="N15" s="203">
        <f t="shared" si="3"/>
        <v>3.0769230769230771</v>
      </c>
      <c r="O15" s="336">
        <v>60</v>
      </c>
      <c r="P15" s="335">
        <f>'أخذ التمام الصباحي'!I12</f>
        <v>55</v>
      </c>
      <c r="Q15" s="221">
        <f t="shared" si="4"/>
        <v>5</v>
      </c>
      <c r="R15" s="335">
        <f>'أخذ التمام الصباحي'!J12</f>
        <v>0</v>
      </c>
      <c r="S15" s="335">
        <v>15</v>
      </c>
      <c r="T15" s="203">
        <f t="shared" si="5"/>
        <v>3.6666666666666665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170</v>
      </c>
      <c r="K16" s="221">
        <f t="shared" si="2"/>
        <v>10</v>
      </c>
      <c r="L16" s="355">
        <f>'أخذ التمام الصباحي'!G13</f>
        <v>34</v>
      </c>
      <c r="M16" s="335">
        <v>35</v>
      </c>
      <c r="N16" s="203">
        <f t="shared" si="3"/>
        <v>4.8571428571428568</v>
      </c>
      <c r="O16" s="336">
        <v>45</v>
      </c>
      <c r="P16" s="338">
        <f>'أخذ التمام الصباحي'!I13</f>
        <v>42</v>
      </c>
      <c r="Q16" s="221">
        <f t="shared" si="4"/>
        <v>3</v>
      </c>
      <c r="R16" s="338">
        <f>'أخذ التمام الصباحي'!J13</f>
        <v>17</v>
      </c>
      <c r="S16" s="335">
        <v>11</v>
      </c>
      <c r="T16" s="203">
        <f t="shared" si="5"/>
        <v>3.8181818181818183</v>
      </c>
      <c r="U16" s="336">
        <v>120</v>
      </c>
      <c r="V16" s="335">
        <f>'أخذ التمام الصباحي'!L13</f>
        <v>65</v>
      </c>
      <c r="W16" s="221">
        <f t="shared" si="6"/>
        <v>55</v>
      </c>
      <c r="X16" s="335">
        <f>'أخذ التمام الصباحي'!M13</f>
        <v>51</v>
      </c>
      <c r="Y16" s="335">
        <v>25</v>
      </c>
      <c r="Z16" s="203">
        <f t="shared" si="7"/>
        <v>2.6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83</v>
      </c>
      <c r="K17" s="221">
        <f t="shared" si="2"/>
        <v>7</v>
      </c>
      <c r="L17" s="355">
        <f>'أخذ التمام الصباحي'!G14</f>
        <v>0</v>
      </c>
      <c r="M17" s="335">
        <v>12</v>
      </c>
      <c r="N17" s="203">
        <f t="shared" si="3"/>
        <v>6.916666666666667</v>
      </c>
      <c r="O17" s="336">
        <v>30</v>
      </c>
      <c r="P17" s="338">
        <f>'أخذ التمام الصباحي'!I14</f>
        <v>24</v>
      </c>
      <c r="Q17" s="221">
        <f t="shared" si="4"/>
        <v>6</v>
      </c>
      <c r="R17" s="338">
        <f>'أخذ التمام الصباحي'!J14</f>
        <v>0</v>
      </c>
      <c r="S17" s="335">
        <v>6</v>
      </c>
      <c r="T17" s="203">
        <f>P17/S17</f>
        <v>4</v>
      </c>
      <c r="U17" s="336">
        <v>180</v>
      </c>
      <c r="V17" s="338">
        <f>'أخذ التمام الصباحي'!L14</f>
        <v>120</v>
      </c>
      <c r="W17" s="221">
        <f t="shared" si="6"/>
        <v>60</v>
      </c>
      <c r="X17" s="338">
        <f>'أخذ التمام الصباحي'!M14</f>
        <v>51</v>
      </c>
      <c r="Y17" s="335">
        <v>31</v>
      </c>
      <c r="Z17" s="203">
        <f t="shared" si="7"/>
        <v>3.870967741935484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80</v>
      </c>
      <c r="K18" s="221">
        <f t="shared" si="2"/>
        <v>10</v>
      </c>
      <c r="L18" s="355">
        <f>'أخذ التمام الصباحي'!G15</f>
        <v>34</v>
      </c>
      <c r="M18" s="335">
        <v>12</v>
      </c>
      <c r="N18" s="203">
        <f t="shared" si="3"/>
        <v>6.666666666666667</v>
      </c>
      <c r="O18" s="336">
        <v>30</v>
      </c>
      <c r="P18" s="338">
        <f>'أخذ التمام الصباحي'!I15</f>
        <v>14</v>
      </c>
      <c r="Q18" s="221">
        <f t="shared" si="4"/>
        <v>16</v>
      </c>
      <c r="R18" s="338">
        <f>'أخذ التمام الصباحي'!J15</f>
        <v>0</v>
      </c>
      <c r="S18" s="335">
        <v>4</v>
      </c>
      <c r="T18" s="203">
        <f t="shared" si="5"/>
        <v>3.5</v>
      </c>
      <c r="U18" s="336">
        <v>60</v>
      </c>
      <c r="V18" s="338">
        <f>'أخذ التمام الصباحي'!L15</f>
        <v>46</v>
      </c>
      <c r="W18" s="194">
        <f t="shared" si="6"/>
        <v>14</v>
      </c>
      <c r="X18" s="338">
        <f>'أخذ التمام الصباحي'!M15</f>
        <v>0</v>
      </c>
      <c r="Y18" s="335">
        <v>5</v>
      </c>
      <c r="Z18" s="335">
        <f t="shared" si="7"/>
        <v>9.1999999999999993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55</v>
      </c>
      <c r="K19" s="221">
        <f t="shared" si="2"/>
        <v>5</v>
      </c>
      <c r="L19" s="355">
        <f>'أخذ التمام الصباحي'!G16</f>
        <v>17</v>
      </c>
      <c r="M19" s="335">
        <v>5</v>
      </c>
      <c r="N19" s="203">
        <f t="shared" si="3"/>
        <v>11</v>
      </c>
      <c r="O19" s="336">
        <v>30</v>
      </c>
      <c r="P19" s="338">
        <f>'أخذ التمام الصباحي'!I16</f>
        <v>19</v>
      </c>
      <c r="Q19" s="221">
        <f t="shared" si="4"/>
        <v>11</v>
      </c>
      <c r="R19" s="338">
        <f>'أخذ التمام الصباحي'!J16</f>
        <v>0</v>
      </c>
      <c r="S19" s="335">
        <v>2</v>
      </c>
      <c r="T19" s="203">
        <f t="shared" si="5"/>
        <v>9.5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72</v>
      </c>
      <c r="K20" s="221">
        <f t="shared" si="2"/>
        <v>18</v>
      </c>
      <c r="L20" s="355">
        <f>'أخذ التمام الصباحي'!G17</f>
        <v>17</v>
      </c>
      <c r="M20" s="335">
        <v>4</v>
      </c>
      <c r="N20" s="203">
        <f t="shared" si="3"/>
        <v>18</v>
      </c>
      <c r="O20" s="336">
        <v>30</v>
      </c>
      <c r="P20" s="338">
        <f>'أخذ التمام الصباحي'!I17</f>
        <v>19</v>
      </c>
      <c r="Q20" s="221">
        <f t="shared" si="4"/>
        <v>11</v>
      </c>
      <c r="R20" s="338">
        <f>'أخذ التمام الصباحي'!J17</f>
        <v>0</v>
      </c>
      <c r="S20" s="335">
        <v>2</v>
      </c>
      <c r="T20" s="203">
        <f t="shared" si="5"/>
        <v>9.5</v>
      </c>
      <c r="U20" s="336">
        <v>180</v>
      </c>
      <c r="V20" s="335">
        <f>'أخذ التمام الصباحي'!L17</f>
        <v>143</v>
      </c>
      <c r="W20" s="221">
        <f t="shared" si="6"/>
        <v>37</v>
      </c>
      <c r="X20" s="335">
        <f>'أخذ التمام الصباحي'!M17</f>
        <v>34</v>
      </c>
      <c r="Y20" s="335">
        <v>7</v>
      </c>
      <c r="Z20" s="203">
        <f t="shared" si="7"/>
        <v>20.428571428571427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80</v>
      </c>
      <c r="K21" s="221">
        <f t="shared" si="2"/>
        <v>10</v>
      </c>
      <c r="L21" s="355">
        <f>'أخذ التمام الصباحي'!G18</f>
        <v>0</v>
      </c>
      <c r="M21" s="335">
        <v>34</v>
      </c>
      <c r="N21" s="203">
        <f t="shared" si="3"/>
        <v>2.3529411764705883</v>
      </c>
      <c r="O21" s="336">
        <v>30</v>
      </c>
      <c r="P21" s="338">
        <f>'أخذ التمام الصباحي'!I18</f>
        <v>24</v>
      </c>
      <c r="Q21" s="221">
        <f t="shared" si="4"/>
        <v>6</v>
      </c>
      <c r="R21" s="338">
        <f>'أخذ التمام الصباحي'!J18</f>
        <v>0</v>
      </c>
      <c r="S21" s="335">
        <v>13</v>
      </c>
      <c r="T21" s="203">
        <f t="shared" si="5"/>
        <v>1.8461538461538463</v>
      </c>
      <c r="U21" s="336">
        <v>180</v>
      </c>
      <c r="V21" s="338">
        <f>'أخذ التمام الصباحي'!L18</f>
        <v>144</v>
      </c>
      <c r="W21" s="221">
        <f t="shared" si="6"/>
        <v>36</v>
      </c>
      <c r="X21" s="338">
        <f>'أخذ التمام الصباحي'!M18</f>
        <v>0</v>
      </c>
      <c r="Y21" s="335">
        <v>22</v>
      </c>
      <c r="Z21" s="203">
        <f t="shared" si="7"/>
        <v>6.5454545454545459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64</v>
      </c>
      <c r="K22" s="221">
        <f t="shared" si="2"/>
        <v>26</v>
      </c>
      <c r="L22" s="355">
        <f>'أخذ التمام الصباحي'!G19</f>
        <v>0</v>
      </c>
      <c r="M22" s="335">
        <v>8</v>
      </c>
      <c r="N22" s="203">
        <f t="shared" si="3"/>
        <v>8</v>
      </c>
      <c r="O22" s="336">
        <v>30</v>
      </c>
      <c r="P22" s="338">
        <f>'أخذ التمام الصباحي'!I19</f>
        <v>25</v>
      </c>
      <c r="Q22" s="221">
        <f t="shared" si="4"/>
        <v>5</v>
      </c>
      <c r="R22" s="338">
        <f>'أخذ التمام الصباحي'!J19</f>
        <v>0</v>
      </c>
      <c r="S22" s="335">
        <v>2</v>
      </c>
      <c r="T22" s="203">
        <f t="shared" si="5"/>
        <v>12.5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14</v>
      </c>
      <c r="E23" s="194">
        <f t="shared" si="0"/>
        <v>16</v>
      </c>
      <c r="F23" s="194">
        <f>'أخذ التمام الصباحي'!D20</f>
        <v>0</v>
      </c>
      <c r="G23" s="194">
        <v>0.6</v>
      </c>
      <c r="H23" s="194">
        <f t="shared" si="1"/>
        <v>23.333333333333336</v>
      </c>
      <c r="I23" s="336">
        <v>60</v>
      </c>
      <c r="J23" s="338">
        <f>'أخذ التمام الصباحي'!F20</f>
        <v>57</v>
      </c>
      <c r="K23" s="221">
        <f t="shared" si="2"/>
        <v>3</v>
      </c>
      <c r="L23" s="355">
        <f>'أخذ التمام الصباحي'!G20</f>
        <v>0</v>
      </c>
      <c r="M23" s="335">
        <v>3</v>
      </c>
      <c r="N23" s="203">
        <f t="shared" si="3"/>
        <v>19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95</v>
      </c>
      <c r="W23" s="221">
        <f t="shared" si="6"/>
        <v>25</v>
      </c>
      <c r="X23" s="335">
        <f>'أخذ التمام الصباحي'!M20</f>
        <v>0</v>
      </c>
      <c r="Y23" s="335">
        <v>7</v>
      </c>
      <c r="Z23" s="203">
        <f t="shared" si="7"/>
        <v>13.571428571428571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44</v>
      </c>
      <c r="K24" s="221">
        <f t="shared" si="2"/>
        <v>16</v>
      </c>
      <c r="L24" s="355">
        <f>'أخذ التمام الصباحي'!G21</f>
        <v>0</v>
      </c>
      <c r="M24" s="335">
        <v>6</v>
      </c>
      <c r="N24" s="203">
        <f t="shared" si="3"/>
        <v>7.333333333333333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116</v>
      </c>
      <c r="W24" s="221">
        <f t="shared" si="6"/>
        <v>4</v>
      </c>
      <c r="X24" s="338">
        <f>'أخذ التمام الصباحي'!M21</f>
        <v>0</v>
      </c>
      <c r="Y24" s="335">
        <v>5</v>
      </c>
      <c r="Z24" s="203">
        <f t="shared" si="7"/>
        <v>23.2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63</v>
      </c>
      <c r="K25" s="221">
        <f t="shared" si="2"/>
        <v>27</v>
      </c>
      <c r="L25" s="355">
        <f>'أخذ التمام الصباحي'!G22</f>
        <v>17</v>
      </c>
      <c r="M25" s="335">
        <v>15</v>
      </c>
      <c r="N25" s="203">
        <f t="shared" si="3"/>
        <v>4.2</v>
      </c>
      <c r="O25" s="336">
        <v>30</v>
      </c>
      <c r="P25" s="335">
        <f>'أخذ التمام الصباحي'!I22</f>
        <v>29</v>
      </c>
      <c r="Q25" s="221">
        <f t="shared" si="4"/>
        <v>1</v>
      </c>
      <c r="R25" s="335">
        <f>'أخذ التمام الصباحي'!J22</f>
        <v>0</v>
      </c>
      <c r="S25" s="335">
        <v>3</v>
      </c>
      <c r="T25" s="203">
        <f t="shared" si="5"/>
        <v>9.6666666666666661</v>
      </c>
      <c r="U25" s="336">
        <v>180</v>
      </c>
      <c r="V25" s="338">
        <f>'أخذ التمام الصباحي'!L22</f>
        <v>144</v>
      </c>
      <c r="W25" s="221">
        <f t="shared" si="6"/>
        <v>36</v>
      </c>
      <c r="X25" s="338">
        <f>'أخذ التمام الصباحي'!M22</f>
        <v>34</v>
      </c>
      <c r="Y25" s="335">
        <v>43</v>
      </c>
      <c r="Z25" s="203">
        <f t="shared" si="7"/>
        <v>3.3488372093023258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72</v>
      </c>
      <c r="K26" s="221">
        <f t="shared" si="2"/>
        <v>18</v>
      </c>
      <c r="L26" s="355">
        <f>'أخذ التمام الصباحي'!G23</f>
        <v>17</v>
      </c>
      <c r="M26" s="335">
        <v>17</v>
      </c>
      <c r="N26" s="203">
        <f t="shared" si="3"/>
        <v>4.2352941176470589</v>
      </c>
      <c r="O26" s="336">
        <v>30</v>
      </c>
      <c r="P26" s="338">
        <f>'أخذ التمام الصباحي'!I23</f>
        <v>20</v>
      </c>
      <c r="Q26" s="221">
        <f t="shared" si="4"/>
        <v>10</v>
      </c>
      <c r="R26" s="338">
        <f>'أخذ التمام الصباحي'!J23</f>
        <v>0</v>
      </c>
      <c r="S26" s="335">
        <v>4</v>
      </c>
      <c r="T26" s="203">
        <f t="shared" si="5"/>
        <v>5</v>
      </c>
      <c r="U26" s="336">
        <v>180</v>
      </c>
      <c r="V26" s="338">
        <f>'أخذ التمام الصباحي'!L23</f>
        <v>146</v>
      </c>
      <c r="W26" s="221">
        <f t="shared" si="6"/>
        <v>34</v>
      </c>
      <c r="X26" s="338">
        <f>'أخذ التمام الصباحي'!M23</f>
        <v>34</v>
      </c>
      <c r="Y26" s="335">
        <v>40</v>
      </c>
      <c r="Z26" s="203">
        <f t="shared" si="7"/>
        <v>3.65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77</v>
      </c>
      <c r="K27" s="221">
        <f t="shared" si="2"/>
        <v>13</v>
      </c>
      <c r="L27" s="355">
        <f>'أخذ التمام الصباحي'!G24</f>
        <v>0</v>
      </c>
      <c r="M27" s="335">
        <v>12</v>
      </c>
      <c r="N27" s="203">
        <f t="shared" si="3"/>
        <v>6.416666666666667</v>
      </c>
      <c r="O27" s="336">
        <v>30</v>
      </c>
      <c r="P27" s="338">
        <f>'أخذ التمام الصباحي'!I24</f>
        <v>16</v>
      </c>
      <c r="Q27" s="221">
        <f t="shared" si="4"/>
        <v>14</v>
      </c>
      <c r="R27" s="338">
        <f>'أخذ التمام الصباحي'!J24</f>
        <v>0</v>
      </c>
      <c r="S27" s="335">
        <v>2</v>
      </c>
      <c r="T27" s="203">
        <f t="shared" si="5"/>
        <v>8</v>
      </c>
      <c r="U27" s="336">
        <v>180</v>
      </c>
      <c r="V27" s="338">
        <f>'أخذ التمام الصباحي'!L24</f>
        <v>155</v>
      </c>
      <c r="W27" s="221">
        <f t="shared" si="6"/>
        <v>25</v>
      </c>
      <c r="X27" s="338">
        <f>'أخذ التمام الصباحي'!M24</f>
        <v>0</v>
      </c>
      <c r="Y27" s="335">
        <v>22</v>
      </c>
      <c r="Z27" s="203">
        <f t="shared" si="7"/>
        <v>7.0454545454545459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73</v>
      </c>
      <c r="K28" s="221">
        <f t="shared" si="2"/>
        <v>17</v>
      </c>
      <c r="L28" s="355">
        <f>'أخذ التمام الصباحي'!G25</f>
        <v>0</v>
      </c>
      <c r="M28" s="335">
        <v>9</v>
      </c>
      <c r="N28" s="203">
        <f t="shared" si="3"/>
        <v>8.1111111111111107</v>
      </c>
      <c r="O28" s="336">
        <v>30</v>
      </c>
      <c r="P28" s="338">
        <f>'أخذ التمام الصباحي'!I25</f>
        <v>21</v>
      </c>
      <c r="Q28" s="221">
        <f t="shared" si="4"/>
        <v>9</v>
      </c>
      <c r="R28" s="338">
        <f>'أخذ التمام الصباحي'!J25</f>
        <v>0</v>
      </c>
      <c r="S28" s="335">
        <v>2</v>
      </c>
      <c r="T28" s="203">
        <f t="shared" si="5"/>
        <v>10.5</v>
      </c>
      <c r="U28" s="336">
        <v>180</v>
      </c>
      <c r="V28" s="338">
        <f>'أخذ التمام الصباحي'!L25</f>
        <v>120</v>
      </c>
      <c r="W28" s="221">
        <f t="shared" si="6"/>
        <v>60</v>
      </c>
      <c r="X28" s="338">
        <f>'أخذ التمام الصباحي'!M25</f>
        <v>51</v>
      </c>
      <c r="Y28" s="335">
        <v>19</v>
      </c>
      <c r="Z28" s="203">
        <f t="shared" si="7"/>
        <v>6.3157894736842106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74</v>
      </c>
      <c r="E29" s="194">
        <f t="shared" ref="E29:E35" si="8">C29-D29</f>
        <v>16</v>
      </c>
      <c r="F29" s="194">
        <f>'أخذ التمام الصباحي'!D26</f>
        <v>17</v>
      </c>
      <c r="G29" s="194">
        <v>5</v>
      </c>
      <c r="H29" s="194">
        <f t="shared" ref="H29:H35" si="9">D29/G29</f>
        <v>14.8</v>
      </c>
      <c r="I29" s="336">
        <v>45</v>
      </c>
      <c r="J29" s="338">
        <f>'أخذ التمام الصباحي'!F26</f>
        <v>28</v>
      </c>
      <c r="K29" s="221">
        <f t="shared" si="2"/>
        <v>17</v>
      </c>
      <c r="L29" s="355">
        <f>'أخذ التمام الصباحي'!G26</f>
        <v>17</v>
      </c>
      <c r="M29" s="335">
        <v>9</v>
      </c>
      <c r="N29" s="203">
        <f t="shared" si="3"/>
        <v>3.1111111111111112</v>
      </c>
      <c r="O29" s="336">
        <v>45</v>
      </c>
      <c r="P29" s="338">
        <f>'أخذ التمام الصباحي'!I26</f>
        <v>30</v>
      </c>
      <c r="Q29" s="221">
        <f t="shared" si="4"/>
        <v>15</v>
      </c>
      <c r="R29" s="338">
        <f>'أخذ التمام الصباحي'!J26</f>
        <v>0</v>
      </c>
      <c r="S29" s="335">
        <v>2</v>
      </c>
      <c r="T29" s="203">
        <f t="shared" si="5"/>
        <v>15</v>
      </c>
      <c r="U29" s="336">
        <v>180</v>
      </c>
      <c r="V29" s="338">
        <f>'أخذ التمام الصباحي'!L26</f>
        <v>170</v>
      </c>
      <c r="W29" s="221">
        <f t="shared" si="6"/>
        <v>10</v>
      </c>
      <c r="X29" s="338">
        <f>'أخذ التمام الصباحي'!M26</f>
        <v>17</v>
      </c>
      <c r="Y29" s="335">
        <v>16</v>
      </c>
      <c r="Z29" s="203">
        <f t="shared" si="7"/>
        <v>10.625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116</v>
      </c>
      <c r="K30" s="221">
        <f t="shared" si="2"/>
        <v>19</v>
      </c>
      <c r="L30" s="355">
        <f>'أخذ التمام الصباحي'!G27</f>
        <v>17</v>
      </c>
      <c r="M30" s="335">
        <v>6</v>
      </c>
      <c r="N30" s="203">
        <f t="shared" si="3"/>
        <v>19.333333333333332</v>
      </c>
      <c r="O30" s="336">
        <v>45</v>
      </c>
      <c r="P30" s="338">
        <f>'أخذ التمام الصباحي'!I27</f>
        <v>27</v>
      </c>
      <c r="Q30" s="221">
        <f t="shared" si="4"/>
        <v>18</v>
      </c>
      <c r="R30" s="338">
        <f>'أخذ التمام الصباحي'!J27</f>
        <v>17</v>
      </c>
      <c r="S30" s="335">
        <v>2</v>
      </c>
      <c r="T30" s="203">
        <f t="shared" si="5"/>
        <v>13.5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160</v>
      </c>
      <c r="K31" s="221">
        <f t="shared" si="2"/>
        <v>20</v>
      </c>
      <c r="L31" s="355">
        <f>'أخذ التمام الصباحي'!G28</f>
        <v>17</v>
      </c>
      <c r="M31" s="339">
        <v>27</v>
      </c>
      <c r="N31" s="203">
        <f t="shared" si="3"/>
        <v>5.9259259259259256</v>
      </c>
      <c r="O31" s="336">
        <v>90</v>
      </c>
      <c r="P31" s="338">
        <f>'أخذ التمام الصباحي'!I28</f>
        <v>81</v>
      </c>
      <c r="Q31" s="221">
        <f t="shared" si="4"/>
        <v>9</v>
      </c>
      <c r="R31" s="338">
        <f>'أخذ التمام الصباحي'!J28</f>
        <v>0</v>
      </c>
      <c r="S31" s="339">
        <v>10</v>
      </c>
      <c r="T31" s="203">
        <f t="shared" si="5"/>
        <v>8.1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160</v>
      </c>
      <c r="K32" s="221">
        <f t="shared" si="2"/>
        <v>20</v>
      </c>
      <c r="L32" s="355">
        <f>'أخذ التمام الصباحي'!G29</f>
        <v>68</v>
      </c>
      <c r="M32" s="339">
        <v>27</v>
      </c>
      <c r="N32" s="203">
        <f t="shared" si="3"/>
        <v>5.9259259259259256</v>
      </c>
      <c r="O32" s="336">
        <v>90</v>
      </c>
      <c r="P32" s="338">
        <f>'أخذ التمام الصباحي'!I29</f>
        <v>82</v>
      </c>
      <c r="Q32" s="221">
        <f t="shared" si="4"/>
        <v>8</v>
      </c>
      <c r="R32" s="338">
        <f>'أخذ التمام الصباحي'!J29</f>
        <v>17</v>
      </c>
      <c r="S32" s="339">
        <v>9</v>
      </c>
      <c r="T32" s="203">
        <f t="shared" si="5"/>
        <v>9.1111111111111107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150</v>
      </c>
      <c r="K33" s="221">
        <f t="shared" si="2"/>
        <v>30</v>
      </c>
      <c r="L33" s="355">
        <f>'أخذ التمام الصباحي'!G30</f>
        <v>68</v>
      </c>
      <c r="M33" s="339">
        <v>33</v>
      </c>
      <c r="N33" s="203">
        <f t="shared" si="3"/>
        <v>4.5454545454545459</v>
      </c>
      <c r="O33" s="336">
        <v>90</v>
      </c>
      <c r="P33" s="338">
        <f>'أخذ التمام الصباحي'!I30</f>
        <v>78</v>
      </c>
      <c r="Q33" s="221">
        <f t="shared" si="4"/>
        <v>12</v>
      </c>
      <c r="R33" s="338">
        <f>'أخذ التمام الصباحي'!J30</f>
        <v>34</v>
      </c>
      <c r="S33" s="339">
        <v>8</v>
      </c>
      <c r="T33" s="203">
        <f t="shared" si="5"/>
        <v>9.75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126</v>
      </c>
      <c r="K34" s="221">
        <f t="shared" si="2"/>
        <v>54</v>
      </c>
      <c r="L34" s="355">
        <f>'أخذ التمام الصباحي'!G31</f>
        <v>85</v>
      </c>
      <c r="M34" s="339">
        <v>52</v>
      </c>
      <c r="N34" s="203">
        <f t="shared" si="3"/>
        <v>2.4230769230769229</v>
      </c>
      <c r="O34" s="336">
        <v>90</v>
      </c>
      <c r="P34" s="338">
        <f>'أخذ التمام الصباحي'!I31</f>
        <v>70</v>
      </c>
      <c r="Q34" s="221">
        <f t="shared" si="4"/>
        <v>20</v>
      </c>
      <c r="R34" s="338">
        <f>'أخذ التمام الصباحي'!J31</f>
        <v>17</v>
      </c>
      <c r="S34" s="339">
        <v>11</v>
      </c>
      <c r="T34" s="203">
        <f t="shared" si="5"/>
        <v>6.3636363636363633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84">
        <v>90</v>
      </c>
      <c r="D35" s="194">
        <f>'أخذ التمام الصباحي'!C32</f>
        <v>0</v>
      </c>
      <c r="E35" s="194">
        <f t="shared" si="8"/>
        <v>90</v>
      </c>
      <c r="F35" s="194">
        <f>'أخذ التمام الصباحي'!D32</f>
        <v>0</v>
      </c>
      <c r="G35" s="194">
        <v>20</v>
      </c>
      <c r="H35" s="194">
        <f t="shared" si="9"/>
        <v>0</v>
      </c>
      <c r="I35" s="357">
        <v>135</v>
      </c>
      <c r="J35" s="356">
        <f>'أخذ التمام الصباحي'!F32</f>
        <v>0</v>
      </c>
      <c r="K35" s="221">
        <f t="shared" ref="K35:K38" si="10">I35-J35</f>
        <v>135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45</v>
      </c>
      <c r="P35" s="356">
        <f>'أخذ التمام الصباحي'!I32</f>
        <v>0</v>
      </c>
      <c r="Q35" s="221">
        <f t="shared" ref="Q35:Q38" si="12">O35-P35</f>
        <v>45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401" t="s">
        <v>34</v>
      </c>
      <c r="B39" s="401"/>
      <c r="C39" s="206">
        <f>SUM(C8:C38)</f>
        <v>390</v>
      </c>
      <c r="D39" s="206">
        <f t="shared" ref="D39:Z39" si="16">SUM(D8:D38)</f>
        <v>188</v>
      </c>
      <c r="E39" s="206">
        <f t="shared" si="16"/>
        <v>202</v>
      </c>
      <c r="F39" s="206">
        <f t="shared" si="16"/>
        <v>102</v>
      </c>
      <c r="G39" s="206">
        <f t="shared" si="16"/>
        <v>77.599999999999994</v>
      </c>
      <c r="H39" s="206">
        <f t="shared" si="16"/>
        <v>49.256349206349213</v>
      </c>
      <c r="I39" s="206">
        <f t="shared" si="16"/>
        <v>3480</v>
      </c>
      <c r="J39" s="206">
        <f t="shared" si="16"/>
        <v>2301</v>
      </c>
      <c r="K39" s="206">
        <f t="shared" si="16"/>
        <v>1179</v>
      </c>
      <c r="L39" s="206">
        <f t="shared" si="16"/>
        <v>561</v>
      </c>
      <c r="M39" s="206">
        <f t="shared" si="16"/>
        <v>684</v>
      </c>
      <c r="N39" s="206">
        <f t="shared" si="16"/>
        <v>166.70019147331521</v>
      </c>
      <c r="O39" s="206">
        <f t="shared" si="16"/>
        <v>1335</v>
      </c>
      <c r="P39" s="206">
        <f t="shared" si="16"/>
        <v>783</v>
      </c>
      <c r="Q39" s="206">
        <f t="shared" si="16"/>
        <v>552</v>
      </c>
      <c r="R39" s="206">
        <f t="shared" si="16"/>
        <v>136</v>
      </c>
      <c r="S39" s="206">
        <f t="shared" si="16"/>
        <v>174</v>
      </c>
      <c r="T39" s="206">
        <f t="shared" si="16"/>
        <v>158.93352758352759</v>
      </c>
      <c r="U39" s="206">
        <f t="shared" si="16"/>
        <v>2520</v>
      </c>
      <c r="V39" s="206">
        <f t="shared" si="16"/>
        <v>1984</v>
      </c>
      <c r="W39" s="206">
        <f t="shared" si="16"/>
        <v>536</v>
      </c>
      <c r="X39" s="206">
        <f t="shared" si="16"/>
        <v>272</v>
      </c>
      <c r="Y39" s="206">
        <f t="shared" si="16"/>
        <v>306</v>
      </c>
      <c r="Z39" s="206">
        <f t="shared" si="16"/>
        <v>170.29317018249779</v>
      </c>
    </row>
    <row r="40" spans="1:26" ht="20.100000000000001" customHeight="1" thickBot="1" x14ac:dyDescent="0.25">
      <c r="A40" s="388" t="s">
        <v>35</v>
      </c>
      <c r="B40" s="388"/>
      <c r="C40" s="392">
        <f>C39+I39+O39+U39</f>
        <v>7725</v>
      </c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4"/>
    </row>
    <row r="41" spans="1:26" ht="20.100000000000001" customHeight="1" thickBot="1" x14ac:dyDescent="0.25">
      <c r="A41" s="388" t="s">
        <v>36</v>
      </c>
      <c r="B41" s="388"/>
      <c r="C41" s="392">
        <f>D39+J39+P39+V39</f>
        <v>5256</v>
      </c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/>
      <c r="S41" s="393"/>
      <c r="T41" s="393"/>
      <c r="U41" s="393"/>
      <c r="V41" s="393"/>
      <c r="W41" s="393"/>
      <c r="X41" s="393"/>
      <c r="Y41" s="393"/>
      <c r="Z41" s="394"/>
    </row>
    <row r="42" spans="1:26" ht="20.100000000000001" customHeight="1" thickBot="1" x14ac:dyDescent="0.25">
      <c r="A42" s="388" t="s">
        <v>37</v>
      </c>
      <c r="B42" s="388"/>
      <c r="C42" s="392">
        <f>E39+K39+Q39+W39</f>
        <v>2469</v>
      </c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4"/>
    </row>
    <row r="43" spans="1:26" ht="20.100000000000001" customHeight="1" thickBot="1" x14ac:dyDescent="0.25">
      <c r="A43" s="388" t="s">
        <v>38</v>
      </c>
      <c r="B43" s="388"/>
      <c r="C43" s="395">
        <f>C41/C40</f>
        <v>0.68038834951456306</v>
      </c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7"/>
    </row>
    <row r="44" spans="1:26" ht="20.100000000000001" customHeight="1" thickBot="1" x14ac:dyDescent="0.25">
      <c r="A44" s="388" t="s">
        <v>39</v>
      </c>
      <c r="B44" s="388"/>
      <c r="C44" s="392">
        <f>F39+L39+R39+X39</f>
        <v>1071</v>
      </c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4"/>
    </row>
    <row r="45" spans="1:26" ht="15.75" thickBot="1" x14ac:dyDescent="0.25">
      <c r="A45" s="388" t="s">
        <v>40</v>
      </c>
      <c r="B45" s="388"/>
      <c r="C45" s="398">
        <f>C44/'التمام الصباحي'!$C$41:$Z$41</f>
        <v>0.20376712328767124</v>
      </c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0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1"/>
    </customSheetView>
    <customSheetView guid="{18C0F7AC-4BB1-46DE-8A01-8E31FE0585FC}" scale="70" fitToPage="1">
      <pane xSplit="2" ySplit="7" topLeftCell="C12" activePane="bottomRight" state="frozen"/>
      <selection pane="bottomRight" activeCell="E39" sqref="E39"/>
      <pageMargins left="0.25" right="0.25" top="0.75" bottom="0.75" header="0.3" footer="0.3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1" t="s">
        <v>0</v>
      </c>
      <c r="B1" s="391"/>
      <c r="C1" s="391"/>
      <c r="D1" s="391"/>
      <c r="E1" s="391"/>
      <c r="X1" s="387"/>
      <c r="Y1" s="387"/>
    </row>
    <row r="2" spans="1:25" ht="15.75" x14ac:dyDescent="0.25">
      <c r="A2" s="391" t="s">
        <v>1</v>
      </c>
      <c r="B2" s="391"/>
      <c r="C2" s="391"/>
      <c r="D2" s="391"/>
      <c r="E2" s="391"/>
    </row>
    <row r="3" spans="1:25" ht="15.75" x14ac:dyDescent="0.25">
      <c r="A3" s="391" t="s">
        <v>2</v>
      </c>
      <c r="B3" s="391"/>
      <c r="C3" s="391"/>
      <c r="D3" s="391"/>
      <c r="E3" s="391"/>
    </row>
    <row r="5" spans="1:25" ht="36.75" customHeight="1" thickBot="1" x14ac:dyDescent="0.3">
      <c r="G5" s="199"/>
      <c r="H5" s="390" t="s">
        <v>161</v>
      </c>
      <c r="I5" s="390"/>
      <c r="J5" s="390"/>
      <c r="K5" s="390"/>
      <c r="L5" s="390"/>
      <c r="M5" s="390"/>
      <c r="N5" s="390"/>
      <c r="O5" s="390"/>
      <c r="T5" s="200" t="s">
        <v>41</v>
      </c>
    </row>
    <row r="6" spans="1:25" ht="20.100000000000001" customHeight="1" thickBot="1" x14ac:dyDescent="0.25">
      <c r="A6" s="389" t="s">
        <v>14</v>
      </c>
      <c r="B6" s="389" t="s">
        <v>3</v>
      </c>
      <c r="C6" s="389" t="s">
        <v>4</v>
      </c>
      <c r="D6" s="534" t="s">
        <v>5</v>
      </c>
      <c r="E6" s="535"/>
      <c r="F6" s="535"/>
      <c r="G6" s="536"/>
      <c r="H6" s="389" t="s">
        <v>4</v>
      </c>
      <c r="I6" s="534" t="s">
        <v>11</v>
      </c>
      <c r="J6" s="535"/>
      <c r="K6" s="535"/>
      <c r="L6" s="536"/>
      <c r="M6" s="389" t="s">
        <v>4</v>
      </c>
      <c r="N6" s="534" t="s">
        <v>12</v>
      </c>
      <c r="O6" s="535"/>
      <c r="P6" s="535"/>
      <c r="Q6" s="536"/>
      <c r="R6" s="389" t="s">
        <v>4</v>
      </c>
      <c r="S6" s="534" t="s">
        <v>13</v>
      </c>
      <c r="T6" s="535"/>
      <c r="U6" s="535"/>
      <c r="V6" s="536"/>
    </row>
    <row r="7" spans="1:25" ht="20.100000000000001" customHeight="1" thickBot="1" x14ac:dyDescent="0.25">
      <c r="A7" s="389"/>
      <c r="B7" s="389"/>
      <c r="C7" s="389"/>
      <c r="D7" s="201" t="s">
        <v>6</v>
      </c>
      <c r="E7" s="201" t="s">
        <v>7</v>
      </c>
      <c r="F7" s="201" t="s">
        <v>9</v>
      </c>
      <c r="G7" s="201" t="s">
        <v>10</v>
      </c>
      <c r="H7" s="389"/>
      <c r="I7" s="201" t="s">
        <v>6</v>
      </c>
      <c r="J7" s="201" t="s">
        <v>7</v>
      </c>
      <c r="K7" s="201" t="s">
        <v>9</v>
      </c>
      <c r="L7" s="201" t="s">
        <v>10</v>
      </c>
      <c r="M7" s="389"/>
      <c r="N7" s="201" t="s">
        <v>6</v>
      </c>
      <c r="O7" s="201" t="s">
        <v>7</v>
      </c>
      <c r="P7" s="201" t="s">
        <v>9</v>
      </c>
      <c r="Q7" s="201" t="s">
        <v>10</v>
      </c>
      <c r="R7" s="38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401" t="s">
        <v>34</v>
      </c>
      <c r="B28" s="401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8" t="s">
        <v>35</v>
      </c>
      <c r="B29" s="388"/>
      <c r="C29" s="392">
        <f>C28+H28+M28+R28</f>
        <v>4605</v>
      </c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4"/>
    </row>
    <row r="30" spans="1:26" ht="20.100000000000001" customHeight="1" thickBot="1" x14ac:dyDescent="0.25">
      <c r="A30" s="388" t="s">
        <v>36</v>
      </c>
      <c r="B30" s="388"/>
      <c r="C30" s="392">
        <f>D28+I28+N28+S28</f>
        <v>4605</v>
      </c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3"/>
      <c r="U30" s="393"/>
      <c r="V30" s="394"/>
    </row>
    <row r="31" spans="1:26" ht="20.100000000000001" customHeight="1" thickBot="1" x14ac:dyDescent="0.25">
      <c r="A31" s="388" t="s">
        <v>37</v>
      </c>
      <c r="B31" s="388"/>
      <c r="C31" s="392">
        <f>E28+J28+O28+T28</f>
        <v>0</v>
      </c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3"/>
      <c r="T31" s="393"/>
      <c r="U31" s="393"/>
      <c r="V31" s="394"/>
    </row>
    <row r="32" spans="1:26" ht="15.75" thickBot="1" x14ac:dyDescent="0.25">
      <c r="A32" s="388" t="s">
        <v>38</v>
      </c>
      <c r="B32" s="388"/>
      <c r="C32" s="395">
        <f>C30/C29</f>
        <v>1</v>
      </c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7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1" t="s">
        <v>0</v>
      </c>
      <c r="B1" s="391"/>
      <c r="C1" s="391"/>
      <c r="D1" s="391"/>
      <c r="E1" s="391"/>
      <c r="X1" s="387"/>
      <c r="Y1" s="387"/>
    </row>
    <row r="2" spans="1:25" ht="15.75" x14ac:dyDescent="0.25">
      <c r="A2" s="391" t="s">
        <v>1</v>
      </c>
      <c r="B2" s="391"/>
      <c r="C2" s="391"/>
      <c r="D2" s="391"/>
      <c r="E2" s="391"/>
    </row>
    <row r="3" spans="1:25" ht="15.75" x14ac:dyDescent="0.25">
      <c r="A3" s="391" t="s">
        <v>2</v>
      </c>
      <c r="B3" s="391"/>
      <c r="C3" s="391"/>
      <c r="D3" s="391"/>
      <c r="E3" s="391"/>
    </row>
    <row r="5" spans="1:25" ht="32.25" customHeight="1" thickBot="1" x14ac:dyDescent="0.3">
      <c r="G5" s="199"/>
      <c r="H5" s="390" t="s">
        <v>162</v>
      </c>
      <c r="I5" s="390"/>
      <c r="J5" s="390"/>
      <c r="K5" s="390"/>
      <c r="L5" s="390"/>
      <c r="M5" s="390"/>
      <c r="N5" s="390"/>
      <c r="O5" s="390"/>
      <c r="T5" s="200" t="s">
        <v>41</v>
      </c>
    </row>
    <row r="6" spans="1:25" ht="20.100000000000001" customHeight="1" thickBot="1" x14ac:dyDescent="0.25">
      <c r="A6" s="389" t="s">
        <v>14</v>
      </c>
      <c r="B6" s="389" t="s">
        <v>3</v>
      </c>
      <c r="C6" s="389" t="s">
        <v>4</v>
      </c>
      <c r="D6" s="534" t="s">
        <v>5</v>
      </c>
      <c r="E6" s="535"/>
      <c r="F6" s="535"/>
      <c r="G6" s="536"/>
      <c r="H6" s="389" t="s">
        <v>4</v>
      </c>
      <c r="I6" s="534" t="s">
        <v>11</v>
      </c>
      <c r="J6" s="535"/>
      <c r="K6" s="535"/>
      <c r="L6" s="536"/>
      <c r="M6" s="389" t="s">
        <v>4</v>
      </c>
      <c r="N6" s="534" t="s">
        <v>12</v>
      </c>
      <c r="O6" s="535"/>
      <c r="P6" s="535"/>
      <c r="Q6" s="536"/>
      <c r="R6" s="389" t="s">
        <v>4</v>
      </c>
      <c r="S6" s="534" t="s">
        <v>13</v>
      </c>
      <c r="T6" s="535"/>
      <c r="U6" s="535"/>
      <c r="V6" s="536"/>
    </row>
    <row r="7" spans="1:25" ht="20.100000000000001" customHeight="1" thickBot="1" x14ac:dyDescent="0.25">
      <c r="A7" s="389"/>
      <c r="B7" s="389"/>
      <c r="C7" s="389"/>
      <c r="D7" s="201" t="s">
        <v>6</v>
      </c>
      <c r="E7" s="201" t="s">
        <v>7</v>
      </c>
      <c r="F7" s="201" t="s">
        <v>9</v>
      </c>
      <c r="G7" s="201" t="s">
        <v>10</v>
      </c>
      <c r="H7" s="389"/>
      <c r="I7" s="201" t="s">
        <v>6</v>
      </c>
      <c r="J7" s="201" t="s">
        <v>7</v>
      </c>
      <c r="K7" s="201" t="s">
        <v>9</v>
      </c>
      <c r="L7" s="201" t="s">
        <v>10</v>
      </c>
      <c r="M7" s="389"/>
      <c r="N7" s="201" t="s">
        <v>6</v>
      </c>
      <c r="O7" s="201" t="s">
        <v>7</v>
      </c>
      <c r="P7" s="201" t="s">
        <v>9</v>
      </c>
      <c r="Q7" s="201" t="s">
        <v>10</v>
      </c>
      <c r="R7" s="38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50</v>
      </c>
      <c r="J8" s="221">
        <f>'خطة الإمداد'!F32</f>
        <v>40</v>
      </c>
      <c r="K8" s="261">
        <v>19</v>
      </c>
      <c r="L8" s="203">
        <f>I8/K8</f>
        <v>2.6315789473684212</v>
      </c>
      <c r="M8" s="262">
        <v>30</v>
      </c>
      <c r="N8" s="261">
        <f>M8-O8</f>
        <v>16</v>
      </c>
      <c r="O8" s="221">
        <f>'خطة الإمداد'!G32</f>
        <v>14</v>
      </c>
      <c r="P8" s="261">
        <v>5</v>
      </c>
      <c r="Q8" s="203">
        <f>N8/P8</f>
        <v>3.2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20</v>
      </c>
      <c r="E10" s="261">
        <f>'خطة الإمداد'!E35</f>
        <v>10</v>
      </c>
      <c r="F10" s="261">
        <v>4</v>
      </c>
      <c r="G10" s="204">
        <f>D10/F10</f>
        <v>5</v>
      </c>
      <c r="H10" s="262">
        <v>60</v>
      </c>
      <c r="I10" s="261">
        <f t="shared" ref="I10:I27" si="1">H10-J10</f>
        <v>25</v>
      </c>
      <c r="J10" s="221">
        <f>'خطة الإمداد'!F35</f>
        <v>35</v>
      </c>
      <c r="K10" s="261">
        <v>21</v>
      </c>
      <c r="L10" s="203">
        <f t="shared" ref="L10:L21" si="2">I10/K10</f>
        <v>1.1904761904761905</v>
      </c>
      <c r="M10" s="262">
        <v>30</v>
      </c>
      <c r="N10" s="261">
        <f t="shared" ref="N10:N27" si="3">M10-O10</f>
        <v>16</v>
      </c>
      <c r="O10" s="221">
        <f>'خطة الإمداد'!G35</f>
        <v>14</v>
      </c>
      <c r="P10" s="261">
        <v>5</v>
      </c>
      <c r="Q10" s="203">
        <f>N10/P10</f>
        <v>3.2</v>
      </c>
      <c r="R10" s="262">
        <v>180</v>
      </c>
      <c r="S10" s="221">
        <f t="shared" ref="S10:S27" si="4">R10-T10</f>
        <v>172</v>
      </c>
      <c r="T10" s="261">
        <f>'خطة الإمداد'!H35</f>
        <v>8</v>
      </c>
      <c r="U10" s="261">
        <v>3</v>
      </c>
      <c r="V10" s="203">
        <f>S10/U10</f>
        <v>57.333333333333336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3</v>
      </c>
      <c r="J11" s="221">
        <f>'خطة الإمداد'!F36</f>
        <v>57</v>
      </c>
      <c r="K11" s="261">
        <v>34</v>
      </c>
      <c r="L11" s="203">
        <f t="shared" si="2"/>
        <v>8.8235294117647065E-2</v>
      </c>
      <c r="M11" s="262">
        <v>30</v>
      </c>
      <c r="N11" s="261">
        <f t="shared" si="3"/>
        <v>13</v>
      </c>
      <c r="O11" s="221">
        <f>'خطة الإمداد'!G36</f>
        <v>17</v>
      </c>
      <c r="P11" s="261">
        <v>8</v>
      </c>
      <c r="Q11" s="203">
        <f>N11/P11</f>
        <v>1.625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9</v>
      </c>
      <c r="E12" s="261">
        <f>'خطة الإمداد'!E37</f>
        <v>21</v>
      </c>
      <c r="F12" s="261">
        <v>4</v>
      </c>
      <c r="G12" s="204">
        <f>D12/F12</f>
        <v>2.25</v>
      </c>
      <c r="H12" s="262">
        <v>90</v>
      </c>
      <c r="I12" s="261">
        <f t="shared" si="1"/>
        <v>47</v>
      </c>
      <c r="J12" s="221">
        <f>'خطة الإمداد'!F37</f>
        <v>43</v>
      </c>
      <c r="K12" s="261">
        <v>19</v>
      </c>
      <c r="L12" s="203">
        <f t="shared" si="2"/>
        <v>2.4736842105263159</v>
      </c>
      <c r="M12" s="263"/>
      <c r="N12" s="263"/>
      <c r="O12" s="263"/>
      <c r="P12" s="263"/>
      <c r="Q12" s="205"/>
      <c r="R12" s="262">
        <v>180</v>
      </c>
      <c r="S12" s="221">
        <f t="shared" si="4"/>
        <v>167</v>
      </c>
      <c r="T12" s="261">
        <f>'خطة الإمداد'!H37</f>
        <v>13</v>
      </c>
      <c r="U12" s="261">
        <v>8</v>
      </c>
      <c r="V12" s="203">
        <f>S12/U12</f>
        <v>20.875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</v>
      </c>
      <c r="E13" s="261">
        <f>'خطة الإمداد'!E38</f>
        <v>27</v>
      </c>
      <c r="F13" s="261">
        <v>4</v>
      </c>
      <c r="G13" s="204">
        <f>D13/F13</f>
        <v>0.75</v>
      </c>
      <c r="H13" s="262">
        <v>90</v>
      </c>
      <c r="I13" s="261">
        <f t="shared" si="1"/>
        <v>59</v>
      </c>
      <c r="J13" s="221">
        <f>'خطة الإمداد'!F38</f>
        <v>31</v>
      </c>
      <c r="K13" s="261">
        <v>16</v>
      </c>
      <c r="L13" s="203">
        <f t="shared" si="2"/>
        <v>3.6875</v>
      </c>
      <c r="M13" s="263"/>
      <c r="N13" s="263"/>
      <c r="O13" s="263"/>
      <c r="P13" s="263"/>
      <c r="Q13" s="205"/>
      <c r="R13" s="262">
        <v>180</v>
      </c>
      <c r="S13" s="221">
        <f t="shared" si="4"/>
        <v>147</v>
      </c>
      <c r="T13" s="261">
        <f>'خطة الإمداد'!H38</f>
        <v>33</v>
      </c>
      <c r="U13" s="261">
        <v>19</v>
      </c>
      <c r="V13" s="203">
        <f>S13/U13</f>
        <v>7.7368421052631575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108</v>
      </c>
      <c r="J14" s="221">
        <f>'خطة الإمداد'!F39</f>
        <v>72</v>
      </c>
      <c r="K14" s="261">
        <v>39</v>
      </c>
      <c r="L14" s="203">
        <f t="shared" si="2"/>
        <v>2.7692307692307692</v>
      </c>
      <c r="M14" s="262">
        <v>60</v>
      </c>
      <c r="N14" s="261">
        <f t="shared" si="3"/>
        <v>40</v>
      </c>
      <c r="O14" s="221">
        <f>'خطة الإمداد'!G39</f>
        <v>20</v>
      </c>
      <c r="P14" s="261">
        <v>7</v>
      </c>
      <c r="Q14" s="203">
        <f t="shared" ref="Q14:Q21" si="5">N14/P14</f>
        <v>5.7142857142857144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135</v>
      </c>
      <c r="J15" s="221">
        <f>'خطة الإمداد'!F40</f>
        <v>45</v>
      </c>
      <c r="K15" s="261">
        <v>36</v>
      </c>
      <c r="L15" s="203">
        <f t="shared" si="2"/>
        <v>3.75</v>
      </c>
      <c r="M15" s="262">
        <v>45</v>
      </c>
      <c r="N15" s="261">
        <f t="shared" si="3"/>
        <v>31</v>
      </c>
      <c r="O15" s="221">
        <f>'خطة الإمداد'!G40</f>
        <v>14</v>
      </c>
      <c r="P15" s="261">
        <v>8</v>
      </c>
      <c r="Q15" s="203">
        <f t="shared" si="5"/>
        <v>3.875</v>
      </c>
      <c r="R15" s="262">
        <v>120</v>
      </c>
      <c r="S15" s="221">
        <f t="shared" si="4"/>
        <v>40</v>
      </c>
      <c r="T15" s="261">
        <f>'خطة الإمداد'!H40</f>
        <v>80</v>
      </c>
      <c r="U15" s="261">
        <v>26</v>
      </c>
      <c r="V15" s="203">
        <f>S15/U15</f>
        <v>1.5384615384615385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71</v>
      </c>
      <c r="J16" s="221">
        <f>'خطة الإمداد'!F41</f>
        <v>19</v>
      </c>
      <c r="K16" s="261">
        <v>6</v>
      </c>
      <c r="L16" s="203">
        <f t="shared" si="2"/>
        <v>11.833333333333334</v>
      </c>
      <c r="M16" s="262">
        <v>30</v>
      </c>
      <c r="N16" s="261">
        <f t="shared" si="3"/>
        <v>18</v>
      </c>
      <c r="O16" s="221">
        <f>'خطة الإمداد'!G41</f>
        <v>12</v>
      </c>
      <c r="P16" s="261">
        <v>2</v>
      </c>
      <c r="Q16" s="203">
        <f t="shared" si="5"/>
        <v>9</v>
      </c>
      <c r="R16" s="262">
        <v>180</v>
      </c>
      <c r="S16" s="221">
        <f t="shared" si="4"/>
        <v>89</v>
      </c>
      <c r="T16" s="261">
        <f>'خطة الإمداد'!H41</f>
        <v>91</v>
      </c>
      <c r="U16" s="261">
        <v>56</v>
      </c>
      <c r="V16" s="203">
        <f>S16/U16</f>
        <v>1.5892857142857142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68</v>
      </c>
      <c r="J17" s="221">
        <f>'خطة الإمداد'!F42</f>
        <v>22</v>
      </c>
      <c r="K17" s="261">
        <v>5</v>
      </c>
      <c r="L17" s="203">
        <f t="shared" si="2"/>
        <v>13.6</v>
      </c>
      <c r="M17" s="262">
        <v>30</v>
      </c>
      <c r="N17" s="261">
        <f t="shared" si="3"/>
        <v>10</v>
      </c>
      <c r="O17" s="221">
        <f>'خطة الإمداد'!G42</f>
        <v>20</v>
      </c>
      <c r="P17" s="261">
        <v>1</v>
      </c>
      <c r="Q17" s="203">
        <f t="shared" si="5"/>
        <v>10</v>
      </c>
      <c r="R17" s="262">
        <v>60</v>
      </c>
      <c r="S17" s="194">
        <f t="shared" si="4"/>
        <v>41</v>
      </c>
      <c r="T17" s="261">
        <f>'خطة الإمداد'!H42</f>
        <v>19</v>
      </c>
      <c r="U17" s="261">
        <v>2</v>
      </c>
      <c r="V17" s="261">
        <f>S17/U17</f>
        <v>20.5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50</v>
      </c>
      <c r="J18" s="221">
        <f>'خطة الإمداد'!F43</f>
        <v>10</v>
      </c>
      <c r="K18" s="261">
        <v>2</v>
      </c>
      <c r="L18" s="203">
        <f t="shared" si="2"/>
        <v>25</v>
      </c>
      <c r="M18" s="262">
        <v>30</v>
      </c>
      <c r="N18" s="261">
        <f t="shared" si="3"/>
        <v>17</v>
      </c>
      <c r="O18" s="221">
        <f>'خطة الإمداد'!G43</f>
        <v>13</v>
      </c>
      <c r="P18" s="261">
        <v>5</v>
      </c>
      <c r="Q18" s="203">
        <f t="shared" si="5"/>
        <v>3.4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68</v>
      </c>
      <c r="J19" s="221">
        <f>'خطة الإمداد'!F44</f>
        <v>22</v>
      </c>
      <c r="K19" s="261">
        <v>6</v>
      </c>
      <c r="L19" s="203">
        <f t="shared" si="2"/>
        <v>11.333333333333334</v>
      </c>
      <c r="M19" s="262">
        <v>30</v>
      </c>
      <c r="N19" s="261">
        <f t="shared" si="3"/>
        <v>17</v>
      </c>
      <c r="O19" s="221">
        <f>'خطة الإمداد'!G44</f>
        <v>13</v>
      </c>
      <c r="P19" s="261">
        <v>2</v>
      </c>
      <c r="Q19" s="203">
        <f t="shared" si="5"/>
        <v>8.5</v>
      </c>
      <c r="R19" s="262">
        <v>180</v>
      </c>
      <c r="S19" s="221">
        <f t="shared" si="4"/>
        <v>136</v>
      </c>
      <c r="T19" s="261">
        <f>'خطة الإمداد'!H44</f>
        <v>44</v>
      </c>
      <c r="U19" s="261">
        <v>16</v>
      </c>
      <c r="V19" s="203">
        <f>S19/U19</f>
        <v>8.5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46</v>
      </c>
      <c r="J20" s="221">
        <f>'خطة الإمداد'!F45</f>
        <v>44</v>
      </c>
      <c r="K20" s="261">
        <v>7</v>
      </c>
      <c r="L20" s="203">
        <f t="shared" si="2"/>
        <v>6.5714285714285712</v>
      </c>
      <c r="M20" s="262">
        <v>30</v>
      </c>
      <c r="N20" s="261">
        <f t="shared" si="3"/>
        <v>11</v>
      </c>
      <c r="O20" s="221">
        <f>'خطة الإمداد'!G45</f>
        <v>19</v>
      </c>
      <c r="P20" s="261">
        <v>1</v>
      </c>
      <c r="Q20" s="203">
        <f t="shared" si="5"/>
        <v>11</v>
      </c>
      <c r="R20" s="262">
        <v>180</v>
      </c>
      <c r="S20" s="221">
        <f t="shared" si="4"/>
        <v>122</v>
      </c>
      <c r="T20" s="261">
        <f>'خطة الإمداد'!H45</f>
        <v>58</v>
      </c>
      <c r="U20" s="261">
        <v>18</v>
      </c>
      <c r="V20" s="203">
        <f>S20/U20</f>
        <v>6.7777777777777777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56</v>
      </c>
      <c r="J21" s="221">
        <f>'خطة الإمداد'!F46</f>
        <v>34</v>
      </c>
      <c r="K21" s="261">
        <v>5</v>
      </c>
      <c r="L21" s="203">
        <f t="shared" si="2"/>
        <v>11.2</v>
      </c>
      <c r="M21" s="262">
        <v>30</v>
      </c>
      <c r="N21" s="261">
        <f t="shared" si="3"/>
        <v>23</v>
      </c>
      <c r="O21" s="221">
        <f>'خطة الإمداد'!G46</f>
        <v>7</v>
      </c>
      <c r="P21" s="261">
        <v>1</v>
      </c>
      <c r="Q21" s="203">
        <f t="shared" si="5"/>
        <v>23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13.399999999999999</v>
      </c>
      <c r="E22" s="194">
        <f>'خطة الإمداد'!E47</f>
        <v>16.600000000000001</v>
      </c>
      <c r="F22" s="194">
        <v>0.2</v>
      </c>
      <c r="G22" s="194">
        <f>D22/F22</f>
        <v>66.999999999999986</v>
      </c>
      <c r="H22" s="262">
        <v>60</v>
      </c>
      <c r="I22" s="261">
        <f t="shared" si="1"/>
        <v>54</v>
      </c>
      <c r="J22" s="221">
        <f>'خطة الإمداد'!F47</f>
        <v>6</v>
      </c>
      <c r="K22" s="261">
        <v>1</v>
      </c>
      <c r="L22" s="203">
        <f t="shared" ref="L22:L27" si="6">I22/K22</f>
        <v>54</v>
      </c>
      <c r="M22" s="263"/>
      <c r="N22" s="263"/>
      <c r="O22" s="263"/>
      <c r="P22" s="263"/>
      <c r="Q22" s="205"/>
      <c r="R22" s="262">
        <v>120</v>
      </c>
      <c r="S22" s="221">
        <f t="shared" si="4"/>
        <v>88</v>
      </c>
      <c r="T22" s="261">
        <f>'خطة الإمداد'!H47</f>
        <v>32</v>
      </c>
      <c r="U22" s="261">
        <v>14</v>
      </c>
      <c r="V22" s="203">
        <f t="shared" ref="V22:V27" si="7">S22/U22</f>
        <v>6.2857142857142856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38</v>
      </c>
      <c r="J23" s="221">
        <f>'خطة الإمداد'!F48</f>
        <v>22</v>
      </c>
      <c r="K23" s="261">
        <v>1</v>
      </c>
      <c r="L23" s="203">
        <f t="shared" si="6"/>
        <v>38</v>
      </c>
      <c r="M23" s="263"/>
      <c r="N23" s="263"/>
      <c r="O23" s="263"/>
      <c r="P23" s="263"/>
      <c r="Q23" s="205"/>
      <c r="R23" s="262">
        <v>120</v>
      </c>
      <c r="S23" s="221">
        <f t="shared" si="4"/>
        <v>111</v>
      </c>
      <c r="T23" s="261">
        <f>'خطة الإمداد'!H48</f>
        <v>9</v>
      </c>
      <c r="U23" s="261">
        <v>7</v>
      </c>
      <c r="V23" s="203">
        <f t="shared" si="7"/>
        <v>15.857142857142858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48</v>
      </c>
      <c r="J24" s="221">
        <f>'خطة الإمداد'!F49</f>
        <v>42</v>
      </c>
      <c r="K24" s="261">
        <v>11</v>
      </c>
      <c r="L24" s="203">
        <f t="shared" si="6"/>
        <v>4.3636363636363633</v>
      </c>
      <c r="M24" s="262">
        <v>30</v>
      </c>
      <c r="N24" s="261">
        <f t="shared" si="3"/>
        <v>26</v>
      </c>
      <c r="O24" s="221">
        <f>'خطة الإمداد'!G49</f>
        <v>4</v>
      </c>
      <c r="P24" s="261">
        <v>1</v>
      </c>
      <c r="Q24" s="203">
        <f>N24/P24</f>
        <v>26</v>
      </c>
      <c r="R24" s="262">
        <v>180</v>
      </c>
      <c r="S24" s="221">
        <f t="shared" si="4"/>
        <v>101</v>
      </c>
      <c r="T24" s="261">
        <f>'خطة الإمداد'!H49</f>
        <v>79</v>
      </c>
      <c r="U24" s="261">
        <v>42</v>
      </c>
      <c r="V24" s="203">
        <f t="shared" si="7"/>
        <v>2.4047619047619047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55</v>
      </c>
      <c r="J25" s="221">
        <f>'خطة الإمداد'!F50</f>
        <v>35</v>
      </c>
      <c r="K25" s="261">
        <v>14</v>
      </c>
      <c r="L25" s="203">
        <f t="shared" si="6"/>
        <v>3.9285714285714284</v>
      </c>
      <c r="M25" s="262">
        <v>30</v>
      </c>
      <c r="N25" s="261">
        <f t="shared" si="3"/>
        <v>16</v>
      </c>
      <c r="O25" s="221">
        <f>'خطة الإمداد'!G50</f>
        <v>14</v>
      </c>
      <c r="P25" s="261">
        <v>2</v>
      </c>
      <c r="Q25" s="203">
        <f>N25/P25</f>
        <v>8</v>
      </c>
      <c r="R25" s="262">
        <v>180</v>
      </c>
      <c r="S25" s="221">
        <f t="shared" si="4"/>
        <v>106</v>
      </c>
      <c r="T25" s="261">
        <f>'خطة الإمداد'!H50</f>
        <v>74</v>
      </c>
      <c r="U25" s="261">
        <v>35</v>
      </c>
      <c r="V25" s="203">
        <f t="shared" si="7"/>
        <v>3.0285714285714285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65</v>
      </c>
      <c r="J26" s="221">
        <f>'خطة الإمداد'!F51</f>
        <v>25</v>
      </c>
      <c r="K26" s="261">
        <v>6</v>
      </c>
      <c r="L26" s="203">
        <f t="shared" si="6"/>
        <v>10.833333333333334</v>
      </c>
      <c r="M26" s="262">
        <v>30</v>
      </c>
      <c r="N26" s="261">
        <f t="shared" si="3"/>
        <v>14</v>
      </c>
      <c r="O26" s="221">
        <f>'خطة الإمداد'!G51</f>
        <v>16</v>
      </c>
      <c r="P26" s="261">
        <v>1</v>
      </c>
      <c r="Q26" s="203">
        <f>N26/P26</f>
        <v>14</v>
      </c>
      <c r="R26" s="262">
        <v>180</v>
      </c>
      <c r="S26" s="221">
        <f t="shared" si="4"/>
        <v>133</v>
      </c>
      <c r="T26" s="261">
        <f>'خطة الإمداد'!H51</f>
        <v>47</v>
      </c>
      <c r="U26" s="261">
        <v>21</v>
      </c>
      <c r="V26" s="203">
        <f t="shared" si="7"/>
        <v>6.333333333333333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64</v>
      </c>
      <c r="J27" s="221">
        <f>'خطة الإمداد'!F52</f>
        <v>26</v>
      </c>
      <c r="K27" s="261">
        <v>7</v>
      </c>
      <c r="L27" s="203">
        <f t="shared" si="6"/>
        <v>9.1428571428571423</v>
      </c>
      <c r="M27" s="262">
        <v>30</v>
      </c>
      <c r="N27" s="261">
        <f t="shared" si="3"/>
        <v>19</v>
      </c>
      <c r="O27" s="221">
        <f>'خطة الإمداد'!G52</f>
        <v>11</v>
      </c>
      <c r="P27" s="261">
        <v>1</v>
      </c>
      <c r="Q27" s="203">
        <f>N27/P27</f>
        <v>19</v>
      </c>
      <c r="R27" s="262">
        <v>180</v>
      </c>
      <c r="S27" s="221">
        <f t="shared" si="4"/>
        <v>101</v>
      </c>
      <c r="T27" s="261">
        <f>'خطة الإمداد'!H52</f>
        <v>79</v>
      </c>
      <c r="U27" s="261">
        <v>22</v>
      </c>
      <c r="V27" s="203">
        <f t="shared" si="7"/>
        <v>4.5909090909090908</v>
      </c>
    </row>
    <row r="28" spans="1:23" ht="24.75" customHeight="1" thickBot="1" x14ac:dyDescent="0.25">
      <c r="A28" s="401" t="s">
        <v>34</v>
      </c>
      <c r="B28" s="401"/>
      <c r="C28" s="206">
        <f>SUM(C8:C27)</f>
        <v>150</v>
      </c>
      <c r="D28" s="206">
        <f>SUM(D8:D27)</f>
        <v>75.400000000000006</v>
      </c>
      <c r="E28" s="206">
        <f t="shared" ref="E28:V28" si="8">SUM(E8:E27)</f>
        <v>74.599999999999994</v>
      </c>
      <c r="F28" s="206">
        <f t="shared" si="8"/>
        <v>21.2</v>
      </c>
      <c r="G28" s="206">
        <f t="shared" si="8"/>
        <v>78.333333333333314</v>
      </c>
      <c r="H28" s="262">
        <f t="shared" si="8"/>
        <v>1740</v>
      </c>
      <c r="I28" s="206">
        <f t="shared" si="8"/>
        <v>1110</v>
      </c>
      <c r="J28" s="206">
        <f t="shared" si="8"/>
        <v>630</v>
      </c>
      <c r="K28" s="206">
        <f t="shared" si="8"/>
        <v>255</v>
      </c>
      <c r="L28" s="207">
        <f t="shared" si="8"/>
        <v>216.39719891821287</v>
      </c>
      <c r="M28" s="262">
        <f t="shared" si="8"/>
        <v>495</v>
      </c>
      <c r="N28" s="206">
        <f t="shared" si="8"/>
        <v>287</v>
      </c>
      <c r="O28" s="206">
        <f t="shared" si="8"/>
        <v>208</v>
      </c>
      <c r="P28" s="206">
        <f t="shared" si="8"/>
        <v>50</v>
      </c>
      <c r="Q28" s="207">
        <f t="shared" si="8"/>
        <v>149.51428571428571</v>
      </c>
      <c r="R28" s="262">
        <f t="shared" si="8"/>
        <v>2220</v>
      </c>
      <c r="S28" s="206">
        <f t="shared" si="8"/>
        <v>1554</v>
      </c>
      <c r="T28" s="206">
        <f t="shared" si="8"/>
        <v>666</v>
      </c>
      <c r="U28" s="206">
        <f t="shared" si="8"/>
        <v>289</v>
      </c>
      <c r="V28" s="207">
        <f t="shared" si="8"/>
        <v>163.35113336955442</v>
      </c>
    </row>
    <row r="29" spans="1:23" ht="20.100000000000001" customHeight="1" thickBot="1" x14ac:dyDescent="0.25">
      <c r="A29" s="388" t="s">
        <v>35</v>
      </c>
      <c r="B29" s="388"/>
      <c r="C29" s="392">
        <f>C28+H28+M28+R28</f>
        <v>4605</v>
      </c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4"/>
    </row>
    <row r="30" spans="1:23" ht="20.100000000000001" customHeight="1" thickBot="1" x14ac:dyDescent="0.25">
      <c r="A30" s="388" t="s">
        <v>36</v>
      </c>
      <c r="B30" s="388"/>
      <c r="C30" s="392">
        <f>D28+I28+N28+S28</f>
        <v>3026.4</v>
      </c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3"/>
      <c r="U30" s="393"/>
      <c r="V30" s="394"/>
    </row>
    <row r="31" spans="1:23" ht="20.100000000000001" customHeight="1" thickBot="1" x14ac:dyDescent="0.25">
      <c r="A31" s="388" t="s">
        <v>37</v>
      </c>
      <c r="B31" s="388"/>
      <c r="C31" s="392">
        <f>E28+J28+O28+T28</f>
        <v>1578.6</v>
      </c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3"/>
      <c r="T31" s="393"/>
      <c r="U31" s="393"/>
      <c r="V31" s="394"/>
    </row>
    <row r="32" spans="1:23" ht="20.100000000000001" customHeight="1" thickBot="1" x14ac:dyDescent="0.25">
      <c r="A32" s="388" t="s">
        <v>38</v>
      </c>
      <c r="B32" s="388"/>
      <c r="C32" s="395">
        <f>C30/C29</f>
        <v>0.65719869706840395</v>
      </c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7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1" t="s">
        <v>94</v>
      </c>
      <c r="R5" s="411"/>
      <c r="S5" s="411"/>
      <c r="T5" s="411"/>
      <c r="U5" s="411"/>
    </row>
    <row r="6" spans="1:21" ht="15.75" customHeight="1" thickBot="1" x14ac:dyDescent="0.25">
      <c r="A6" s="504" t="s">
        <v>3</v>
      </c>
      <c r="B6" s="543">
        <v>80</v>
      </c>
      <c r="C6" s="544"/>
      <c r="D6" s="543">
        <v>92</v>
      </c>
      <c r="E6" s="544"/>
      <c r="F6" s="543">
        <v>95</v>
      </c>
      <c r="G6" s="544"/>
      <c r="H6" s="543" t="s">
        <v>50</v>
      </c>
      <c r="I6" s="544"/>
      <c r="K6" s="504" t="s">
        <v>3</v>
      </c>
      <c r="L6" s="73">
        <v>80</v>
      </c>
      <c r="M6" s="73">
        <v>92</v>
      </c>
      <c r="N6" s="73">
        <v>95</v>
      </c>
      <c r="O6" s="73" t="s">
        <v>50</v>
      </c>
      <c r="Q6" s="545" t="s">
        <v>3</v>
      </c>
      <c r="R6" s="546" t="s">
        <v>95</v>
      </c>
      <c r="S6" s="546" t="s">
        <v>96</v>
      </c>
      <c r="T6" s="546" t="s">
        <v>97</v>
      </c>
      <c r="U6" s="548" t="s">
        <v>98</v>
      </c>
    </row>
    <row r="7" spans="1:21" ht="15.75" thickBot="1" x14ac:dyDescent="0.25">
      <c r="A7" s="506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6"/>
      <c r="L7" s="74" t="s">
        <v>7</v>
      </c>
      <c r="M7" s="74" t="s">
        <v>7</v>
      </c>
      <c r="N7" s="74" t="s">
        <v>7</v>
      </c>
      <c r="O7" s="74" t="s">
        <v>7</v>
      </c>
      <c r="Q7" s="545"/>
      <c r="R7" s="547"/>
      <c r="S7" s="547"/>
      <c r="T7" s="547"/>
      <c r="U7" s="548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15</v>
      </c>
      <c r="E8" s="10">
        <f>'التمام الصباحي'!N8</f>
        <v>3</v>
      </c>
      <c r="F8" s="72">
        <f>'التمام الصباحي'!Q8</f>
        <v>6</v>
      </c>
      <c r="G8" s="10">
        <f>'التمام الصباحي'!T8</f>
        <v>3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5</v>
      </c>
      <c r="C9" s="9">
        <f>'التمام الصباحي'!H11</f>
        <v>5</v>
      </c>
      <c r="D9" s="72">
        <f>'التمام الصباحي'!K11</f>
        <v>10</v>
      </c>
      <c r="E9" s="10">
        <f>'التمام الصباحي'!N11</f>
        <v>2</v>
      </c>
      <c r="F9" s="72">
        <f>'التمام الصباحي'!Q11</f>
        <v>6</v>
      </c>
      <c r="G9" s="10">
        <f>'التمام الصباحي'!T11</f>
        <v>3</v>
      </c>
      <c r="H9" s="5">
        <f>'التمام الصباحي'!W11</f>
        <v>2</v>
      </c>
      <c r="I9" s="10">
        <f>'التمام الصباحي'!Z11</f>
        <v>29.666666666666668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1">
        <f>IF((ROUNDDOWN((SUM(M9:M10)/51)-(R9+R10),0.9))&lt;0,0,(ROUNDDOWN((SUM(M9:M10)/51)-(R9+R10),0.9)))</f>
        <v>0</v>
      </c>
      <c r="T9" s="541">
        <f>IF((ROUNDDOWN((SUM(O9:O10)/51)-(R9+R10),0.9))&lt;0,0,(ROUNDDOWN((SUM(O9:O10)/51)-(R9+R10),0.9)))</f>
        <v>0</v>
      </c>
      <c r="U9" s="541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15</v>
      </c>
      <c r="E10" s="10">
        <f>'التمام الصباحي'!N12</f>
        <v>1.7857142857142858</v>
      </c>
      <c r="F10" s="72">
        <f>'التمام الصباحي'!Q12</f>
        <v>5</v>
      </c>
      <c r="G10" s="10">
        <f>'التمام الصباحي'!T12</f>
        <v>2.0833333333333335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2"/>
      <c r="T10" s="542"/>
      <c r="U10" s="542"/>
    </row>
    <row r="11" spans="1:21" ht="17.25" thickTop="1" thickBot="1" x14ac:dyDescent="0.3">
      <c r="A11" s="77" t="s">
        <v>18</v>
      </c>
      <c r="B11" s="5">
        <f>'التمام الصباحي'!E13</f>
        <v>17</v>
      </c>
      <c r="C11" s="9">
        <f>'التمام الصباحي'!H13</f>
        <v>3.25</v>
      </c>
      <c r="D11" s="72">
        <f>'التمام الصباحي'!K13</f>
        <v>16</v>
      </c>
      <c r="E11" s="10">
        <f>'التمام الصباحي'!N13</f>
        <v>2.7407407407407409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5</v>
      </c>
      <c r="I11" s="10">
        <f>'التمام الصباحي'!Z13</f>
        <v>21.875</v>
      </c>
      <c r="K11" s="91" t="s">
        <v>18</v>
      </c>
      <c r="L11" s="41">
        <f t="shared" si="3"/>
        <v>17</v>
      </c>
      <c r="M11" s="41">
        <f t="shared" si="1"/>
        <v>0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37">
        <f>IF((ROUNDDOWN((SUM(M11:M12)/51)-(R11+R12),0.9))&lt;0,0,(ROUNDDOWN((SUM(M11:M12)/51)-(R11+R12),0.9)))</f>
        <v>0</v>
      </c>
      <c r="T11" s="537">
        <f t="shared" ref="T11" si="5">IF((ROUNDDOWN((SUM(O11:O12)/51)-(R11+R12),0.9))&lt;0,0,(ROUNDDOWN((SUM(O11:O12)/51)-(R11+R12),0.9)))</f>
        <v>0</v>
      </c>
      <c r="U11" s="537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20</v>
      </c>
      <c r="C12" s="9">
        <f>'التمام الصباحي'!H14</f>
        <v>1.4285714285714286</v>
      </c>
      <c r="D12" s="72">
        <f>'التمام الصباحي'!K14</f>
        <v>9</v>
      </c>
      <c r="E12" s="10">
        <f>'التمام الصباحي'!N14</f>
        <v>3.6818181818181817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13</v>
      </c>
      <c r="I12" s="10">
        <f>'التمام الصباحي'!Z14</f>
        <v>8.35</v>
      </c>
      <c r="K12" s="79" t="s">
        <v>19</v>
      </c>
      <c r="L12" s="41">
        <f t="shared" si="3"/>
        <v>17</v>
      </c>
      <c r="M12" s="41">
        <f t="shared" si="1"/>
        <v>0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37"/>
      <c r="T12" s="537"/>
      <c r="U12" s="537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20</v>
      </c>
      <c r="E13" s="10">
        <f>'التمام الصباحي'!N15</f>
        <v>3.0769230769230771</v>
      </c>
      <c r="F13" s="72">
        <f>'التمام الصباحي'!Q15</f>
        <v>5</v>
      </c>
      <c r="G13" s="10">
        <f>'التمام الصباحي'!T15</f>
        <v>3.6666666666666665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17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1">
        <f>IF((ROUNDDOWN((SUM(M13:M14)/51)-(R13+R14),0.9))&lt;0,0,(ROUNDDOWN((SUM(M13:M14)/51)-(R13+R14),0.9)))</f>
        <v>0</v>
      </c>
      <c r="T13" s="541">
        <f t="shared" ref="T13" si="7">IF((ROUNDDOWN((SUM(O13:O14)/51)-(R13+R14),0.9))&lt;0,0,(ROUNDDOWN((SUM(O13:O14)/51)-(R13+R14),0.9)))</f>
        <v>0</v>
      </c>
      <c r="U13" s="541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10</v>
      </c>
      <c r="E14" s="10">
        <f>'التمام الصباحي'!N16</f>
        <v>4.8571428571428568</v>
      </c>
      <c r="F14" s="72">
        <f>'التمام الصباحي'!Q16</f>
        <v>3</v>
      </c>
      <c r="G14" s="10">
        <f>'التمام الصباحي'!T16</f>
        <v>3.8181818181818183</v>
      </c>
      <c r="H14" s="5">
        <f>'التمام الصباحي'!W16</f>
        <v>55</v>
      </c>
      <c r="I14" s="10">
        <f>'التمام الصباحي'!Z16</f>
        <v>2.6</v>
      </c>
      <c r="K14" s="88" t="s">
        <v>21</v>
      </c>
      <c r="L14" s="80"/>
      <c r="M14" s="41">
        <f t="shared" si="1"/>
        <v>0</v>
      </c>
      <c r="N14" s="41">
        <f t="shared" si="2"/>
        <v>0</v>
      </c>
      <c r="O14" s="41">
        <f t="shared" si="4"/>
        <v>51</v>
      </c>
      <c r="P14" s="81"/>
      <c r="Q14" s="89" t="s">
        <v>21</v>
      </c>
      <c r="R14" s="90">
        <f t="shared" si="0"/>
        <v>1</v>
      </c>
      <c r="S14" s="542"/>
      <c r="T14" s="542"/>
      <c r="U14" s="542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7</v>
      </c>
      <c r="E15" s="10">
        <f>'التمام الصباحي'!N17</f>
        <v>6.916666666666667</v>
      </c>
      <c r="F15" s="72">
        <f>'التمام الصباحي'!Q17</f>
        <v>6</v>
      </c>
      <c r="G15" s="10">
        <f>'التمام الصباحي'!T17</f>
        <v>4</v>
      </c>
      <c r="H15" s="5">
        <f>'التمام الصباحي'!W17</f>
        <v>60</v>
      </c>
      <c r="I15" s="10">
        <f>'التمام الصباحي'!Z17</f>
        <v>3.870967741935484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10</v>
      </c>
      <c r="E16" s="10">
        <f>'التمام الصباحي'!N18</f>
        <v>6.666666666666667</v>
      </c>
      <c r="F16" s="72">
        <f>'التمام الصباحي'!Q18</f>
        <v>16</v>
      </c>
      <c r="G16" s="10">
        <f>'التمام الصباحي'!T18</f>
        <v>3.5</v>
      </c>
      <c r="H16" s="5">
        <f>'التمام الصباحي'!W18</f>
        <v>14</v>
      </c>
      <c r="I16" s="10">
        <f>'التمام الصباحي'!Z18</f>
        <v>9.1999999999999993</v>
      </c>
      <c r="K16" s="85" t="s">
        <v>23</v>
      </c>
      <c r="L16" s="80"/>
      <c r="M16" s="41">
        <f t="shared" si="1"/>
        <v>0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39">
        <f>IF((ROUNDDOWN((SUM(M16:M17)/51)-(R16+R17),0.9))&lt;0,0,(ROUNDDOWN((SUM(M16:M17)/51)-(R16+R17),0.9)))</f>
        <v>0</v>
      </c>
      <c r="T16" s="539">
        <f>IF((ROUNDDOWN((SUM(O16:O17)/51)-(R16+R17),0.9))&lt;0,0,(ROUNDDOWN((SUM(O16:O17)/51)-(R16+R17),0.9)))</f>
        <v>0</v>
      </c>
      <c r="U16" s="539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5</v>
      </c>
      <c r="E17" s="10">
        <f>'التمام الصباحي'!N19</f>
        <v>11</v>
      </c>
      <c r="F17" s="72">
        <f>'التمام الصباحي'!Q19</f>
        <v>11</v>
      </c>
      <c r="G17" s="10">
        <f>'التمام الصباحي'!T19</f>
        <v>9.5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0"/>
      <c r="T17" s="540"/>
      <c r="U17" s="540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18</v>
      </c>
      <c r="E18" s="10">
        <f>'التمام الصباحي'!N20</f>
        <v>18</v>
      </c>
      <c r="F18" s="72">
        <f>'التمام الصباحي'!Q20</f>
        <v>11</v>
      </c>
      <c r="G18" s="10">
        <f>'التمام الصباحي'!T20</f>
        <v>9.5</v>
      </c>
      <c r="H18" s="5">
        <f>'التمام الصباحي'!W20</f>
        <v>37</v>
      </c>
      <c r="I18" s="10">
        <f>'التمام الصباحي'!Z20</f>
        <v>20.428571428571427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34</v>
      </c>
      <c r="P18" s="81"/>
      <c r="Q18" s="97" t="s">
        <v>26</v>
      </c>
      <c r="R18" s="98">
        <f t="shared" si="0"/>
        <v>1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10</v>
      </c>
      <c r="E19" s="10">
        <f>'التمام الصباحي'!N21</f>
        <v>2.3529411764705883</v>
      </c>
      <c r="F19" s="72">
        <f>'التمام الصباحي'!Q21</f>
        <v>6</v>
      </c>
      <c r="G19" s="10">
        <f>'التمام الصباحي'!T21</f>
        <v>1.8461538461538463</v>
      </c>
      <c r="H19" s="5">
        <f>'التمام الصباحي'!W21</f>
        <v>36</v>
      </c>
      <c r="I19" s="10">
        <f>'التمام الصباحي'!Z21</f>
        <v>6.5454545454545459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0</v>
      </c>
      <c r="S19" s="541">
        <f>IF((ROUNDDOWN((SUM(M19:M20)/51)-(R19+R20),0.9))&lt;0,0,(ROUNDDOWN((SUM(M19:M20)/51)-(R19+R20),0.9)))</f>
        <v>0</v>
      </c>
      <c r="T19" s="541">
        <f>IF((ROUNDDOWN((SUM(O19:O20)/51)-(R19+R20),0.9))&lt;0,0,(ROUNDDOWN((SUM(O19:O20)/51)-(R19+R20),0.9)))</f>
        <v>0</v>
      </c>
      <c r="U19" s="541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26</v>
      </c>
      <c r="E20" s="10">
        <f>'التمام الصباحي'!N22</f>
        <v>8</v>
      </c>
      <c r="F20" s="72">
        <f>'التمام الصباحي'!Q22</f>
        <v>5</v>
      </c>
      <c r="G20" s="10">
        <f>'التمام الصباحي'!T22</f>
        <v>12.5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2"/>
      <c r="T20" s="542"/>
      <c r="U20" s="542"/>
    </row>
    <row r="21" spans="1:21" ht="17.25" thickTop="1" thickBot="1" x14ac:dyDescent="0.3">
      <c r="A21" s="77" t="s">
        <v>28</v>
      </c>
      <c r="B21" s="5">
        <f>'التمام الصباحي'!E23</f>
        <v>16</v>
      </c>
      <c r="C21" s="9">
        <f>'التمام الصباحي'!H23</f>
        <v>23.333333333333336</v>
      </c>
      <c r="D21" s="72">
        <f>'التمام الصباحي'!K23</f>
        <v>3</v>
      </c>
      <c r="E21" s="10">
        <f>'التمام الصباحي'!N23</f>
        <v>19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25</v>
      </c>
      <c r="I21" s="10">
        <f>'التمام الصباحي'!Z23</f>
        <v>13.571428571428571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37">
        <f>IF((ROUNDDOWN((SUM(M21:M22)/51)-(R21+R22),0.9))&lt;0,0,(ROUNDDOWN((SUM(M21:M22)/51)-(R21+R22),0.9)))</f>
        <v>0</v>
      </c>
      <c r="T21" s="539">
        <f>IF((ROUNDDOWN((SUM(O21:O22)/51)-(R21+R22),0.9))&lt;0,0,(ROUNDDOWN((SUM(O21:O22)/51)-(R21+R22),0.9)))</f>
        <v>0</v>
      </c>
      <c r="U21" s="539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16</v>
      </c>
      <c r="E22" s="10">
        <f>'التمام الصباحي'!N24</f>
        <v>7.333333333333333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4</v>
      </c>
      <c r="I22" s="10">
        <f>'التمام الصباحي'!Z24</f>
        <v>23.2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37"/>
      <c r="T22" s="540"/>
      <c r="U22" s="540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27</v>
      </c>
      <c r="E23" s="10">
        <f>'التمام الصباحي'!N25</f>
        <v>4.2</v>
      </c>
      <c r="F23" s="72">
        <f>'التمام الصباحي'!Q25</f>
        <v>1</v>
      </c>
      <c r="G23" s="10">
        <f>'التمام الصباحي'!T25</f>
        <v>9.6666666666666661</v>
      </c>
      <c r="H23" s="5">
        <f>'التمام الصباحي'!W25</f>
        <v>36</v>
      </c>
      <c r="I23" s="10">
        <f>'التمام الصباحي'!Z25</f>
        <v>3.3488372093023258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34</v>
      </c>
      <c r="P23" s="81"/>
      <c r="Q23" s="86" t="s">
        <v>30</v>
      </c>
      <c r="R23" s="87">
        <f t="shared" si="0"/>
        <v>1</v>
      </c>
      <c r="S23" s="541">
        <f>IF((ROUNDDOWN((SUM(M23:M24)/51)-(R23+R24),0.9))&lt;0,0,(ROUNDDOWN((SUM(M23:M24)/51)-(R23+R24),0.9)))</f>
        <v>0</v>
      </c>
      <c r="T23" s="541">
        <f>IF((ROUNDDOWN((SUM(O23:O24)/51)-(R23+R24),0.9))&lt;0,0,(ROUNDDOWN((SUM(O23:O24)/51)-(R23+R24),0.9)))</f>
        <v>0</v>
      </c>
      <c r="U23" s="541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18</v>
      </c>
      <c r="E24" s="10">
        <f>'التمام الصباحي'!N26</f>
        <v>4.2352941176470589</v>
      </c>
      <c r="F24" s="72">
        <f>'التمام الصباحي'!Q26</f>
        <v>10</v>
      </c>
      <c r="G24" s="10">
        <f>'التمام الصباحي'!T26</f>
        <v>5</v>
      </c>
      <c r="H24" s="5">
        <f>'التمام الصباحي'!W26</f>
        <v>34</v>
      </c>
      <c r="I24" s="10">
        <f>'التمام الصباحي'!Z26</f>
        <v>3.65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34</v>
      </c>
      <c r="P24" s="81"/>
      <c r="Q24" s="89" t="s">
        <v>31</v>
      </c>
      <c r="R24" s="90">
        <f t="shared" si="0"/>
        <v>1</v>
      </c>
      <c r="S24" s="542"/>
      <c r="T24" s="542"/>
      <c r="U24" s="542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13</v>
      </c>
      <c r="E25" s="10">
        <f>'التمام الصباحي'!N27</f>
        <v>6.416666666666667</v>
      </c>
      <c r="F25" s="72">
        <f>'التمام الصباحي'!Q27</f>
        <v>14</v>
      </c>
      <c r="G25" s="10">
        <f>'التمام الصباحي'!T27</f>
        <v>8</v>
      </c>
      <c r="H25" s="5">
        <f>'التمام الصباحي'!W27</f>
        <v>25</v>
      </c>
      <c r="I25" s="10">
        <f>'التمام الصباحي'!Z27</f>
        <v>7.0454545454545459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37">
        <f>IF((ROUNDDOWN((SUM(M25:M26)/51)-(R25+R26),0.9))&lt;0,0,(ROUNDDOWN((SUM(M25:M26)/51)-(R25+R26),0.9)))</f>
        <v>0</v>
      </c>
      <c r="T25" s="537">
        <f>IF((ROUNDDOWN((SUM(O25:O26)/51)-(R25+R26),0.9))&lt;0,0,(ROUNDDOWN((SUM(O25:O26)/51)-(R25+R26),0.9)))</f>
        <v>0</v>
      </c>
      <c r="U25" s="537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17</v>
      </c>
      <c r="E26" s="10">
        <f>'التمام الصباحي'!N28</f>
        <v>8.1111111111111107</v>
      </c>
      <c r="F26" s="72">
        <f>'التمام الصباحي'!Q28</f>
        <v>9</v>
      </c>
      <c r="G26" s="10">
        <f>'التمام الصباحي'!T28</f>
        <v>10.5</v>
      </c>
      <c r="H26" s="5">
        <f>'التمام الصباحي'!W28</f>
        <v>60</v>
      </c>
      <c r="I26" s="10">
        <f>'التمام الصباحي'!Z28</f>
        <v>6.3157894736842106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51</v>
      </c>
      <c r="P26" s="81"/>
      <c r="Q26" s="51" t="s">
        <v>33</v>
      </c>
      <c r="R26" s="103">
        <f t="shared" si="0"/>
        <v>1</v>
      </c>
      <c r="S26" s="538"/>
      <c r="T26" s="538"/>
      <c r="U26" s="538"/>
    </row>
    <row r="29" spans="1:21" ht="15.75" x14ac:dyDescent="0.2">
      <c r="K29" s="159" t="s">
        <v>117</v>
      </c>
      <c r="M29">
        <f>SUM(L8:O26)</f>
        <v>459</v>
      </c>
      <c r="U29" s="138">
        <f>SUM(R8:U26)</f>
        <v>7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51" t="s">
        <v>123</v>
      </c>
      <c r="C3" s="551"/>
      <c r="D3" s="551"/>
      <c r="F3" s="551" t="s">
        <v>124</v>
      </c>
      <c r="G3" s="551"/>
      <c r="H3" s="551"/>
      <c r="J3" s="429" t="s">
        <v>125</v>
      </c>
      <c r="K3" s="429"/>
      <c r="M3" s="429" t="s">
        <v>127</v>
      </c>
      <c r="N3" s="429"/>
      <c r="P3" s="429" t="s">
        <v>126</v>
      </c>
      <c r="Q3" s="429"/>
    </row>
    <row r="4" spans="2:20" ht="15.75" thickBot="1" x14ac:dyDescent="0.25">
      <c r="B4" s="504" t="s">
        <v>3</v>
      </c>
      <c r="C4" s="421" t="s">
        <v>84</v>
      </c>
      <c r="D4" s="421" t="s">
        <v>88</v>
      </c>
      <c r="F4" s="504" t="s">
        <v>3</v>
      </c>
      <c r="G4" s="421" t="s">
        <v>84</v>
      </c>
      <c r="H4" s="421" t="s">
        <v>88</v>
      </c>
      <c r="J4" s="504" t="s">
        <v>3</v>
      </c>
      <c r="K4" s="421" t="s">
        <v>85</v>
      </c>
      <c r="L4" s="563"/>
      <c r="M4" s="504" t="s">
        <v>3</v>
      </c>
      <c r="N4" s="421" t="s">
        <v>109</v>
      </c>
      <c r="P4" s="504" t="s">
        <v>3</v>
      </c>
      <c r="Q4" s="421" t="s">
        <v>90</v>
      </c>
    </row>
    <row r="5" spans="2:20" ht="15.75" thickBot="1" x14ac:dyDescent="0.25">
      <c r="B5" s="506"/>
      <c r="C5" s="421"/>
      <c r="D5" s="421"/>
      <c r="F5" s="506"/>
      <c r="G5" s="421"/>
      <c r="H5" s="421"/>
      <c r="J5" s="506"/>
      <c r="K5" s="421"/>
      <c r="L5" s="563"/>
      <c r="M5" s="506"/>
      <c r="N5" s="421"/>
      <c r="P5" s="506"/>
      <c r="Q5" s="421"/>
    </row>
    <row r="6" spans="2:20" ht="16.5" thickBot="1" x14ac:dyDescent="0.25">
      <c r="B6" s="165" t="s">
        <v>120</v>
      </c>
      <c r="C6" s="546">
        <f>IF(G20&gt;H20,$C$21*2*$K$21,IF(G20=H20,$C$21*2*$K$21,0))</f>
        <v>0</v>
      </c>
      <c r="D6" s="546">
        <f>IF(G20&gt;H20,$D$21*2*$L$21,IF(G20=H20,$D$21*2*$L$21,0))</f>
        <v>0</v>
      </c>
      <c r="F6" s="165" t="s">
        <v>120</v>
      </c>
      <c r="G6" s="546">
        <f>IF(H20&gt;G20,$C$21*2*$K$21,0)</f>
        <v>0</v>
      </c>
      <c r="H6" s="546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6">
        <f>C36*2*P25</f>
        <v>0</v>
      </c>
      <c r="P6" s="165" t="s">
        <v>30</v>
      </c>
      <c r="Q6" s="546">
        <f>C42*2*O28</f>
        <v>0</v>
      </c>
    </row>
    <row r="7" spans="2:20" ht="16.5" thickBot="1" x14ac:dyDescent="0.25">
      <c r="B7" s="165" t="s">
        <v>121</v>
      </c>
      <c r="C7" s="547"/>
      <c r="D7" s="547"/>
      <c r="F7" s="165" t="s">
        <v>121</v>
      </c>
      <c r="G7" s="547"/>
      <c r="H7" s="547"/>
      <c r="J7" s="165" t="s">
        <v>23</v>
      </c>
      <c r="K7" s="546">
        <f>C32*2*N23</f>
        <v>0</v>
      </c>
      <c r="M7" s="165" t="s">
        <v>27</v>
      </c>
      <c r="N7" s="547"/>
      <c r="P7" s="165" t="s">
        <v>31</v>
      </c>
      <c r="Q7" s="547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7"/>
      <c r="M8" s="165" t="s">
        <v>112</v>
      </c>
      <c r="N8" s="164"/>
      <c r="P8" s="165" t="s">
        <v>32</v>
      </c>
      <c r="Q8" s="546">
        <f>C44*2*O29</f>
        <v>0</v>
      </c>
    </row>
    <row r="9" spans="2:20" ht="16.5" thickBot="1" x14ac:dyDescent="0.25">
      <c r="B9" s="165" t="s">
        <v>16</v>
      </c>
      <c r="C9" s="546">
        <f>IF(G20&gt;H20,$C$24*2*$K$18,IF(G20=H20,$C$24*2*$K$18,0))</f>
        <v>32</v>
      </c>
      <c r="D9" s="546">
        <f>IF(G20&gt;H20,$D$24*2*$L$18,IF(G20=H20,$D$24*2*$L$18,0))</f>
        <v>0</v>
      </c>
      <c r="F9" s="165" t="s">
        <v>16</v>
      </c>
      <c r="G9" s="546">
        <f>IF(H20&gt;G20,$C$24*2*$K$18,0)</f>
        <v>0</v>
      </c>
      <c r="H9" s="546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6">
        <f>C39*2*P27</f>
        <v>0</v>
      </c>
      <c r="P9" s="165" t="s">
        <v>33</v>
      </c>
      <c r="Q9" s="547"/>
    </row>
    <row r="10" spans="2:20" ht="16.5" thickBot="1" x14ac:dyDescent="0.25">
      <c r="B10" s="165" t="s">
        <v>17</v>
      </c>
      <c r="C10" s="547"/>
      <c r="D10" s="547"/>
      <c r="F10" s="165" t="s">
        <v>17</v>
      </c>
      <c r="G10" s="547"/>
      <c r="H10" s="547"/>
      <c r="M10" s="165" t="s">
        <v>29</v>
      </c>
      <c r="N10" s="547"/>
    </row>
    <row r="11" spans="2:20" ht="16.5" thickBot="1" x14ac:dyDescent="0.25">
      <c r="B11" s="165" t="s">
        <v>18</v>
      </c>
      <c r="C11" s="546">
        <f>IF(G20&gt;H20,$C$26*2*$K$19,IF(G20=H20,$C$26*2*$K$19,0))</f>
        <v>0</v>
      </c>
      <c r="D11" s="546">
        <f>IF(G20&gt;H20,$D$26*2*$L$19,IF(G20=H20,$D$26*2*$L$19,0))</f>
        <v>96</v>
      </c>
      <c r="F11" s="165" t="s">
        <v>18</v>
      </c>
      <c r="G11" s="546">
        <f>IF(H20&gt;G20,$C$26*2*$K$19,0)</f>
        <v>0</v>
      </c>
      <c r="H11" s="546">
        <f>IF(H20&gt;G20,$D$26*2*$L$19,0)</f>
        <v>0</v>
      </c>
    </row>
    <row r="12" spans="2:20" ht="16.5" thickBot="1" x14ac:dyDescent="0.25">
      <c r="B12" s="165" t="s">
        <v>19</v>
      </c>
      <c r="C12" s="547"/>
      <c r="D12" s="547"/>
      <c r="F12" s="165" t="s">
        <v>19</v>
      </c>
      <c r="G12" s="547"/>
      <c r="H12" s="547"/>
      <c r="J12" s="552" t="s">
        <v>154</v>
      </c>
      <c r="K12" s="182">
        <f>K6+K7+K9</f>
        <v>0</v>
      </c>
      <c r="M12" s="552" t="s">
        <v>154</v>
      </c>
      <c r="N12" s="182">
        <f>SUM(N6:N10)</f>
        <v>0</v>
      </c>
      <c r="P12" s="552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46">
        <f>IF(G20&gt;H20,$C$28*2*$K$20,IF(G20=H20,$C$28*2*$K$20,0))</f>
        <v>156</v>
      </c>
      <c r="D13" s="546">
        <f>IF(G20&gt;H20,$D$28*2*$L$20,IF(G20=H20,$D$28*2*$L$20,0))</f>
        <v>0</v>
      </c>
      <c r="F13" s="165" t="s">
        <v>20</v>
      </c>
      <c r="G13" s="546">
        <f>IF(H20&gt;G20,$C$28*2*$K$20,0)</f>
        <v>0</v>
      </c>
      <c r="H13" s="546">
        <f>IF(H20&gt;G20,$D$28*2*$L$20,0)</f>
        <v>0</v>
      </c>
      <c r="J13" s="552"/>
      <c r="K13" s="182"/>
      <c r="M13" s="552"/>
      <c r="N13" s="182"/>
      <c r="P13" s="552"/>
      <c r="Q13" s="182"/>
    </row>
    <row r="14" spans="2:20" ht="16.5" thickBot="1" x14ac:dyDescent="0.25">
      <c r="B14" s="165" t="s">
        <v>21</v>
      </c>
      <c r="C14" s="547"/>
      <c r="D14" s="547"/>
      <c r="F14" s="165" t="s">
        <v>21</v>
      </c>
      <c r="G14" s="547"/>
      <c r="H14" s="547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284</v>
      </c>
      <c r="H16" s="166">
        <f>SUM(G6:H14)</f>
        <v>0</v>
      </c>
      <c r="J16" s="559" t="s">
        <v>130</v>
      </c>
      <c r="K16" s="553" t="s">
        <v>131</v>
      </c>
      <c r="L16" s="553"/>
      <c r="M16" s="553"/>
      <c r="N16" s="553" t="s">
        <v>85</v>
      </c>
      <c r="O16" s="553" t="s">
        <v>132</v>
      </c>
      <c r="P16" s="553" t="s">
        <v>86</v>
      </c>
      <c r="Q16" s="553" t="s">
        <v>119</v>
      </c>
      <c r="R16" s="549" t="s">
        <v>133</v>
      </c>
      <c r="S16" s="549" t="s">
        <v>134</v>
      </c>
      <c r="T16" s="549" t="s">
        <v>135</v>
      </c>
    </row>
    <row r="17" spans="2:20" ht="18" x14ac:dyDescent="0.2">
      <c r="B17" s="181"/>
      <c r="J17" s="560"/>
      <c r="K17" s="169" t="s">
        <v>136</v>
      </c>
      <c r="L17" s="169" t="s">
        <v>137</v>
      </c>
      <c r="M17" s="169" t="s">
        <v>138</v>
      </c>
      <c r="N17" s="554"/>
      <c r="O17" s="554"/>
      <c r="P17" s="554"/>
      <c r="Q17" s="554"/>
      <c r="R17" s="550"/>
      <c r="S17" s="550"/>
      <c r="T17" s="550"/>
    </row>
    <row r="18" spans="2:20" ht="16.5" thickBot="1" x14ac:dyDescent="0.25">
      <c r="B18" s="551" t="s">
        <v>129</v>
      </c>
      <c r="C18" s="551"/>
      <c r="D18" s="551"/>
      <c r="F18" s="551"/>
      <c r="G18" s="551"/>
      <c r="H18" s="551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4" t="s">
        <v>3</v>
      </c>
      <c r="C19" s="510" t="s">
        <v>84</v>
      </c>
      <c r="D19" s="510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6"/>
      <c r="C20" s="510"/>
      <c r="D20" s="510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6">
        <f>ROUNDDOWN(SUM(المستودعات!C5:F5)/51,0.9)</f>
        <v>0</v>
      </c>
      <c r="D21" s="546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7"/>
      <c r="D22" s="547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6">
        <f>ROUNDDOWN(SUM(المستودعات!C9:F10)/51,0.9)</f>
        <v>1</v>
      </c>
      <c r="D24" s="546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7"/>
      <c r="D25" s="547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6">
        <f>ROUNDDOWN(SUM(المستودعات!C11:F12)/51,0.9)</f>
        <v>0</v>
      </c>
      <c r="D26" s="546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7"/>
      <c r="D27" s="547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6">
        <f>ROUNDDOWN(SUM(المستودعات!C13:F14)/51,0.9)</f>
        <v>2</v>
      </c>
      <c r="D28" s="546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7"/>
      <c r="D29" s="547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61">
        <f>ROUNDDOWN(SUM(المستودعات!O5:Q5)/51,0.9)</f>
        <v>0</v>
      </c>
      <c r="D31" s="562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5">
        <f>ROUNDDOWN(SUM(المستودعات!O6:Q7)/51,0.9)</f>
        <v>0</v>
      </c>
      <c r="D32" s="556"/>
    </row>
    <row r="33" spans="2:4" ht="16.5" thickBot="1" x14ac:dyDescent="0.25">
      <c r="B33" s="165" t="s">
        <v>24</v>
      </c>
      <c r="C33" s="557"/>
      <c r="D33" s="558"/>
    </row>
    <row r="34" spans="2:4" ht="16.5" thickBot="1" x14ac:dyDescent="0.25">
      <c r="B34" s="165" t="s">
        <v>26</v>
      </c>
      <c r="C34" s="561">
        <f>ROUNDDOWN(SUM(المستودعات!O8:Q8)/51,0.9)</f>
        <v>0</v>
      </c>
      <c r="D34" s="562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55">
        <f>ROUNDDOWN(SUM(المستودعات!J23:K24)/51,0.9)</f>
        <v>0</v>
      </c>
      <c r="D36" s="556"/>
    </row>
    <row r="37" spans="2:4" ht="16.5" thickBot="1" x14ac:dyDescent="0.25">
      <c r="B37" s="165" t="s">
        <v>27</v>
      </c>
      <c r="C37" s="557"/>
      <c r="D37" s="558"/>
    </row>
    <row r="38" spans="2:4" ht="16.5" thickBot="1" x14ac:dyDescent="0.25">
      <c r="B38" s="96" t="s">
        <v>112</v>
      </c>
      <c r="C38" s="561"/>
      <c r="D38" s="562"/>
    </row>
    <row r="39" spans="2:4" ht="16.5" thickBot="1" x14ac:dyDescent="0.25">
      <c r="B39" s="165" t="s">
        <v>28</v>
      </c>
      <c r="C39" s="555">
        <f>ROUNDDOWN(SUM(المستودعات!C28:I29)/51,0.9)</f>
        <v>0</v>
      </c>
      <c r="D39" s="556"/>
    </row>
    <row r="40" spans="2:4" ht="16.5" thickBot="1" x14ac:dyDescent="0.25">
      <c r="B40" s="165" t="s">
        <v>29</v>
      </c>
      <c r="C40" s="557"/>
      <c r="D40" s="558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55">
        <f>ROUNDDOWN(SUM(المستودعات!Q15:Q16)/51,0.9)</f>
        <v>0</v>
      </c>
      <c r="D42" s="556"/>
    </row>
    <row r="43" spans="2:4" ht="16.5" thickBot="1" x14ac:dyDescent="0.25">
      <c r="B43" s="165" t="s">
        <v>31</v>
      </c>
      <c r="C43" s="557"/>
      <c r="D43" s="558"/>
    </row>
    <row r="44" spans="2:4" ht="16.5" thickBot="1" x14ac:dyDescent="0.25">
      <c r="B44" s="165" t="s">
        <v>32</v>
      </c>
      <c r="C44" s="555">
        <f>ROUNDDOWN(SUM(المستودعات!Q17:Q18)/51,0.9)</f>
        <v>0</v>
      </c>
      <c r="D44" s="556"/>
    </row>
    <row r="45" spans="2:4" ht="16.5" thickBot="1" x14ac:dyDescent="0.25">
      <c r="B45" s="165" t="s">
        <v>33</v>
      </c>
      <c r="C45" s="557"/>
      <c r="D45" s="558"/>
    </row>
  </sheetData>
  <customSheetViews>
    <customSheetView guid="{8317B6D8-8A99-4EB0-9DBC-8E9AE0170A4B}" state="hidden" topLeftCell="C1">
      <selection activeCell="L13" sqref="L13"/>
      <pageMargins left="0.7" right="0.7" top="0.75" bottom="0.75" header="0.3" footer="0.3"/>
    </customSheetView>
    <customSheetView guid="{18C0F7AC-4BB1-46DE-8A01-8E31FE0585FC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4" t="s">
        <v>103</v>
      </c>
      <c r="D2" s="564"/>
      <c r="E2" s="564"/>
      <c r="F2" s="564"/>
    </row>
    <row r="3" spans="1:15" ht="15" thickBot="1" x14ac:dyDescent="0.25"/>
    <row r="4" spans="1:15" ht="15.75" thickBot="1" x14ac:dyDescent="0.25">
      <c r="A4" s="452" t="s">
        <v>3</v>
      </c>
      <c r="B4" s="402" t="s">
        <v>104</v>
      </c>
      <c r="C4" s="402"/>
      <c r="D4" s="453"/>
      <c r="E4" s="565" t="s">
        <v>84</v>
      </c>
      <c r="F4" s="566"/>
      <c r="G4" s="566"/>
      <c r="H4" s="410"/>
    </row>
    <row r="5" spans="1:15" ht="15.75" thickBot="1" x14ac:dyDescent="0.25">
      <c r="A5" s="452"/>
      <c r="B5" s="409" t="s">
        <v>81</v>
      </c>
      <c r="C5" s="566"/>
      <c r="D5" s="567"/>
      <c r="E5" s="112" t="s">
        <v>81</v>
      </c>
      <c r="F5" s="409" t="s">
        <v>87</v>
      </c>
      <c r="G5" s="566"/>
      <c r="H5" s="410"/>
      <c r="K5" s="504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2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6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0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68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51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0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0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17</v>
      </c>
      <c r="N13" s="41">
        <f>'خطة الإمداد'!N38</f>
        <v>0</v>
      </c>
      <c r="O13" s="41">
        <f>'خطة الإمداد'!O38</f>
        <v>17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68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610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754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2042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817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8317B6D8-8A99-4EB0-9DBC-8E9AE0170A4B}">
      <selection activeCell="A8" sqref="A8:H8"/>
      <pageMargins left="0.7" right="0.7" top="0.75" bottom="0.75" header="0.3" footer="0.3"/>
      <pageSetup paperSize="9" orientation="portrait" r:id="rId1"/>
    </customSheetView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4" t="s">
        <v>105</v>
      </c>
      <c r="D2" s="564"/>
      <c r="E2" s="564"/>
      <c r="F2" s="564"/>
    </row>
    <row r="3" spans="1:15" ht="15" thickBot="1" x14ac:dyDescent="0.25"/>
    <row r="4" spans="1:15" ht="15.75" thickBot="1" x14ac:dyDescent="0.25">
      <c r="A4" s="452" t="s">
        <v>3</v>
      </c>
      <c r="B4" s="409" t="s">
        <v>85</v>
      </c>
      <c r="C4" s="566"/>
      <c r="D4" s="566"/>
      <c r="E4" s="566"/>
      <c r="F4" s="566"/>
      <c r="G4" s="566"/>
      <c r="H4" s="410"/>
      <c r="I4" s="278" t="s">
        <v>119</v>
      </c>
    </row>
    <row r="5" spans="1:15" ht="15.75" thickBot="1" x14ac:dyDescent="0.25">
      <c r="A5" s="452"/>
      <c r="B5" s="120" t="s">
        <v>81</v>
      </c>
      <c r="C5" s="568" t="s">
        <v>87</v>
      </c>
      <c r="D5" s="543"/>
      <c r="E5" s="569"/>
      <c r="F5" s="543" t="s">
        <v>83</v>
      </c>
      <c r="G5" s="543"/>
      <c r="H5" s="544"/>
      <c r="I5" s="279" t="s">
        <v>83</v>
      </c>
      <c r="K5" s="504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2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6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68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0</v>
      </c>
      <c r="O7" s="41">
        <f>'خطة الإمداد'!O40</f>
        <v>68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3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4"/>
      <c r="C16" s="52" t="s">
        <v>93</v>
      </c>
      <c r="D16" s="53">
        <f>[1]التعاون.ملخص!$D$6</f>
        <v>0</v>
      </c>
    </row>
    <row r="17" spans="2:4" ht="16.5" thickBot="1" x14ac:dyDescent="0.25">
      <c r="B17" s="574"/>
      <c r="C17" s="59" t="s">
        <v>87</v>
      </c>
      <c r="D17" s="60" t="e">
        <f>[1]موبيل.ملخص!$D$5</f>
        <v>#REF!</v>
      </c>
    </row>
    <row r="18" spans="2:4" ht="16.5" thickBot="1" x14ac:dyDescent="0.25">
      <c r="B18" s="571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70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71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70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72"/>
      <c r="C22" s="61" t="s">
        <v>87</v>
      </c>
      <c r="D22" s="62" t="e">
        <f>[1]موبيل.ملخص!$D$6</f>
        <v>#REF!</v>
      </c>
    </row>
  </sheetData>
  <customSheetViews>
    <customSheetView guid="{8317B6D8-8A99-4EB0-9DBC-8E9AE0170A4B}">
      <selection activeCell="H7" sqref="H7"/>
      <pageMargins left="0.7" right="0.7" top="0.75" bottom="0.75" header="0.3" footer="0.3"/>
    </customSheetView>
    <customSheetView guid="{18C0F7AC-4BB1-46DE-8A01-8E31FE0585FC}">
      <selection activeCell="D15" sqref="D15:D22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68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8317B6D8-8A99-4EB0-9DBC-8E9AE0170A4B}" state="hidden">
      <selection activeCell="B2" sqref="B2:H5"/>
      <pageMargins left="0.7" right="0.7" top="0.75" bottom="0.75" header="0.3" footer="0.3"/>
    </customSheetView>
    <customSheetView guid="{18C0F7AC-4BB1-46DE-8A01-8E31FE0585FC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4" t="s">
        <v>106</v>
      </c>
      <c r="D2" s="564"/>
      <c r="E2" s="564"/>
      <c r="F2" s="564"/>
    </row>
    <row r="3" spans="1:15" ht="15" thickBot="1" x14ac:dyDescent="0.25"/>
    <row r="4" spans="1:15" ht="15.75" thickBot="1" x14ac:dyDescent="0.25">
      <c r="A4" s="452" t="s">
        <v>3</v>
      </c>
      <c r="B4" s="409" t="s">
        <v>91</v>
      </c>
      <c r="C4" s="566"/>
      <c r="D4" s="566"/>
      <c r="E4" s="566"/>
      <c r="F4" s="566"/>
      <c r="G4" s="566"/>
      <c r="H4" s="566"/>
      <c r="I4" s="410"/>
    </row>
    <row r="5" spans="1:15" ht="15.75" thickBot="1" x14ac:dyDescent="0.25">
      <c r="A5" s="452"/>
      <c r="B5" s="545" t="s">
        <v>81</v>
      </c>
      <c r="C5" s="545"/>
      <c r="D5" s="561"/>
      <c r="E5" s="578" t="s">
        <v>83</v>
      </c>
      <c r="F5" s="579"/>
      <c r="G5" s="562" t="s">
        <v>87</v>
      </c>
      <c r="H5" s="545"/>
      <c r="I5" s="545"/>
      <c r="K5" s="504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2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6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17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5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6"/>
      <c r="C15" s="52" t="s">
        <v>93</v>
      </c>
      <c r="D15" s="57">
        <f>[1]التعاون.ملخص!$D$7</f>
        <v>98</v>
      </c>
    </row>
    <row r="16" spans="1:15" ht="16.5" thickBot="1" x14ac:dyDescent="0.3">
      <c r="B16" s="577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49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5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6"/>
      <c r="C20" s="70" t="s">
        <v>93</v>
      </c>
      <c r="D20" s="71">
        <f>[1]التعاون.ملخص!$D$9</f>
        <v>147</v>
      </c>
    </row>
    <row r="21" spans="2:4" ht="16.5" thickBot="1" x14ac:dyDescent="0.3">
      <c r="B21" s="577"/>
      <c r="C21" s="70" t="s">
        <v>87</v>
      </c>
      <c r="D21" s="71" t="e">
        <f>[1]موبيل.ملخص!$D$9</f>
        <v>#REF!</v>
      </c>
    </row>
  </sheetData>
  <customSheetViews>
    <customSheetView guid="{8317B6D8-8A99-4EB0-9DBC-8E9AE0170A4B}">
      <selection activeCell="A4" sqref="A4:I10"/>
      <pageMargins left="0.7" right="0.7" top="0.75" bottom="0.75" header="0.3" footer="0.3"/>
    </customSheetView>
    <customSheetView guid="{18C0F7AC-4BB1-46DE-8A01-8E31FE0585FC}">
      <selection activeCell="D14" sqref="D14:D21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8317B6D8-8A99-4EB0-9DBC-8E9AE0170A4B}" state="hidden">
      <selection activeCell="B2" sqref="B2:I5"/>
      <pageMargins left="0.7" right="0.7" top="0.75" bottom="0.75" header="0.3" footer="0.3"/>
    </customSheetView>
    <customSheetView guid="{18C0F7AC-4BB1-46DE-8A01-8E31FE0585FC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D28" sqref="D28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4" t="s">
        <v>0</v>
      </c>
      <c r="B1" s="414"/>
      <c r="C1" s="414"/>
      <c r="D1" s="414"/>
      <c r="E1" s="414"/>
      <c r="Q1" s="412"/>
      <c r="R1" s="412"/>
    </row>
    <row r="2" spans="1:18" ht="15.75" x14ac:dyDescent="0.25">
      <c r="A2" s="414" t="s">
        <v>1</v>
      </c>
      <c r="B2" s="414"/>
      <c r="C2" s="414"/>
      <c r="D2" s="414"/>
      <c r="E2" s="414"/>
    </row>
    <row r="3" spans="1:18" ht="15.75" x14ac:dyDescent="0.25">
      <c r="A3" s="414" t="s">
        <v>2</v>
      </c>
      <c r="B3" s="414"/>
      <c r="C3" s="414"/>
      <c r="D3" s="414"/>
      <c r="E3" s="414"/>
    </row>
    <row r="4" spans="1:18" ht="48.75" customHeight="1" thickBot="1" x14ac:dyDescent="0.3">
      <c r="F4" s="411" t="s">
        <v>195</v>
      </c>
      <c r="G4" s="411"/>
      <c r="H4" s="411"/>
      <c r="I4" s="411"/>
      <c r="J4" s="411"/>
      <c r="K4" s="411"/>
      <c r="L4" s="411"/>
      <c r="M4" s="411"/>
      <c r="P4" s="411" t="s">
        <v>51</v>
      </c>
      <c r="Q4" s="411"/>
      <c r="R4" s="30"/>
    </row>
    <row r="5" spans="1:18" ht="20.100000000000001" customHeight="1" thickBot="1" x14ac:dyDescent="0.25">
      <c r="A5" s="421" t="s">
        <v>14</v>
      </c>
      <c r="B5" s="421" t="s">
        <v>3</v>
      </c>
      <c r="C5" s="402" t="s">
        <v>5</v>
      </c>
      <c r="D5" s="402"/>
      <c r="E5" s="402"/>
      <c r="F5" s="402" t="s">
        <v>11</v>
      </c>
      <c r="G5" s="402"/>
      <c r="H5" s="402"/>
      <c r="I5" s="402" t="s">
        <v>12</v>
      </c>
      <c r="J5" s="402"/>
      <c r="K5" s="402"/>
      <c r="L5" s="402" t="s">
        <v>50</v>
      </c>
      <c r="M5" s="402"/>
      <c r="N5" s="402"/>
      <c r="O5" s="409" t="s">
        <v>45</v>
      </c>
      <c r="P5" s="410"/>
      <c r="Q5" s="418" t="s">
        <v>49</v>
      </c>
    </row>
    <row r="6" spans="1:18" ht="20.100000000000001" customHeight="1" thickBot="1" x14ac:dyDescent="0.25">
      <c r="A6" s="421"/>
      <c r="B6" s="421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9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21483</v>
      </c>
      <c r="G7" s="2">
        <f>F7*6.75</f>
        <v>145010.25</v>
      </c>
      <c r="H7" s="2">
        <f>F7*0.33</f>
        <v>7089.39</v>
      </c>
      <c r="I7" s="2">
        <f>'أخذ التمام الصباحي'!K5</f>
        <v>5759</v>
      </c>
      <c r="J7" s="2">
        <f>I7*7.75</f>
        <v>44632.25</v>
      </c>
      <c r="K7" s="2">
        <f>I7*0.45</f>
        <v>2591.5500000000002</v>
      </c>
      <c r="L7" s="6"/>
      <c r="M7" s="6"/>
      <c r="N7" s="6"/>
      <c r="O7" s="7">
        <f>SUM(D7,G7,J7,M7)/100</f>
        <v>1896.425</v>
      </c>
      <c r="P7" s="10">
        <f>'أخذ التمام الصباحي'!Q5</f>
        <v>1800</v>
      </c>
      <c r="Q7" s="7">
        <f t="shared" ref="Q7:Q27" si="0">P7-O7</f>
        <v>-96.424999999999955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30648</v>
      </c>
      <c r="G8" s="287">
        <f>F8*6.75</f>
        <v>206874</v>
      </c>
      <c r="H8" s="287">
        <f>F8*0.33</f>
        <v>10113.84</v>
      </c>
      <c r="I8" s="287">
        <f>'أخذ التمام الصباحي'!K6</f>
        <v>10159</v>
      </c>
      <c r="J8" s="287">
        <f>I8*7.75</f>
        <v>78732.25</v>
      </c>
      <c r="K8" s="287">
        <f>I8*0.45</f>
        <v>4571.55</v>
      </c>
      <c r="L8" s="6"/>
      <c r="M8" s="6"/>
      <c r="N8" s="6"/>
      <c r="O8" s="7">
        <f>SUM(D8,G8,J8,M8)/100</f>
        <v>2856.0625</v>
      </c>
      <c r="P8" s="10">
        <f>'أخذ التمام الصباحي'!Q6</f>
        <v>2620</v>
      </c>
      <c r="Q8" s="7">
        <f t="shared" si="0"/>
        <v>-236.0625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38933</v>
      </c>
      <c r="D9" s="5">
        <f t="shared" ref="D9" si="1">C9*5.5</f>
        <v>214131.5</v>
      </c>
      <c r="E9" s="5">
        <f>C9*0.25</f>
        <v>9733.25</v>
      </c>
      <c r="F9" s="292">
        <f>'أخذ التمام الصباحي'!H7</f>
        <v>20553</v>
      </c>
      <c r="G9" s="292">
        <f t="shared" ref="G9:G27" si="2">F9*6.75</f>
        <v>138732.75</v>
      </c>
      <c r="H9" s="292">
        <f t="shared" ref="H9:H27" si="3">F9*0.33</f>
        <v>6782.4900000000007</v>
      </c>
      <c r="I9" s="292">
        <f>'أخذ التمام الصباحي'!K7</f>
        <v>3554</v>
      </c>
      <c r="J9" s="292">
        <f t="shared" ref="J9:J27" si="4">I9*7.75</f>
        <v>27543.5</v>
      </c>
      <c r="K9" s="292">
        <f t="shared" ref="K9:K27" si="5">I9*0.45</f>
        <v>1599.3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3804.0774999999999</v>
      </c>
      <c r="P9" s="10">
        <f>'أخذ التمام الصباحي'!Q7</f>
        <v>3490</v>
      </c>
      <c r="Q9" s="7">
        <f t="shared" si="0"/>
        <v>-314.07749999999987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2805</v>
      </c>
      <c r="D10" s="5">
        <f t="shared" ref="D10:D22" si="7">C10*5.5</f>
        <v>15427.5</v>
      </c>
      <c r="E10" s="5">
        <f>C10*0.25</f>
        <v>701.25</v>
      </c>
      <c r="F10" s="292">
        <f>'أخذ التمام الصباحي'!H8</f>
        <v>19819</v>
      </c>
      <c r="G10" s="292">
        <f t="shared" si="2"/>
        <v>133778.25</v>
      </c>
      <c r="H10" s="292">
        <f t="shared" si="3"/>
        <v>6540.27</v>
      </c>
      <c r="I10" s="292">
        <f>'أخذ التمام الصباحي'!K8</f>
        <v>6005</v>
      </c>
      <c r="J10" s="292">
        <f t="shared" si="4"/>
        <v>46538.75</v>
      </c>
      <c r="K10" s="292">
        <f t="shared" si="5"/>
        <v>2702.25</v>
      </c>
      <c r="L10" s="2">
        <f>'أخذ التمام الصباحي'!N8</f>
        <v>4181</v>
      </c>
      <c r="M10" s="2">
        <f t="shared" ref="M10:M27" si="8">L10*5.5</f>
        <v>22995.5</v>
      </c>
      <c r="N10" s="2">
        <f>L10*0.26</f>
        <v>1087.06</v>
      </c>
      <c r="O10" s="7">
        <f t="shared" ref="O10:O27" si="9">SUM(D10,G10,J10,M10)/100</f>
        <v>2187.4</v>
      </c>
      <c r="P10" s="10">
        <f>'أخذ التمام الصباحي'!Q8</f>
        <v>2650</v>
      </c>
      <c r="Q10" s="7">
        <f t="shared" si="0"/>
        <v>462.59999999999991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30541</v>
      </c>
      <c r="G11" s="292">
        <f t="shared" si="2"/>
        <v>206151.75</v>
      </c>
      <c r="H11" s="292">
        <f t="shared" si="3"/>
        <v>10078.530000000001</v>
      </c>
      <c r="I11" s="292">
        <f>'أخذ التمام الصباحي'!K9</f>
        <v>8911</v>
      </c>
      <c r="J11" s="292">
        <f t="shared" si="4"/>
        <v>69060.25</v>
      </c>
      <c r="K11" s="292">
        <f t="shared" si="5"/>
        <v>4009.9500000000003</v>
      </c>
      <c r="L11" s="6"/>
      <c r="M11" s="6"/>
      <c r="N11" s="6"/>
      <c r="O11" s="7">
        <f t="shared" si="9"/>
        <v>2752.12</v>
      </c>
      <c r="P11" s="10">
        <f>'أخذ التمام الصباحي'!Q9</f>
        <v>2690</v>
      </c>
      <c r="Q11" s="7">
        <f t="shared" si="0"/>
        <v>-62.119999999999891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3262</v>
      </c>
      <c r="D12" s="5">
        <f t="shared" si="7"/>
        <v>17941</v>
      </c>
      <c r="E12" s="5">
        <f t="shared" si="10"/>
        <v>815.5</v>
      </c>
      <c r="F12" s="292">
        <f>'أخذ التمام الصباحي'!H10</f>
        <v>22231</v>
      </c>
      <c r="G12" s="292">
        <f t="shared" si="2"/>
        <v>150059.25</v>
      </c>
      <c r="H12" s="292">
        <f t="shared" si="3"/>
        <v>7336.2300000000005</v>
      </c>
      <c r="I12" s="6"/>
      <c r="J12" s="6"/>
      <c r="K12" s="6"/>
      <c r="L12" s="20">
        <f>'أخذ التمام الصباحي'!N10</f>
        <v>7033</v>
      </c>
      <c r="M12" s="2">
        <f t="shared" si="8"/>
        <v>38681.5</v>
      </c>
      <c r="N12" s="2">
        <f>L12*0.26</f>
        <v>1828.5800000000002</v>
      </c>
      <c r="O12" s="7">
        <f t="shared" si="9"/>
        <v>2066.8175000000001</v>
      </c>
      <c r="P12" s="10">
        <f>'أخذ التمام الصباحي'!Q10</f>
        <v>760</v>
      </c>
      <c r="Q12" s="7">
        <f t="shared" si="0"/>
        <v>-1306.8175000000001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5472</v>
      </c>
      <c r="D13" s="5">
        <f t="shared" si="7"/>
        <v>30096</v>
      </c>
      <c r="E13" s="5">
        <f t="shared" si="10"/>
        <v>1368</v>
      </c>
      <c r="F13" s="292">
        <f>'أخذ التمام الصباحي'!H11</f>
        <v>14198</v>
      </c>
      <c r="G13" s="292">
        <f t="shared" si="2"/>
        <v>95836.5</v>
      </c>
      <c r="H13" s="292">
        <f t="shared" si="3"/>
        <v>4685.34</v>
      </c>
      <c r="I13" s="6"/>
      <c r="J13" s="6"/>
      <c r="K13" s="6"/>
      <c r="L13" s="20">
        <f>'أخذ التمام الصباحي'!N11</f>
        <v>18303</v>
      </c>
      <c r="M13" s="2">
        <f t="shared" si="8"/>
        <v>100666.5</v>
      </c>
      <c r="N13" s="2">
        <f>L13*0.26</f>
        <v>4758.78</v>
      </c>
      <c r="O13" s="7">
        <f t="shared" si="9"/>
        <v>2265.9899999999998</v>
      </c>
      <c r="P13" s="10">
        <f>'أخذ التمام الصباحي'!Q11</f>
        <v>2500</v>
      </c>
      <c r="Q13" s="7">
        <f t="shared" si="0"/>
        <v>234.01000000000022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36176</v>
      </c>
      <c r="G14" s="292">
        <f t="shared" si="2"/>
        <v>244188</v>
      </c>
      <c r="H14" s="292">
        <f t="shared" si="3"/>
        <v>11938.08</v>
      </c>
      <c r="I14" s="292">
        <f>'أخذ التمام الصباحي'!K12</f>
        <v>10185</v>
      </c>
      <c r="J14" s="292">
        <f t="shared" si="4"/>
        <v>78933.75</v>
      </c>
      <c r="K14" s="292">
        <f t="shared" si="5"/>
        <v>4583.25</v>
      </c>
      <c r="L14" s="6"/>
      <c r="M14" s="6"/>
      <c r="N14" s="6"/>
      <c r="O14" s="7">
        <f t="shared" si="9"/>
        <v>3231.2175000000002</v>
      </c>
      <c r="P14" s="10">
        <f>'أخذ التمام الصباحي'!Q12</f>
        <v>2900</v>
      </c>
      <c r="Q14" s="7">
        <f t="shared" si="0"/>
        <v>-331.2175000000002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41500</v>
      </c>
      <c r="G15" s="292">
        <f t="shared" si="2"/>
        <v>280125</v>
      </c>
      <c r="H15" s="292">
        <f t="shared" si="3"/>
        <v>13695</v>
      </c>
      <c r="I15" s="292">
        <f>'أخذ التمام الصباحي'!K13</f>
        <v>11900</v>
      </c>
      <c r="J15" s="292">
        <f t="shared" si="4"/>
        <v>92225</v>
      </c>
      <c r="K15" s="292">
        <f t="shared" si="5"/>
        <v>5355</v>
      </c>
      <c r="L15" s="20">
        <f>'أخذ التمام الصباحي'!N13</f>
        <v>38500</v>
      </c>
      <c r="M15" s="2">
        <f t="shared" si="8"/>
        <v>211750</v>
      </c>
      <c r="N15" s="2">
        <f>L15*0.26</f>
        <v>10010</v>
      </c>
      <c r="O15" s="7">
        <f t="shared" si="9"/>
        <v>5841</v>
      </c>
      <c r="P15" s="10">
        <f>'أخذ التمام الصباحي'!Q13</f>
        <v>0</v>
      </c>
      <c r="Q15" s="7">
        <f t="shared" si="0"/>
        <v>-5841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6664</v>
      </c>
      <c r="G16" s="292">
        <f t="shared" si="2"/>
        <v>44982</v>
      </c>
      <c r="H16" s="292">
        <f t="shared" si="3"/>
        <v>2199.12</v>
      </c>
      <c r="I16" s="292">
        <f>'أخذ التمام الصباحي'!K14</f>
        <v>4588</v>
      </c>
      <c r="J16" s="292">
        <f t="shared" si="4"/>
        <v>35557</v>
      </c>
      <c r="K16" s="292">
        <f t="shared" si="5"/>
        <v>2064.6</v>
      </c>
      <c r="L16" s="20">
        <f>'أخذ التمام الصباحي'!N14</f>
        <v>66542</v>
      </c>
      <c r="M16" s="2">
        <f t="shared" si="8"/>
        <v>365981</v>
      </c>
      <c r="N16" s="139">
        <f>L16*0.26</f>
        <v>17300.920000000002</v>
      </c>
      <c r="O16" s="7">
        <f t="shared" si="9"/>
        <v>4465.2</v>
      </c>
      <c r="P16" s="10">
        <f>'أخذ التمام الصباحي'!Q14</f>
        <v>7832</v>
      </c>
      <c r="Q16" s="7">
        <f t="shared" si="0"/>
        <v>3366.8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7654</v>
      </c>
      <c r="G17" s="292">
        <f t="shared" si="2"/>
        <v>51664.5</v>
      </c>
      <c r="H17" s="292">
        <f t="shared" si="3"/>
        <v>2525.8200000000002</v>
      </c>
      <c r="I17" s="292">
        <f>'أخذ التمام الصباحي'!K15</f>
        <v>2076</v>
      </c>
      <c r="J17" s="292">
        <f t="shared" si="4"/>
        <v>16089</v>
      </c>
      <c r="K17" s="292">
        <f t="shared" si="5"/>
        <v>934.2</v>
      </c>
      <c r="L17" s="20">
        <f>'أخذ التمام الصباحي'!N15</f>
        <v>3078</v>
      </c>
      <c r="M17" s="2">
        <f t="shared" si="8"/>
        <v>16929</v>
      </c>
      <c r="N17" s="139">
        <f>L17*0.26</f>
        <v>800.28</v>
      </c>
      <c r="O17" s="7">
        <f t="shared" si="9"/>
        <v>846.82500000000005</v>
      </c>
      <c r="P17" s="10">
        <f>'أخذ التمام الصباحي'!Q15</f>
        <v>835</v>
      </c>
      <c r="Q17" s="7">
        <f t="shared" si="0"/>
        <v>-11.825000000000045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2928</v>
      </c>
      <c r="G18" s="292">
        <f t="shared" si="2"/>
        <v>19764</v>
      </c>
      <c r="H18" s="292">
        <f t="shared" si="3"/>
        <v>966.24</v>
      </c>
      <c r="I18" s="292">
        <f>'أخذ التمام الصباحي'!K16</f>
        <v>1147</v>
      </c>
      <c r="J18" s="292">
        <f t="shared" si="4"/>
        <v>8889.25</v>
      </c>
      <c r="K18" s="292">
        <f t="shared" si="5"/>
        <v>516.15</v>
      </c>
      <c r="L18" s="6"/>
      <c r="M18" s="6"/>
      <c r="N18" s="6"/>
      <c r="O18" s="7">
        <f t="shared" si="9"/>
        <v>286.53250000000003</v>
      </c>
      <c r="P18" s="10">
        <f>'أخذ التمام الصباحي'!Q16</f>
        <v>307</v>
      </c>
      <c r="Q18" s="7">
        <f t="shared" si="0"/>
        <v>20.467499999999973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2427</v>
      </c>
      <c r="G19" s="292">
        <f t="shared" si="2"/>
        <v>16382.25</v>
      </c>
      <c r="H19" s="292">
        <f t="shared" si="3"/>
        <v>800.91000000000008</v>
      </c>
      <c r="I19" s="292">
        <f>'أخذ التمام الصباحي'!K17</f>
        <v>795</v>
      </c>
      <c r="J19" s="292">
        <f t="shared" si="4"/>
        <v>6161.25</v>
      </c>
      <c r="K19" s="292">
        <f t="shared" si="5"/>
        <v>357.75</v>
      </c>
      <c r="L19" s="20">
        <f>'أخذ التمام الصباحي'!N17</f>
        <v>7001</v>
      </c>
      <c r="M19" s="2">
        <f t="shared" si="8"/>
        <v>38505.5</v>
      </c>
      <c r="N19" s="2">
        <f>L19*0.26</f>
        <v>1820.26</v>
      </c>
      <c r="O19" s="7">
        <f t="shared" si="9"/>
        <v>610.49</v>
      </c>
      <c r="P19" s="10">
        <f>'أخذ التمام الصباحي'!Q17</f>
        <v>1152</v>
      </c>
      <c r="Q19" s="7">
        <f t="shared" si="0"/>
        <v>541.51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9546</v>
      </c>
      <c r="G20" s="292">
        <f t="shared" si="2"/>
        <v>64435.5</v>
      </c>
      <c r="H20" s="292">
        <f t="shared" si="3"/>
        <v>3150.1800000000003</v>
      </c>
      <c r="I20" s="292">
        <f>'أخذ التمام الصباحي'!K18</f>
        <v>1886</v>
      </c>
      <c r="J20" s="292">
        <f t="shared" si="4"/>
        <v>14616.5</v>
      </c>
      <c r="K20" s="292">
        <f t="shared" si="5"/>
        <v>848.7</v>
      </c>
      <c r="L20" s="20">
        <f>'أخذ التمام الصباحي'!N18</f>
        <v>23846</v>
      </c>
      <c r="M20" s="2">
        <f t="shared" si="8"/>
        <v>131153</v>
      </c>
      <c r="N20" s="139">
        <f>L20*0.26</f>
        <v>6199.96</v>
      </c>
      <c r="O20" s="7">
        <f t="shared" si="9"/>
        <v>2102.0500000000002</v>
      </c>
      <c r="P20" s="10">
        <f>'أخذ التمام الصباحي'!Q18</f>
        <v>2450</v>
      </c>
      <c r="Q20" s="7">
        <f t="shared" si="0"/>
        <v>347.94999999999982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7082</v>
      </c>
      <c r="G21" s="292">
        <f t="shared" si="2"/>
        <v>47803.5</v>
      </c>
      <c r="H21" s="292">
        <f t="shared" si="3"/>
        <v>2337.06</v>
      </c>
      <c r="I21" s="292">
        <f>'أخذ التمام الصباحي'!K19</f>
        <v>1558</v>
      </c>
      <c r="J21" s="292">
        <f t="shared" si="4"/>
        <v>12074.5</v>
      </c>
      <c r="K21" s="292">
        <f t="shared" si="5"/>
        <v>701.1</v>
      </c>
      <c r="L21" s="6"/>
      <c r="M21" s="6"/>
      <c r="N21" s="6"/>
      <c r="O21" s="7">
        <f t="shared" si="9"/>
        <v>598.78</v>
      </c>
      <c r="P21" s="10">
        <f>'أخذ التمام الصباحي'!Q19</f>
        <v>680</v>
      </c>
      <c r="Q21" s="7">
        <f t="shared" si="0"/>
        <v>81.220000000000027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551</v>
      </c>
      <c r="D22" s="5">
        <f t="shared" si="7"/>
        <v>3030.5</v>
      </c>
      <c r="E22" s="5">
        <f>C22*0.25</f>
        <v>137.75</v>
      </c>
      <c r="F22" s="292">
        <f>'أخذ التمام الصباحي'!H20</f>
        <v>815</v>
      </c>
      <c r="G22" s="292">
        <f t="shared" si="2"/>
        <v>5501.25</v>
      </c>
      <c r="H22" s="292">
        <f t="shared" si="3"/>
        <v>268.95</v>
      </c>
      <c r="I22" s="6"/>
      <c r="J22" s="6"/>
      <c r="K22" s="6"/>
      <c r="L22" s="20">
        <f>'أخذ التمام الصباحي'!N20</f>
        <v>4996</v>
      </c>
      <c r="M22" s="2">
        <f t="shared" si="8"/>
        <v>27478</v>
      </c>
      <c r="N22" s="2">
        <f t="shared" ref="N22:N27" si="11">L22*0.26</f>
        <v>1298.96</v>
      </c>
      <c r="O22" s="7">
        <f t="shared" si="9"/>
        <v>360.09750000000003</v>
      </c>
      <c r="P22" s="10">
        <f>'أخذ التمام الصباحي'!Q20</f>
        <v>500</v>
      </c>
      <c r="Q22" s="7">
        <f t="shared" si="0"/>
        <v>139.90249999999997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1373</v>
      </c>
      <c r="G23" s="292">
        <f t="shared" si="2"/>
        <v>9267.75</v>
      </c>
      <c r="H23" s="292">
        <f t="shared" si="3"/>
        <v>453.09000000000003</v>
      </c>
      <c r="I23" s="6"/>
      <c r="J23" s="6"/>
      <c r="K23" s="6"/>
      <c r="L23" s="20">
        <f>'أخذ التمام الصباحي'!N21</f>
        <v>4177</v>
      </c>
      <c r="M23" s="2">
        <f t="shared" si="8"/>
        <v>22973.5</v>
      </c>
      <c r="N23" s="183">
        <f t="shared" si="11"/>
        <v>1086.02</v>
      </c>
      <c r="O23" s="7">
        <f t="shared" si="9"/>
        <v>322.41250000000002</v>
      </c>
      <c r="P23" s="10">
        <f>'أخذ التمام الصباحي'!Q21</f>
        <v>370</v>
      </c>
      <c r="Q23" s="7">
        <f t="shared" si="0"/>
        <v>47.587499999999977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14020</v>
      </c>
      <c r="G24" s="292">
        <f t="shared" si="2"/>
        <v>94635</v>
      </c>
      <c r="H24" s="292">
        <f t="shared" si="3"/>
        <v>4626.6000000000004</v>
      </c>
      <c r="I24" s="292">
        <f>'أخذ التمام الصباحي'!K22</f>
        <v>2127</v>
      </c>
      <c r="J24" s="292">
        <f t="shared" si="4"/>
        <v>16484.25</v>
      </c>
      <c r="K24" s="292">
        <f t="shared" si="5"/>
        <v>957.15</v>
      </c>
      <c r="L24" s="20">
        <f>'أخذ التمام الصباحي'!N22</f>
        <v>53852</v>
      </c>
      <c r="M24" s="2">
        <f t="shared" si="8"/>
        <v>296186</v>
      </c>
      <c r="N24" s="183">
        <f t="shared" si="11"/>
        <v>14001.52</v>
      </c>
      <c r="O24" s="7">
        <f t="shared" si="9"/>
        <v>4073.0524999999998</v>
      </c>
      <c r="P24" s="10">
        <f>'أخذ التمام الصباحي'!Q22</f>
        <v>5700</v>
      </c>
      <c r="Q24" s="7">
        <f t="shared" si="0"/>
        <v>1626.9475000000002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13382</v>
      </c>
      <c r="G25" s="292">
        <f t="shared" si="2"/>
        <v>90328.5</v>
      </c>
      <c r="H25" s="292">
        <f t="shared" si="3"/>
        <v>4416.0600000000004</v>
      </c>
      <c r="I25" s="292">
        <f>'أخذ التمام الصباحي'!K23</f>
        <v>2411</v>
      </c>
      <c r="J25" s="292">
        <f t="shared" si="4"/>
        <v>18685.25</v>
      </c>
      <c r="K25" s="292">
        <f t="shared" si="5"/>
        <v>1084.95</v>
      </c>
      <c r="L25" s="20">
        <f>'أخذ التمام الصباحي'!N23</f>
        <v>48535</v>
      </c>
      <c r="M25" s="2">
        <f t="shared" si="8"/>
        <v>266942.5</v>
      </c>
      <c r="N25" s="183">
        <f t="shared" si="11"/>
        <v>12619.1</v>
      </c>
      <c r="O25" s="7">
        <f t="shared" si="9"/>
        <v>3759.5625</v>
      </c>
      <c r="P25" s="10">
        <f>'أخذ التمام الصباحي'!Q23</f>
        <v>4660</v>
      </c>
      <c r="Q25" s="7">
        <f t="shared" si="0"/>
        <v>900.4375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10428</v>
      </c>
      <c r="G26" s="292">
        <f t="shared" si="2"/>
        <v>70389</v>
      </c>
      <c r="H26" s="292">
        <f t="shared" si="3"/>
        <v>3441.2400000000002</v>
      </c>
      <c r="I26" s="292">
        <f>'أخذ التمام الصباحي'!K24</f>
        <v>1669</v>
      </c>
      <c r="J26" s="292">
        <f t="shared" si="4"/>
        <v>12934.75</v>
      </c>
      <c r="K26" s="292">
        <f t="shared" si="5"/>
        <v>751.05000000000007</v>
      </c>
      <c r="L26" s="20">
        <f>'أخذ التمام الصباحي'!N24</f>
        <v>24409</v>
      </c>
      <c r="M26" s="2">
        <f t="shared" si="8"/>
        <v>134249.5</v>
      </c>
      <c r="N26" s="183">
        <f t="shared" si="11"/>
        <v>6346.34</v>
      </c>
      <c r="O26" s="7">
        <f t="shared" si="9"/>
        <v>2175.7325000000001</v>
      </c>
      <c r="P26" s="10">
        <f>'أخذ التمام الصباحي'!Q24</f>
        <v>2565</v>
      </c>
      <c r="Q26" s="7">
        <f t="shared" si="0"/>
        <v>389.26749999999993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6701</v>
      </c>
      <c r="G27" s="292">
        <f t="shared" si="2"/>
        <v>45231.75</v>
      </c>
      <c r="H27" s="292">
        <f t="shared" si="3"/>
        <v>2211.33</v>
      </c>
      <c r="I27" s="292">
        <f>'أخذ التمام الصباحي'!K25</f>
        <v>996</v>
      </c>
      <c r="J27" s="292">
        <f t="shared" si="4"/>
        <v>7719</v>
      </c>
      <c r="K27" s="292">
        <f t="shared" si="5"/>
        <v>448.2</v>
      </c>
      <c r="L27" s="20">
        <f>'أخذ التمام الصباحي'!N25</f>
        <v>26965</v>
      </c>
      <c r="M27" s="2">
        <f t="shared" si="8"/>
        <v>148307.5</v>
      </c>
      <c r="N27" s="183">
        <f t="shared" si="11"/>
        <v>7010.9000000000005</v>
      </c>
      <c r="O27" s="7">
        <f t="shared" si="9"/>
        <v>2012.5825</v>
      </c>
      <c r="P27" s="10">
        <f>'أخذ التمام الصباحي'!Q25</f>
        <v>2620</v>
      </c>
      <c r="Q27" s="7">
        <f t="shared" si="0"/>
        <v>607.41750000000002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3842</v>
      </c>
      <c r="D28" s="5">
        <f t="shared" ref="D28" si="12">C28*5.5</f>
        <v>21131</v>
      </c>
      <c r="E28" s="5">
        <f t="shared" ref="E28" si="13">C28*0.25</f>
        <v>960.5</v>
      </c>
      <c r="F28" s="301">
        <f>'أخذ التمام الصباحي'!H26</f>
        <v>8703</v>
      </c>
      <c r="G28" s="301">
        <f t="shared" ref="G28" si="14">F28*6.75</f>
        <v>58745.25</v>
      </c>
      <c r="H28" s="301">
        <f t="shared" ref="H28" si="15">F28*0.33</f>
        <v>2871.9900000000002</v>
      </c>
      <c r="I28" s="301">
        <f>'أخذ التمام الصباحي'!K26</f>
        <v>1783</v>
      </c>
      <c r="J28" s="301">
        <f t="shared" ref="J28" si="16">I28*7.75</f>
        <v>13818.25</v>
      </c>
      <c r="K28" s="301">
        <f t="shared" ref="K28" si="17">I28*0.45</f>
        <v>802.35</v>
      </c>
      <c r="L28" s="301">
        <f>'أخذ التمام الصباحي'!N26</f>
        <v>16546</v>
      </c>
      <c r="M28" s="301">
        <f t="shared" ref="M28" si="18">L28*5.5</f>
        <v>91003</v>
      </c>
      <c r="N28" s="301">
        <f t="shared" ref="N28" si="19">L28*0.26</f>
        <v>4301.96</v>
      </c>
      <c r="O28" s="7">
        <f t="shared" ref="O28" si="20">SUM(D28,G28,J28,M28)/100</f>
        <v>1846.9749999999999</v>
      </c>
      <c r="P28" s="10">
        <f>'أخذ التمام الصباحي'!Q26</f>
        <v>1150</v>
      </c>
      <c r="Q28" s="7">
        <f t="shared" ref="Q28" si="21">P28-O28</f>
        <v>-696.97499999999991</v>
      </c>
    </row>
    <row r="29" spans="1:17" ht="25.5" customHeight="1" thickBot="1" x14ac:dyDescent="0.25">
      <c r="A29" s="309">
        <v>23</v>
      </c>
      <c r="B29" s="309" t="s">
        <v>121</v>
      </c>
      <c r="C29" s="386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9664</v>
      </c>
      <c r="G29" s="321">
        <f t="shared" ref="G29:G33" si="24">F29*6.75</f>
        <v>65232</v>
      </c>
      <c r="H29" s="321">
        <f t="shared" ref="H29:H33" si="25">F29*0.33</f>
        <v>3189.1200000000003</v>
      </c>
      <c r="I29" s="5">
        <f>'أخذ التمام الصباحي'!K27</f>
        <v>1491</v>
      </c>
      <c r="J29" s="321">
        <f t="shared" ref="J29:J33" si="26">I29*7.75</f>
        <v>11555.25</v>
      </c>
      <c r="K29" s="321">
        <f t="shared" ref="K29:K33" si="27">I29*0.45</f>
        <v>670.95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767.87249999999995</v>
      </c>
      <c r="P29" s="10">
        <f>'أخذ التمام الصباحي'!Q27</f>
        <v>910</v>
      </c>
      <c r="Q29" s="7">
        <f t="shared" ref="Q29:Q33" si="31">P29-O29</f>
        <v>142.12750000000005</v>
      </c>
    </row>
    <row r="30" spans="1:17" ht="25.5" customHeight="1" thickBot="1" x14ac:dyDescent="0.25">
      <c r="A30" s="309">
        <v>24</v>
      </c>
      <c r="B30" s="309" t="s">
        <v>168</v>
      </c>
      <c r="C30" s="386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31846</v>
      </c>
      <c r="G30" s="321">
        <f t="shared" si="24"/>
        <v>214960.5</v>
      </c>
      <c r="H30" s="321">
        <f t="shared" si="25"/>
        <v>10509.18</v>
      </c>
      <c r="I30" s="5">
        <f>'أخذ التمام الصباحي'!K28</f>
        <v>10243</v>
      </c>
      <c r="J30" s="321">
        <f t="shared" si="26"/>
        <v>79383.25</v>
      </c>
      <c r="K30" s="321">
        <f t="shared" si="27"/>
        <v>4609.3500000000004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2943.4375</v>
      </c>
      <c r="P30" s="10">
        <f>'أخذ التمام الصباحي'!Q28</f>
        <v>1400</v>
      </c>
      <c r="Q30" s="7">
        <f t="shared" si="31"/>
        <v>-1543.4375</v>
      </c>
    </row>
    <row r="31" spans="1:17" ht="25.5" customHeight="1" thickBot="1" x14ac:dyDescent="0.25">
      <c r="A31" s="309">
        <v>25</v>
      </c>
      <c r="B31" s="309" t="s">
        <v>169</v>
      </c>
      <c r="C31" s="386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35318</v>
      </c>
      <c r="G31" s="321">
        <f t="shared" si="24"/>
        <v>238396.5</v>
      </c>
      <c r="H31" s="321">
        <f t="shared" si="25"/>
        <v>11654.94</v>
      </c>
      <c r="I31" s="5">
        <f>'أخذ التمام الصباحي'!K29</f>
        <v>10002</v>
      </c>
      <c r="J31" s="321">
        <f t="shared" si="26"/>
        <v>77515.5</v>
      </c>
      <c r="K31" s="321">
        <f t="shared" si="27"/>
        <v>4500.9000000000005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3159.12</v>
      </c>
      <c r="P31" s="10">
        <f>'أخذ التمام الصباحي'!Q29</f>
        <v>3750</v>
      </c>
      <c r="Q31" s="7">
        <f t="shared" si="31"/>
        <v>590.88000000000011</v>
      </c>
    </row>
    <row r="32" spans="1:17" ht="25.5" customHeight="1" thickBot="1" x14ac:dyDescent="0.25">
      <c r="A32" s="309">
        <v>26</v>
      </c>
      <c r="B32" s="319" t="s">
        <v>170</v>
      </c>
      <c r="C32" s="386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37039</v>
      </c>
      <c r="G32" s="321">
        <f t="shared" si="24"/>
        <v>250013.25</v>
      </c>
      <c r="H32" s="321">
        <f t="shared" si="25"/>
        <v>12222.87</v>
      </c>
      <c r="I32" s="5">
        <f>'أخذ التمام الصباحي'!K30</f>
        <v>9840</v>
      </c>
      <c r="J32" s="321">
        <f t="shared" si="26"/>
        <v>76260</v>
      </c>
      <c r="K32" s="321">
        <f t="shared" si="27"/>
        <v>4428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3262.7325000000001</v>
      </c>
      <c r="P32" s="10">
        <f>'أخذ التمام الصباحي'!Q30</f>
        <v>0</v>
      </c>
      <c r="Q32" s="7">
        <f t="shared" si="31"/>
        <v>-3262.7325000000001</v>
      </c>
    </row>
    <row r="33" spans="1:17" ht="25.5" customHeight="1" thickBot="1" x14ac:dyDescent="0.25">
      <c r="A33" s="309">
        <v>27</v>
      </c>
      <c r="B33" s="319" t="s">
        <v>171</v>
      </c>
      <c r="C33" s="386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58842</v>
      </c>
      <c r="G33" s="321">
        <f t="shared" si="24"/>
        <v>397183.5</v>
      </c>
      <c r="H33" s="321">
        <f t="shared" si="25"/>
        <v>19417.86</v>
      </c>
      <c r="I33" s="5">
        <f>'أخذ التمام الصباحي'!K31</f>
        <v>13645</v>
      </c>
      <c r="J33" s="321">
        <f t="shared" si="26"/>
        <v>105748.75</v>
      </c>
      <c r="K33" s="321">
        <f t="shared" si="27"/>
        <v>6140.25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5029.3225000000002</v>
      </c>
      <c r="P33" s="10">
        <f>'أخذ التمام الصباحي'!Q31</f>
        <v>5900</v>
      </c>
      <c r="Q33" s="7">
        <f t="shared" si="31"/>
        <v>870.67749999999978</v>
      </c>
    </row>
    <row r="34" spans="1:17" ht="25.5" customHeight="1" thickBot="1" x14ac:dyDescent="0.25">
      <c r="A34" s="358">
        <v>28</v>
      </c>
      <c r="B34" s="319" t="s">
        <v>197</v>
      </c>
      <c r="C34" s="386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20" t="s">
        <v>34</v>
      </c>
      <c r="B38" s="420"/>
      <c r="C38" s="43">
        <f>SUM(C7:C37)</f>
        <v>54865</v>
      </c>
      <c r="D38" s="43">
        <f t="shared" ref="D38:Q38" si="42">SUM(D7:D37)</f>
        <v>301757.5</v>
      </c>
      <c r="E38" s="43">
        <f t="shared" si="42"/>
        <v>13716.25</v>
      </c>
      <c r="F38" s="43">
        <f t="shared" si="42"/>
        <v>501581</v>
      </c>
      <c r="G38" s="43">
        <f t="shared" si="42"/>
        <v>3385671.75</v>
      </c>
      <c r="H38" s="43">
        <f t="shared" si="42"/>
        <v>165521.73000000004</v>
      </c>
      <c r="I38" s="43">
        <f t="shared" si="42"/>
        <v>122730</v>
      </c>
      <c r="J38" s="43">
        <f t="shared" si="42"/>
        <v>951157.5</v>
      </c>
      <c r="K38" s="43">
        <f t="shared" si="42"/>
        <v>55228.499999999993</v>
      </c>
      <c r="L38" s="43">
        <f t="shared" si="42"/>
        <v>347964</v>
      </c>
      <c r="M38" s="43">
        <f t="shared" si="42"/>
        <v>1913802</v>
      </c>
      <c r="N38" s="43">
        <f t="shared" si="42"/>
        <v>90470.64</v>
      </c>
      <c r="O38" s="43">
        <f t="shared" si="42"/>
        <v>65523.887499999997</v>
      </c>
      <c r="P38" s="43">
        <f t="shared" si="42"/>
        <v>62191</v>
      </c>
      <c r="Q38" s="43">
        <f t="shared" si="42"/>
        <v>-3332.8874999999989</v>
      </c>
    </row>
    <row r="39" spans="1:17" ht="32.25" customHeight="1" thickBot="1" x14ac:dyDescent="0.25">
      <c r="A39" s="413" t="s">
        <v>75</v>
      </c>
      <c r="B39" s="413"/>
      <c r="C39" s="403">
        <f>C38+F38+I38+L38</f>
        <v>1027140</v>
      </c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5"/>
    </row>
    <row r="40" spans="1:17" ht="30.75" customHeight="1" thickBot="1" x14ac:dyDescent="0.25">
      <c r="A40" s="413" t="s">
        <v>47</v>
      </c>
      <c r="B40" s="413"/>
      <c r="C40" s="406">
        <f>D38+G38+J38+M38</f>
        <v>6552388.75</v>
      </c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7"/>
      <c r="P40" s="407"/>
      <c r="Q40" s="408"/>
    </row>
    <row r="41" spans="1:17" ht="30.75" customHeight="1" thickBot="1" x14ac:dyDescent="0.25">
      <c r="A41" s="413" t="s">
        <v>48</v>
      </c>
      <c r="B41" s="413"/>
      <c r="C41" s="415">
        <f>E38+H38+K38+N38</f>
        <v>324937.12000000005</v>
      </c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7"/>
    </row>
  </sheetData>
  <customSheetViews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1"/>
    </customSheetView>
    <customSheetView guid="{18C0F7AC-4BB1-46DE-8A01-8E31FE0585FC}" scale="73" fitToPage="1">
      <pane xSplit="2" ySplit="6" topLeftCell="C19" activePane="bottomRight" state="frozen"/>
      <selection pane="bottomRight" activeCell="D28" sqref="D28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4" t="s">
        <v>108</v>
      </c>
      <c r="C2" s="564"/>
      <c r="D2" s="564"/>
      <c r="E2" s="564"/>
    </row>
    <row r="3" spans="1:13" ht="15" thickBot="1" x14ac:dyDescent="0.25"/>
    <row r="4" spans="1:13" ht="15.75" thickBot="1" x14ac:dyDescent="0.25">
      <c r="A4" s="504" t="s">
        <v>3</v>
      </c>
      <c r="B4" s="409" t="s">
        <v>90</v>
      </c>
      <c r="C4" s="566"/>
      <c r="D4" s="566"/>
      <c r="E4" s="566"/>
      <c r="F4" s="410"/>
    </row>
    <row r="5" spans="1:13" ht="15.75" thickBot="1" x14ac:dyDescent="0.25">
      <c r="A5" s="505"/>
      <c r="B5" s="409" t="s">
        <v>83</v>
      </c>
      <c r="C5" s="566"/>
      <c r="D5" s="565" t="s">
        <v>81</v>
      </c>
      <c r="E5" s="567"/>
      <c r="F5" s="109" t="s">
        <v>107</v>
      </c>
      <c r="I5" s="504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6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6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68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68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3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2"/>
      <c r="C16" s="52" t="s">
        <v>93</v>
      </c>
      <c r="D16" s="53">
        <f>[1]التعاون.ملخص!$D$10</f>
        <v>0</v>
      </c>
    </row>
    <row r="17" spans="2:4" ht="16.5" thickBot="1" x14ac:dyDescent="0.25">
      <c r="B17" s="573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2"/>
      <c r="C18" s="61" t="s">
        <v>93</v>
      </c>
      <c r="D18" s="62" t="e">
        <f>[1]التعاون.ملخص!$D$11</f>
        <v>#VALUE!</v>
      </c>
    </row>
  </sheetData>
  <customSheetViews>
    <customSheetView guid="{8317B6D8-8A99-4EB0-9DBC-8E9AE0170A4B}">
      <selection activeCell="D19" sqref="D19"/>
      <pageMargins left="0.7" right="0.7" top="0.75" bottom="0.75" header="0.3" footer="0.3"/>
      <pageSetup paperSize="9" orientation="portrait" r:id="rId1"/>
    </customSheetView>
    <customSheetView guid="{18C0F7AC-4BB1-46DE-8A01-8E31FE0585FC}">
      <selection sqref="A1:N20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4" t="s">
        <v>108</v>
      </c>
      <c r="C2" s="564"/>
      <c r="D2" s="564"/>
      <c r="E2" s="564"/>
    </row>
    <row r="3" spans="1:13" ht="15" thickBot="1" x14ac:dyDescent="0.25"/>
    <row r="4" spans="1:13" ht="15.75" thickBot="1" x14ac:dyDescent="0.25">
      <c r="A4" s="504" t="s">
        <v>3</v>
      </c>
      <c r="B4" s="409" t="s">
        <v>165</v>
      </c>
      <c r="C4" s="566"/>
      <c r="D4" s="566"/>
      <c r="E4" s="566"/>
      <c r="F4" s="410"/>
    </row>
    <row r="5" spans="1:13" ht="15.75" thickBot="1" x14ac:dyDescent="0.25">
      <c r="A5" s="505"/>
      <c r="B5" s="409" t="s">
        <v>83</v>
      </c>
      <c r="C5" s="566"/>
      <c r="D5" s="565" t="s">
        <v>81</v>
      </c>
      <c r="E5" s="567"/>
      <c r="F5" s="308" t="s">
        <v>107</v>
      </c>
      <c r="I5" s="504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6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6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68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68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3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2"/>
      <c r="C16" s="52" t="s">
        <v>93</v>
      </c>
      <c r="D16" s="53">
        <f>[1]التعاون.ملخص!$D$10</f>
        <v>0</v>
      </c>
    </row>
    <row r="17" spans="2:4" ht="16.5" thickBot="1" x14ac:dyDescent="0.25">
      <c r="B17" s="573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2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2" t="str">
        <f>'منطقة القاهرة'!A4</f>
        <v>المحطة</v>
      </c>
      <c r="B1" s="402" t="str">
        <f>'منطقة القاهرة'!B4</f>
        <v xml:space="preserve">الهايكستب </v>
      </c>
      <c r="C1" s="402">
        <f>'منطقة القاهرة'!C4</f>
        <v>0</v>
      </c>
      <c r="D1" s="453">
        <f>'منطقة القاهرة'!D4</f>
        <v>0</v>
      </c>
      <c r="E1" s="565" t="str">
        <f>'منطقة القاهرة'!E4</f>
        <v>مسطرد</v>
      </c>
      <c r="F1" s="566">
        <f>'منطقة القاهرة'!F4</f>
        <v>0</v>
      </c>
      <c r="G1" s="566">
        <f>'منطقة القاهرة'!G4</f>
        <v>0</v>
      </c>
      <c r="H1" s="410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2">
        <f>'منطقة القاهرة'!A5</f>
        <v>0</v>
      </c>
      <c r="B2" s="409" t="str">
        <f>'منطقة القاهرة'!B5</f>
        <v>تعاون</v>
      </c>
      <c r="C2" s="566">
        <f>'منطقة القاهرة'!C5</f>
        <v>0</v>
      </c>
      <c r="D2" s="567">
        <f>'منطقة القاهرة'!D5</f>
        <v>0</v>
      </c>
      <c r="E2" s="269" t="str">
        <f>'منطقة القاهرة'!E5</f>
        <v>تعاون</v>
      </c>
      <c r="F2" s="409" t="str">
        <f>'منطقة القاهرة'!F5</f>
        <v>موبيل</v>
      </c>
      <c r="G2" s="566">
        <f>'منطقة القاهرة'!G5</f>
        <v>0</v>
      </c>
      <c r="H2" s="410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610</v>
      </c>
    </row>
    <row r="3" spans="1:13" ht="16.5" thickBot="1" x14ac:dyDescent="0.3">
      <c r="A3" s="452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754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2042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3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817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72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3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2" t="str">
        <f>'منطقة السويس'!A4</f>
        <v>المحطة</v>
      </c>
      <c r="B13" s="409" t="str">
        <f>'منطقة السويس'!B4</f>
        <v>السويس</v>
      </c>
      <c r="C13" s="566">
        <f>'منطقة السويس'!C4</f>
        <v>0</v>
      </c>
      <c r="D13" s="566">
        <f>'منطقة السويس'!D4</f>
        <v>0</v>
      </c>
      <c r="E13" s="566">
        <f>'منطقة السويس'!E4</f>
        <v>0</v>
      </c>
      <c r="F13" s="566">
        <f>'منطقة السويس'!F4</f>
        <v>0</v>
      </c>
      <c r="G13" s="566">
        <f>'منطقة السويس'!G4</f>
        <v>0</v>
      </c>
      <c r="H13" s="410">
        <f>'منطقة السويس'!H4</f>
        <v>0</v>
      </c>
      <c r="I13" s="276" t="s">
        <v>119</v>
      </c>
      <c r="K13" s="574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2">
        <f>'منطقة السويس'!A5</f>
        <v>0</v>
      </c>
      <c r="B14" s="120" t="str">
        <f>'منطقة السويس'!B5</f>
        <v>تعاون</v>
      </c>
      <c r="C14" s="568" t="str">
        <f>'منطقة السويس'!C5</f>
        <v>موبيل</v>
      </c>
      <c r="D14" s="543">
        <f>'منطقة السويس'!D5</f>
        <v>0</v>
      </c>
      <c r="E14" s="569">
        <f>'منطقة السويس'!E5</f>
        <v>0</v>
      </c>
      <c r="F14" s="543" t="str">
        <f>'منطقة السويس'!F5</f>
        <v>مصر</v>
      </c>
      <c r="G14" s="543">
        <f>'منطقة السويس'!G5</f>
        <v>0</v>
      </c>
      <c r="H14" s="544">
        <f>'منطقة السويس'!H5</f>
        <v>0</v>
      </c>
      <c r="I14" s="275" t="s">
        <v>83</v>
      </c>
      <c r="K14" s="574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2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71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68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70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71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70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72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5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2" t="str">
        <f>'منطقة الاسكندرية'!A4</f>
        <v>المحطة</v>
      </c>
      <c r="B22" s="409" t="str">
        <f>'منطقة الاسكندرية'!B4</f>
        <v>الماكس</v>
      </c>
      <c r="C22" s="566">
        <f>'منطقة الاسكندرية'!C4</f>
        <v>0</v>
      </c>
      <c r="D22" s="566">
        <f>'منطقة الاسكندرية'!D4</f>
        <v>0</v>
      </c>
      <c r="E22" s="566">
        <f>'منطقة الاسكندرية'!E4</f>
        <v>0</v>
      </c>
      <c r="F22" s="566">
        <f>'منطقة الاسكندرية'!F4</f>
        <v>0</v>
      </c>
      <c r="G22" s="566">
        <f>'منطقة الاسكندرية'!G4</f>
        <v>0</v>
      </c>
      <c r="H22" s="566">
        <f>'منطقة الاسكندرية'!H4</f>
        <v>0</v>
      </c>
      <c r="I22" s="410">
        <f>'منطقة الاسكندرية'!I4</f>
        <v>0</v>
      </c>
      <c r="K22" s="576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98</v>
      </c>
    </row>
    <row r="23" spans="1:13" ht="16.5" thickBot="1" x14ac:dyDescent="0.3">
      <c r="A23" s="452">
        <f>'منطقة الاسكندرية'!A5</f>
        <v>0</v>
      </c>
      <c r="B23" s="545" t="str">
        <f>'منطقة الاسكندرية'!B5</f>
        <v>تعاون</v>
      </c>
      <c r="C23" s="545">
        <f>'منطقة الاسكندرية'!C5</f>
        <v>0</v>
      </c>
      <c r="D23" s="561">
        <f>'منطقة الاسكندرية'!D5</f>
        <v>0</v>
      </c>
      <c r="E23" s="578" t="str">
        <f>'منطقة الاسكندرية'!E5</f>
        <v>مصر</v>
      </c>
      <c r="F23" s="579">
        <f>'منطقة الاسكندرية'!F5</f>
        <v>0</v>
      </c>
      <c r="G23" s="562" t="str">
        <f>'منطقة الاسكندرية'!G5</f>
        <v>موبيل</v>
      </c>
      <c r="H23" s="545">
        <f>'منطقة الاسكندرية'!H5</f>
        <v>0</v>
      </c>
      <c r="I23" s="545">
        <f>'منطقة الاسكندرية'!I5</f>
        <v>0</v>
      </c>
      <c r="K23" s="577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2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49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5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6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147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7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80"/>
      <c r="D30" s="580"/>
    </row>
    <row r="31" spans="1:13" ht="16.5" thickBot="1" x14ac:dyDescent="0.3">
      <c r="A31" s="504" t="str">
        <f>'منطقة طنطا'!A4</f>
        <v>المحطة</v>
      </c>
      <c r="B31" s="409" t="str">
        <f>'منطقة طنطا'!B4</f>
        <v>طنطا</v>
      </c>
      <c r="C31" s="566">
        <f>'منطقة طنطا'!C4</f>
        <v>0</v>
      </c>
      <c r="D31" s="566">
        <f>'منطقة طنطا'!D4</f>
        <v>0</v>
      </c>
      <c r="E31" s="566">
        <f>'منطقة طنطا'!E4</f>
        <v>0</v>
      </c>
      <c r="F31" s="410">
        <f>'منطقة طنطا'!F4</f>
        <v>0</v>
      </c>
      <c r="H31" s="78"/>
      <c r="I31" s="78"/>
      <c r="J31" s="78"/>
      <c r="K31" s="573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5">
        <f>'منطقة طنطا'!A5</f>
        <v>0</v>
      </c>
      <c r="B32" s="409" t="str">
        <f>'منطقة طنطا'!B5</f>
        <v>مصر</v>
      </c>
      <c r="C32" s="566">
        <f>'منطقة طنطا'!C5</f>
        <v>0</v>
      </c>
      <c r="D32" s="565" t="str">
        <f>'منطقة طنطا'!D5</f>
        <v>تعاون</v>
      </c>
      <c r="E32" s="567">
        <f>'منطقة طنطا'!E5</f>
        <v>0</v>
      </c>
      <c r="F32" s="266" t="str">
        <f>'منطقة طنطا'!F5</f>
        <v>تعاون هايكستب</v>
      </c>
      <c r="K32" s="572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6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3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72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9" t="s">
        <v>0</v>
      </c>
      <c r="B1" s="429"/>
      <c r="C1" s="429"/>
      <c r="D1" s="429"/>
      <c r="O1" s="428"/>
      <c r="P1" s="428"/>
    </row>
    <row r="2" spans="1:17" ht="15" x14ac:dyDescent="0.2">
      <c r="A2" s="429" t="s">
        <v>1</v>
      </c>
      <c r="B2" s="429"/>
      <c r="C2" s="429"/>
      <c r="D2" s="429"/>
    </row>
    <row r="3" spans="1:17" ht="15" x14ac:dyDescent="0.2">
      <c r="A3" s="429" t="s">
        <v>2</v>
      </c>
      <c r="B3" s="429"/>
      <c r="C3" s="429"/>
      <c r="D3" s="429"/>
    </row>
    <row r="4" spans="1:17" ht="15" x14ac:dyDescent="0.2">
      <c r="A4" s="429" t="s">
        <v>53</v>
      </c>
      <c r="B4" s="429"/>
      <c r="C4" s="429"/>
      <c r="D4" s="429"/>
    </row>
    <row r="5" spans="1:17" ht="15" x14ac:dyDescent="0.2">
      <c r="A5" s="422" t="s">
        <v>196</v>
      </c>
      <c r="B5" s="422"/>
      <c r="C5" s="422"/>
      <c r="D5" s="422"/>
    </row>
    <row r="6" spans="1:17" ht="24" thickBot="1" x14ac:dyDescent="0.25">
      <c r="H6" s="433" t="s">
        <v>54</v>
      </c>
      <c r="I6" s="433"/>
      <c r="J6" s="433"/>
      <c r="K6" s="433"/>
    </row>
    <row r="7" spans="1:17" ht="20.25" customHeight="1" thickBot="1" x14ac:dyDescent="0.25">
      <c r="B7" s="424" t="s">
        <v>55</v>
      </c>
      <c r="C7" s="425"/>
      <c r="D7" s="425"/>
      <c r="E7" s="426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6"/>
    </row>
    <row r="8" spans="1:17" ht="13.5" thickBot="1" x14ac:dyDescent="0.25">
      <c r="B8" s="427" t="s">
        <v>52</v>
      </c>
      <c r="C8" s="423" t="s">
        <v>5</v>
      </c>
      <c r="D8" s="423"/>
      <c r="E8" s="423"/>
      <c r="F8" s="423" t="s">
        <v>11</v>
      </c>
      <c r="G8" s="423"/>
      <c r="H8" s="423"/>
      <c r="I8" s="423" t="s">
        <v>12</v>
      </c>
      <c r="J8" s="423"/>
      <c r="K8" s="423"/>
      <c r="L8" s="423" t="s">
        <v>50</v>
      </c>
      <c r="M8" s="423"/>
      <c r="N8" s="423"/>
      <c r="O8" s="423" t="s">
        <v>56</v>
      </c>
      <c r="P8" s="423"/>
      <c r="Q8" s="423"/>
    </row>
    <row r="9" spans="1:17" ht="13.5" thickBot="1" x14ac:dyDescent="0.25">
      <c r="B9" s="427"/>
      <c r="C9" s="423"/>
      <c r="D9" s="423"/>
      <c r="E9" s="423"/>
      <c r="F9" s="423"/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23"/>
    </row>
    <row r="10" spans="1:17" ht="20.100000000000001" customHeight="1" thickBot="1" x14ac:dyDescent="0.25">
      <c r="B10" s="427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102000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561000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136000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272000</v>
      </c>
      <c r="N11" s="13" t="e">
        <f>M11/L11</f>
        <v>#DIV/0!</v>
      </c>
      <c r="O11" s="140">
        <f>C11+F11+I11+L11</f>
        <v>0</v>
      </c>
      <c r="P11" s="140">
        <f>D11+G11+J11+M11</f>
        <v>1071000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25"/>
      <c r="D15" s="425"/>
      <c r="E15" s="426"/>
      <c r="P15" s="424" t="s">
        <v>51</v>
      </c>
      <c r="Q15" s="426"/>
    </row>
    <row r="16" spans="1:17" ht="13.5" thickBot="1" x14ac:dyDescent="0.25">
      <c r="B16" s="427" t="s">
        <v>52</v>
      </c>
      <c r="C16" s="423" t="s">
        <v>5</v>
      </c>
      <c r="D16" s="423"/>
      <c r="E16" s="423"/>
      <c r="F16" s="423" t="s">
        <v>11</v>
      </c>
      <c r="G16" s="423"/>
      <c r="H16" s="423"/>
      <c r="I16" s="423" t="s">
        <v>12</v>
      </c>
      <c r="J16" s="423"/>
      <c r="K16" s="423"/>
      <c r="L16" s="423" t="s">
        <v>50</v>
      </c>
      <c r="M16" s="423"/>
      <c r="N16" s="423"/>
      <c r="O16" s="423" t="s">
        <v>56</v>
      </c>
      <c r="P16" s="423"/>
      <c r="Q16" s="423"/>
    </row>
    <row r="17" spans="2:17" ht="13.5" thickBot="1" x14ac:dyDescent="0.25">
      <c r="B17" s="427"/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3"/>
      <c r="P17" s="423"/>
      <c r="Q17" s="423"/>
    </row>
    <row r="18" spans="2:17" ht="20.100000000000001" customHeight="1" thickBot="1" x14ac:dyDescent="0.25">
      <c r="B18" s="427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54865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501581</v>
      </c>
      <c r="G19" s="209">
        <f>'موقف المحطات'!$G$20</f>
        <v>561000</v>
      </c>
      <c r="H19" s="13">
        <f>G19/F19</f>
        <v>1.118463418670165</v>
      </c>
      <c r="I19" s="209">
        <f>'موقف المحطات'!$I$20</f>
        <v>122730</v>
      </c>
      <c r="J19" s="209">
        <f>'موقف المحطات'!$J$20</f>
        <v>136000</v>
      </c>
      <c r="K19" s="13">
        <f>J19/I19</f>
        <v>1.1081235231809663</v>
      </c>
      <c r="L19" s="209">
        <f>'موقف المحطات'!$L$20</f>
        <v>347964</v>
      </c>
      <c r="M19" s="209">
        <f>'موقف المحطات'!$M$20</f>
        <v>272000</v>
      </c>
      <c r="N19" s="13">
        <f>M19/L19</f>
        <v>0.78169005989125306</v>
      </c>
      <c r="O19" s="140">
        <f>C19+F19+I19+L19</f>
        <v>1027140</v>
      </c>
      <c r="P19" s="140">
        <f>D19+G19+J19+M19</f>
        <v>969000</v>
      </c>
      <c r="Q19" s="13">
        <f>P19/O19</f>
        <v>0.94339622641509435</v>
      </c>
    </row>
    <row r="20" spans="2:17" ht="22.5" customHeight="1" thickBot="1" x14ac:dyDescent="0.25">
      <c r="B20" s="145" t="s">
        <v>64</v>
      </c>
      <c r="C20" s="140">
        <f>المبيعات!C38</f>
        <v>54865</v>
      </c>
      <c r="D20" s="140">
        <f>D11</f>
        <v>102000</v>
      </c>
      <c r="E20" s="13">
        <f>IFERROR(D20/C20,0)</f>
        <v>1.85910872140709</v>
      </c>
      <c r="F20" s="140">
        <f>المبيعات!F38</f>
        <v>501581</v>
      </c>
      <c r="G20" s="140">
        <f>G11</f>
        <v>561000</v>
      </c>
      <c r="H20" s="13">
        <f>IFERROR(G20/F20,0)</f>
        <v>1.118463418670165</v>
      </c>
      <c r="I20" s="140">
        <f>المبيعات!I38</f>
        <v>122730</v>
      </c>
      <c r="J20" s="140">
        <f>J11</f>
        <v>136000</v>
      </c>
      <c r="K20" s="13">
        <f>IFERROR(J20/I20,0)</f>
        <v>1.1081235231809663</v>
      </c>
      <c r="L20" s="140">
        <f>المبيعات!L38</f>
        <v>347964</v>
      </c>
      <c r="M20" s="140">
        <f>M11</f>
        <v>272000</v>
      </c>
      <c r="N20" s="13">
        <f>IFERROR(M20/L20,0)</f>
        <v>0.78169005989125306</v>
      </c>
      <c r="O20" s="140">
        <f>C20+F20+I20+L20</f>
        <v>1027140</v>
      </c>
      <c r="P20" s="140">
        <f>P11</f>
        <v>1071000</v>
      </c>
      <c r="Q20" s="13">
        <f>IFERROR(P20/O20,0)</f>
        <v>1.0427010923535254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25"/>
      <c r="D24" s="425"/>
      <c r="E24" s="426"/>
      <c r="P24" s="436" t="s">
        <v>51</v>
      </c>
      <c r="Q24" s="437"/>
    </row>
    <row r="25" spans="2:17" ht="18" customHeight="1" thickBot="1" x14ac:dyDescent="0.25">
      <c r="B25" s="434" t="s">
        <v>52</v>
      </c>
      <c r="C25" s="430" t="s">
        <v>163</v>
      </c>
      <c r="D25" s="431"/>
      <c r="E25" s="432"/>
      <c r="F25" s="430" t="s">
        <v>158</v>
      </c>
      <c r="G25" s="431"/>
      <c r="H25" s="432"/>
      <c r="I25" s="430" t="s">
        <v>121</v>
      </c>
      <c r="J25" s="431"/>
      <c r="K25" s="432"/>
      <c r="L25" s="430" t="s">
        <v>112</v>
      </c>
      <c r="M25" s="431"/>
      <c r="N25" s="432"/>
      <c r="O25" s="430" t="s">
        <v>113</v>
      </c>
      <c r="P25" s="431"/>
      <c r="Q25" s="432"/>
    </row>
    <row r="26" spans="2:17" ht="16.5" customHeight="1" thickBot="1" x14ac:dyDescent="0.25">
      <c r="B26" s="435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30648</v>
      </c>
      <c r="D28" s="147">
        <f>'أخذ التمام الصباحي'!K6</f>
        <v>10159</v>
      </c>
      <c r="E28" s="224"/>
      <c r="F28" s="147">
        <f>'أخذ التمام الصباحي'!H7</f>
        <v>20553</v>
      </c>
      <c r="G28" s="147">
        <f>'أخذ التمام الصباحي'!K7</f>
        <v>3554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8" t="s">
        <v>173</v>
      </c>
      <c r="C32" s="439"/>
      <c r="D32" s="439"/>
      <c r="E32" s="439"/>
      <c r="F32" s="440" t="s">
        <v>60</v>
      </c>
      <c r="G32" s="441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3480</v>
      </c>
      <c r="E34" s="143">
        <f>'التمام الصباحي'!O39</f>
        <v>1335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188</v>
      </c>
      <c r="D35" s="147">
        <f>'التمام الصباحي'!J39</f>
        <v>2301</v>
      </c>
      <c r="E35" s="143">
        <f>'التمام الصباحي'!P39</f>
        <v>783</v>
      </c>
      <c r="F35" s="147">
        <f>'التمام الصباحي'!V39</f>
        <v>1984</v>
      </c>
      <c r="G35" s="147">
        <f>SUM(C35:F35)</f>
        <v>5256</v>
      </c>
    </row>
    <row r="36" spans="2:8" ht="20.25" customHeight="1" thickBot="1" x14ac:dyDescent="0.25">
      <c r="B36" s="39" t="s">
        <v>37</v>
      </c>
      <c r="C36" s="424">
        <f>'التمام الصباحي'!C42:Z42</f>
        <v>2469</v>
      </c>
      <c r="D36" s="425"/>
      <c r="E36" s="425"/>
      <c r="F36" s="425"/>
      <c r="G36" s="426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459</v>
      </c>
      <c r="D37" s="425"/>
      <c r="E37" s="425"/>
      <c r="F37" s="425"/>
      <c r="G37" s="426"/>
      <c r="H37" s="157"/>
    </row>
    <row r="38" spans="2:8" ht="21" customHeight="1" thickBot="1" x14ac:dyDescent="0.25">
      <c r="B38" s="39" t="s">
        <v>69</v>
      </c>
      <c r="C38" s="424">
        <f>G35+C37</f>
        <v>5715</v>
      </c>
      <c r="D38" s="425"/>
      <c r="E38" s="425"/>
      <c r="F38" s="425"/>
      <c r="G38" s="426"/>
      <c r="H38" s="157"/>
    </row>
    <row r="39" spans="2:8" ht="19.5" customHeight="1" thickBot="1" x14ac:dyDescent="0.25">
      <c r="B39" s="141" t="s">
        <v>70</v>
      </c>
      <c r="C39" s="424">
        <f>C36-C37</f>
        <v>2010</v>
      </c>
      <c r="D39" s="425"/>
      <c r="E39" s="425"/>
      <c r="F39" s="425"/>
      <c r="G39" s="426"/>
      <c r="H39" s="157"/>
    </row>
    <row r="40" spans="2:8" ht="20.100000000000001" customHeight="1" thickBot="1" x14ac:dyDescent="0.25">
      <c r="B40" s="141" t="s">
        <v>71</v>
      </c>
      <c r="C40" s="424">
        <f>P19/1000</f>
        <v>969</v>
      </c>
      <c r="D40" s="425"/>
      <c r="E40" s="425"/>
      <c r="F40" s="425"/>
      <c r="G40" s="426"/>
      <c r="H40" s="157"/>
    </row>
    <row r="41" spans="2:8" ht="20.100000000000001" customHeight="1" thickBot="1" x14ac:dyDescent="0.25">
      <c r="B41" s="141" t="s">
        <v>110</v>
      </c>
      <c r="C41" s="442">
        <f>C37/C36</f>
        <v>0.18590522478736329</v>
      </c>
      <c r="D41" s="443"/>
      <c r="E41" s="443"/>
      <c r="F41" s="443"/>
      <c r="G41" s="444"/>
      <c r="H41" s="158"/>
    </row>
    <row r="42" spans="2:8" ht="20.100000000000001" customHeight="1" thickBot="1" x14ac:dyDescent="0.25">
      <c r="B42" s="147" t="s">
        <v>111</v>
      </c>
      <c r="C42" s="442">
        <f>'التمام الصباحي'!C45:Z45</f>
        <v>0.20376712328767124</v>
      </c>
      <c r="D42" s="443"/>
      <c r="E42" s="443"/>
      <c r="F42" s="443"/>
      <c r="G42" s="444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8" t="s">
        <v>174</v>
      </c>
      <c r="C46" s="439"/>
      <c r="D46" s="445"/>
      <c r="F46" s="441" t="s">
        <v>116</v>
      </c>
      <c r="G46" s="441"/>
    </row>
    <row r="47" spans="2:8" ht="18.75" customHeight="1" thickBot="1" x14ac:dyDescent="0.25">
      <c r="B47" s="144" t="s">
        <v>52</v>
      </c>
      <c r="C47" s="430" t="s">
        <v>114</v>
      </c>
      <c r="D47" s="432"/>
      <c r="E47" s="430" t="s">
        <v>115</v>
      </c>
      <c r="F47" s="432"/>
      <c r="G47" s="145" t="s">
        <v>34</v>
      </c>
    </row>
    <row r="48" spans="2:8" ht="18.75" customHeight="1" thickBot="1" x14ac:dyDescent="0.25">
      <c r="B48" s="210">
        <v>43647</v>
      </c>
      <c r="C48" s="449" t="e">
        <f>المستودعات!#REF!/51</f>
        <v>#REF!</v>
      </c>
      <c r="D48" s="426"/>
      <c r="E48" s="424"/>
      <c r="F48" s="426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8" t="s">
        <v>175</v>
      </c>
      <c r="C52" s="439"/>
      <c r="D52" s="439"/>
      <c r="E52" s="439"/>
      <c r="F52" s="439"/>
      <c r="G52" s="445"/>
    </row>
    <row r="53" spans="2:7" ht="20.100000000000001" customHeight="1" thickBot="1" x14ac:dyDescent="0.25">
      <c r="B53" s="434" t="s">
        <v>65</v>
      </c>
      <c r="C53" s="430" t="s">
        <v>73</v>
      </c>
      <c r="D53" s="431"/>
      <c r="E53" s="432"/>
      <c r="F53" s="450" t="s">
        <v>50</v>
      </c>
      <c r="G53" s="450" t="s">
        <v>74</v>
      </c>
    </row>
    <row r="54" spans="2:7" ht="20.100000000000001" customHeight="1" thickBot="1" x14ac:dyDescent="0.25">
      <c r="B54" s="435"/>
      <c r="C54" s="145">
        <v>80</v>
      </c>
      <c r="D54" s="145">
        <v>92</v>
      </c>
      <c r="E54" s="145">
        <v>95</v>
      </c>
      <c r="F54" s="451"/>
      <c r="G54" s="451"/>
    </row>
    <row r="55" spans="2:7" ht="19.5" customHeight="1" thickBot="1" x14ac:dyDescent="0.25">
      <c r="B55" s="29" t="s">
        <v>77</v>
      </c>
      <c r="C55" s="140">
        <f>المبيعات!D38</f>
        <v>301757.5</v>
      </c>
      <c r="D55" s="140">
        <f>المبيعات!G38</f>
        <v>3385671.75</v>
      </c>
      <c r="E55" s="149">
        <f>المبيعات!J38</f>
        <v>951157.5</v>
      </c>
      <c r="F55" s="140">
        <f>المبيعات!M38</f>
        <v>1913802</v>
      </c>
      <c r="G55" s="35">
        <f>C55+D55+E55+F55</f>
        <v>6552388.75</v>
      </c>
    </row>
    <row r="56" spans="2:7" ht="17.25" customHeight="1" thickBot="1" x14ac:dyDescent="0.25">
      <c r="B56" s="145" t="s">
        <v>78</v>
      </c>
      <c r="C56" s="140">
        <f>المبيعات!E38</f>
        <v>13716.25</v>
      </c>
      <c r="D56" s="140">
        <f>المبيعات!H38</f>
        <v>165521.73000000004</v>
      </c>
      <c r="E56" s="140">
        <f>المبيعات!K38</f>
        <v>55228.499999999993</v>
      </c>
      <c r="F56" s="140">
        <f>المبيعات!N38</f>
        <v>90470.64</v>
      </c>
      <c r="G56" s="35">
        <f>F56+E56+D56+C56</f>
        <v>324937.12</v>
      </c>
    </row>
    <row r="57" spans="2:7" ht="17.25" customHeight="1" thickBot="1" x14ac:dyDescent="0.25">
      <c r="B57" s="145" t="s">
        <v>79</v>
      </c>
      <c r="C57" s="446">
        <f>المبيعات!P38</f>
        <v>62191</v>
      </c>
      <c r="D57" s="447"/>
      <c r="E57" s="447"/>
      <c r="F57" s="448"/>
      <c r="G57" s="36">
        <f>C57</f>
        <v>62191</v>
      </c>
    </row>
  </sheetData>
  <sheetProtection selectLockedCells="1"/>
  <customSheetViews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zoomScale="85" zoomScaleNormal="85" workbookViewId="0">
      <selection activeCell="A17" sqref="A17:XFD17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2" t="s">
        <v>14</v>
      </c>
      <c r="B3" s="452" t="s">
        <v>3</v>
      </c>
      <c r="C3" s="402" t="s">
        <v>5</v>
      </c>
      <c r="D3" s="402"/>
      <c r="E3" s="453"/>
      <c r="F3" s="454" t="s">
        <v>11</v>
      </c>
      <c r="G3" s="402"/>
      <c r="H3" s="453"/>
      <c r="I3" s="410" t="s">
        <v>12</v>
      </c>
      <c r="J3" s="402"/>
      <c r="K3" s="409"/>
      <c r="L3" s="454" t="s">
        <v>50</v>
      </c>
      <c r="M3" s="402"/>
      <c r="N3" s="453"/>
      <c r="O3" s="410" t="s">
        <v>45</v>
      </c>
      <c r="P3" s="402"/>
      <c r="Q3" s="402"/>
      <c r="R3" s="418" t="s">
        <v>160</v>
      </c>
    </row>
    <row r="4" spans="1:20" ht="15.75" thickBot="1" x14ac:dyDescent="0.25">
      <c r="A4" s="452"/>
      <c r="B4" s="452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9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75</v>
      </c>
      <c r="G5" s="194"/>
      <c r="H5" s="213">
        <v>21483</v>
      </c>
      <c r="I5" s="211">
        <v>24</v>
      </c>
      <c r="J5" s="5"/>
      <c r="K5" s="213">
        <v>5759</v>
      </c>
      <c r="L5" s="214"/>
      <c r="M5" s="192"/>
      <c r="N5" s="215"/>
      <c r="O5" s="217">
        <v>1800</v>
      </c>
      <c r="P5" s="218"/>
      <c r="Q5" s="294">
        <f t="shared" ref="Q5:Q26" si="0">P5+O5</f>
        <v>1800</v>
      </c>
      <c r="R5" s="220" t="s">
        <v>223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38</v>
      </c>
      <c r="G6" s="194">
        <v>51</v>
      </c>
      <c r="H6" s="213">
        <v>30648</v>
      </c>
      <c r="I6" s="211">
        <v>7</v>
      </c>
      <c r="J6" s="5">
        <v>17</v>
      </c>
      <c r="K6" s="213">
        <v>10159</v>
      </c>
      <c r="L6" s="214"/>
      <c r="M6" s="192"/>
      <c r="N6" s="215"/>
      <c r="O6" s="217">
        <v>2620</v>
      </c>
      <c r="P6" s="218"/>
      <c r="Q6" s="294">
        <f t="shared" si="0"/>
        <v>2620</v>
      </c>
      <c r="R6" s="220" t="s">
        <v>243</v>
      </c>
      <c r="S6" s="195">
        <v>3613</v>
      </c>
      <c r="T6" s="195"/>
    </row>
    <row r="7" spans="1:20" ht="16.5" thickBot="1" x14ac:dyDescent="0.3">
      <c r="A7" s="299">
        <v>3</v>
      </c>
      <c r="B7" s="290" t="s">
        <v>158</v>
      </c>
      <c r="C7" s="197">
        <v>52</v>
      </c>
      <c r="D7" s="5">
        <v>51</v>
      </c>
      <c r="E7" s="213">
        <v>38933</v>
      </c>
      <c r="F7" s="211">
        <v>18</v>
      </c>
      <c r="G7" s="194">
        <v>34</v>
      </c>
      <c r="H7" s="213">
        <v>20553</v>
      </c>
      <c r="I7" s="211">
        <v>27</v>
      </c>
      <c r="J7" s="5">
        <v>17</v>
      </c>
      <c r="K7" s="213">
        <v>3554</v>
      </c>
      <c r="L7" s="214"/>
      <c r="M7" s="192"/>
      <c r="N7" s="215"/>
      <c r="O7" s="217">
        <v>3490</v>
      </c>
      <c r="P7" s="218"/>
      <c r="Q7" s="294">
        <f t="shared" si="0"/>
        <v>3490</v>
      </c>
      <c r="R7" s="220" t="s">
        <v>241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25</v>
      </c>
      <c r="D8" s="5"/>
      <c r="E8" s="213">
        <v>2805</v>
      </c>
      <c r="F8" s="211">
        <v>50</v>
      </c>
      <c r="G8" s="194">
        <v>17</v>
      </c>
      <c r="H8" s="213">
        <v>19819</v>
      </c>
      <c r="I8" s="211">
        <v>24</v>
      </c>
      <c r="J8" s="5"/>
      <c r="K8" s="213">
        <v>6005</v>
      </c>
      <c r="L8" s="211">
        <v>178</v>
      </c>
      <c r="M8" s="5"/>
      <c r="N8" s="216">
        <v>4181</v>
      </c>
      <c r="O8" s="217">
        <v>2650</v>
      </c>
      <c r="P8" s="219"/>
      <c r="Q8" s="294">
        <f t="shared" si="0"/>
        <v>2650</v>
      </c>
      <c r="R8" s="220" t="s">
        <v>235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75</v>
      </c>
      <c r="G9" s="194">
        <v>34</v>
      </c>
      <c r="H9" s="213">
        <v>30541</v>
      </c>
      <c r="I9" s="211">
        <v>25</v>
      </c>
      <c r="J9" s="5"/>
      <c r="K9" s="213">
        <v>8911</v>
      </c>
      <c r="L9" s="214"/>
      <c r="M9" s="192"/>
      <c r="N9" s="215"/>
      <c r="O9" s="217">
        <v>2690</v>
      </c>
      <c r="P9" s="218"/>
      <c r="Q9" s="294">
        <f t="shared" si="0"/>
        <v>2690</v>
      </c>
      <c r="R9" s="220" t="s">
        <v>237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13</v>
      </c>
      <c r="D10" s="5">
        <v>17</v>
      </c>
      <c r="E10" s="213">
        <v>3262</v>
      </c>
      <c r="F10" s="211">
        <v>74</v>
      </c>
      <c r="G10" s="194">
        <v>17</v>
      </c>
      <c r="H10" s="213">
        <v>22231</v>
      </c>
      <c r="I10" s="214"/>
      <c r="J10" s="192"/>
      <c r="K10" s="212"/>
      <c r="L10" s="211">
        <v>175</v>
      </c>
      <c r="M10" s="5"/>
      <c r="N10" s="216">
        <v>7033</v>
      </c>
      <c r="O10" s="217">
        <v>760</v>
      </c>
      <c r="P10" s="219"/>
      <c r="Q10" s="294">
        <f t="shared" si="0"/>
        <v>760</v>
      </c>
      <c r="R10" s="220" t="s">
        <v>230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10</v>
      </c>
      <c r="D11" s="5">
        <v>17</v>
      </c>
      <c r="E11" s="213">
        <v>5472</v>
      </c>
      <c r="F11" s="211">
        <v>81</v>
      </c>
      <c r="G11" s="194"/>
      <c r="H11" s="213">
        <v>14198</v>
      </c>
      <c r="I11" s="214"/>
      <c r="J11" s="192"/>
      <c r="K11" s="212"/>
      <c r="L11" s="211">
        <v>167</v>
      </c>
      <c r="M11" s="5"/>
      <c r="N11" s="216">
        <v>18303</v>
      </c>
      <c r="O11" s="217">
        <v>2500</v>
      </c>
      <c r="P11" s="219"/>
      <c r="Q11" s="294">
        <f t="shared" si="0"/>
        <v>2500</v>
      </c>
      <c r="R11" s="220" t="s">
        <v>226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160</v>
      </c>
      <c r="G12" s="194"/>
      <c r="H12" s="213">
        <v>36176</v>
      </c>
      <c r="I12" s="211">
        <v>55</v>
      </c>
      <c r="J12" s="5"/>
      <c r="K12" s="213">
        <v>10185</v>
      </c>
      <c r="L12" s="214"/>
      <c r="M12" s="192"/>
      <c r="N12" s="215"/>
      <c r="O12" s="217">
        <v>2900</v>
      </c>
      <c r="P12" s="218"/>
      <c r="Q12" s="294">
        <f t="shared" si="0"/>
        <v>2900</v>
      </c>
      <c r="R12" s="220" t="s">
        <v>242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170</v>
      </c>
      <c r="G13" s="194">
        <v>34</v>
      </c>
      <c r="H13" s="213">
        <v>41500</v>
      </c>
      <c r="I13" s="211">
        <v>42</v>
      </c>
      <c r="J13" s="5">
        <v>17</v>
      </c>
      <c r="K13" s="213">
        <v>11900</v>
      </c>
      <c r="L13" s="211">
        <v>65</v>
      </c>
      <c r="M13" s="5">
        <v>51</v>
      </c>
      <c r="N13" s="216">
        <v>38500</v>
      </c>
      <c r="O13" s="217"/>
      <c r="P13" s="219"/>
      <c r="Q13" s="294">
        <f t="shared" si="0"/>
        <v>0</v>
      </c>
      <c r="R13" s="220" t="s">
        <v>224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83</v>
      </c>
      <c r="G14" s="194"/>
      <c r="H14" s="213">
        <v>6664</v>
      </c>
      <c r="I14" s="211">
        <v>24</v>
      </c>
      <c r="J14" s="5"/>
      <c r="K14" s="213">
        <v>4588</v>
      </c>
      <c r="L14" s="211">
        <v>120</v>
      </c>
      <c r="M14" s="5">
        <v>51</v>
      </c>
      <c r="N14" s="216">
        <v>66542</v>
      </c>
      <c r="O14" s="217">
        <v>7832</v>
      </c>
      <c r="P14" s="219"/>
      <c r="Q14" s="294">
        <f t="shared" si="0"/>
        <v>7832</v>
      </c>
      <c r="R14" s="220" t="s">
        <v>232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80</v>
      </c>
      <c r="G15" s="194">
        <v>34</v>
      </c>
      <c r="H15" s="213">
        <v>7654</v>
      </c>
      <c r="I15" s="211">
        <v>14</v>
      </c>
      <c r="J15" s="5"/>
      <c r="K15" s="213">
        <v>2076</v>
      </c>
      <c r="L15" s="211">
        <v>46</v>
      </c>
      <c r="M15" s="5"/>
      <c r="N15" s="216">
        <v>3078</v>
      </c>
      <c r="O15" s="217">
        <v>835</v>
      </c>
      <c r="P15" s="219"/>
      <c r="Q15" s="294">
        <f t="shared" si="0"/>
        <v>835</v>
      </c>
      <c r="R15" s="220" t="s">
        <v>234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55</v>
      </c>
      <c r="G16" s="194">
        <v>17</v>
      </c>
      <c r="H16" s="213">
        <v>2928</v>
      </c>
      <c r="I16" s="211">
        <v>19</v>
      </c>
      <c r="J16" s="5"/>
      <c r="K16" s="213">
        <v>1147</v>
      </c>
      <c r="L16" s="214"/>
      <c r="M16" s="192"/>
      <c r="N16" s="215"/>
      <c r="O16" s="217">
        <v>307</v>
      </c>
      <c r="P16" s="218"/>
      <c r="Q16" s="294">
        <f t="shared" si="0"/>
        <v>307</v>
      </c>
      <c r="R16" s="220" t="s">
        <v>220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72</v>
      </c>
      <c r="G17" s="194">
        <v>17</v>
      </c>
      <c r="H17" s="213">
        <v>2427</v>
      </c>
      <c r="I17" s="211">
        <v>19</v>
      </c>
      <c r="J17" s="5"/>
      <c r="K17" s="213">
        <v>795</v>
      </c>
      <c r="L17" s="211">
        <v>143</v>
      </c>
      <c r="M17" s="5">
        <v>34</v>
      </c>
      <c r="N17" s="216">
        <v>7001</v>
      </c>
      <c r="O17" s="217">
        <v>1152</v>
      </c>
      <c r="P17" s="219"/>
      <c r="Q17" s="294">
        <f t="shared" si="0"/>
        <v>1152</v>
      </c>
      <c r="R17" s="220" t="s">
        <v>227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80</v>
      </c>
      <c r="G18" s="194"/>
      <c r="H18" s="213">
        <v>9546</v>
      </c>
      <c r="I18" s="211">
        <v>24</v>
      </c>
      <c r="J18" s="5"/>
      <c r="K18" s="213">
        <v>1886</v>
      </c>
      <c r="L18" s="211">
        <v>144</v>
      </c>
      <c r="M18" s="5"/>
      <c r="N18" s="216">
        <v>23846</v>
      </c>
      <c r="O18" s="217">
        <v>820</v>
      </c>
      <c r="P18" s="219">
        <v>1630</v>
      </c>
      <c r="Q18" s="294">
        <f t="shared" si="0"/>
        <v>2450</v>
      </c>
      <c r="R18" s="220" t="s">
        <v>218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64</v>
      </c>
      <c r="G19" s="194"/>
      <c r="H19" s="213">
        <v>7082</v>
      </c>
      <c r="I19" s="211">
        <v>25</v>
      </c>
      <c r="J19" s="5"/>
      <c r="K19" s="213">
        <v>1558</v>
      </c>
      <c r="L19" s="214"/>
      <c r="M19" s="192"/>
      <c r="N19" s="215"/>
      <c r="O19" s="217">
        <v>680</v>
      </c>
      <c r="P19" s="218"/>
      <c r="Q19" s="294">
        <f t="shared" si="0"/>
        <v>680</v>
      </c>
      <c r="R19" s="220" t="s">
        <v>219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14</v>
      </c>
      <c r="D20" s="5"/>
      <c r="E20" s="213">
        <v>551</v>
      </c>
      <c r="F20" s="211">
        <v>57</v>
      </c>
      <c r="G20" s="194"/>
      <c r="H20" s="213">
        <v>815</v>
      </c>
      <c r="I20" s="214"/>
      <c r="J20" s="192"/>
      <c r="K20" s="212"/>
      <c r="L20" s="211">
        <v>95</v>
      </c>
      <c r="M20" s="5"/>
      <c r="N20" s="216">
        <v>4996</v>
      </c>
      <c r="O20" s="217">
        <v>112</v>
      </c>
      <c r="P20" s="219">
        <v>388</v>
      </c>
      <c r="Q20" s="294">
        <f t="shared" si="0"/>
        <v>500</v>
      </c>
      <c r="R20" s="220" t="s">
        <v>225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44</v>
      </c>
      <c r="G21" s="194"/>
      <c r="H21" s="213">
        <v>1373</v>
      </c>
      <c r="I21" s="214"/>
      <c r="J21" s="192"/>
      <c r="K21" s="212"/>
      <c r="L21" s="211">
        <v>116</v>
      </c>
      <c r="M21" s="5"/>
      <c r="N21" s="216">
        <v>4177</v>
      </c>
      <c r="O21" s="217">
        <v>370</v>
      </c>
      <c r="P21" s="219"/>
      <c r="Q21" s="294">
        <f t="shared" si="0"/>
        <v>370</v>
      </c>
      <c r="R21" s="220" t="s">
        <v>238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63</v>
      </c>
      <c r="G22" s="194">
        <v>17</v>
      </c>
      <c r="H22" s="213">
        <v>14020</v>
      </c>
      <c r="I22" s="211">
        <v>29</v>
      </c>
      <c r="J22" s="5"/>
      <c r="K22" s="213">
        <v>2127</v>
      </c>
      <c r="L22" s="211">
        <v>144</v>
      </c>
      <c r="M22" s="5">
        <v>34</v>
      </c>
      <c r="N22" s="216">
        <v>53852</v>
      </c>
      <c r="O22" s="217">
        <v>1550</v>
      </c>
      <c r="P22" s="219">
        <v>4150</v>
      </c>
      <c r="Q22" s="294">
        <f t="shared" si="0"/>
        <v>5700</v>
      </c>
      <c r="R22" s="220" t="s">
        <v>221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72</v>
      </c>
      <c r="G23" s="194">
        <v>17</v>
      </c>
      <c r="H23" s="213">
        <v>13382</v>
      </c>
      <c r="I23" s="211">
        <v>20</v>
      </c>
      <c r="J23" s="5"/>
      <c r="K23" s="213">
        <v>2411</v>
      </c>
      <c r="L23" s="211">
        <v>146</v>
      </c>
      <c r="M23" s="5">
        <v>34</v>
      </c>
      <c r="N23" s="216">
        <v>48535</v>
      </c>
      <c r="O23" s="217">
        <v>1200</v>
      </c>
      <c r="P23" s="219">
        <v>3460</v>
      </c>
      <c r="Q23" s="294">
        <f t="shared" si="0"/>
        <v>4660</v>
      </c>
      <c r="R23" s="220" t="s">
        <v>233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77</v>
      </c>
      <c r="G24" s="194"/>
      <c r="H24" s="213">
        <v>10428</v>
      </c>
      <c r="I24" s="211">
        <v>16</v>
      </c>
      <c r="J24" s="5"/>
      <c r="K24" s="213">
        <v>1669</v>
      </c>
      <c r="L24" s="211">
        <v>155</v>
      </c>
      <c r="M24" s="5"/>
      <c r="N24" s="216">
        <v>24409</v>
      </c>
      <c r="O24" s="217">
        <v>925</v>
      </c>
      <c r="P24" s="219">
        <v>1640</v>
      </c>
      <c r="Q24" s="294">
        <f t="shared" si="0"/>
        <v>2565</v>
      </c>
      <c r="R24" s="220" t="s">
        <v>225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73</v>
      </c>
      <c r="G25" s="194"/>
      <c r="H25" s="213">
        <v>6701</v>
      </c>
      <c r="I25" s="211">
        <v>21</v>
      </c>
      <c r="J25" s="5"/>
      <c r="K25" s="213">
        <v>996</v>
      </c>
      <c r="L25" s="211">
        <v>120</v>
      </c>
      <c r="M25" s="5">
        <v>51</v>
      </c>
      <c r="N25" s="216">
        <v>26965</v>
      </c>
      <c r="O25" s="217">
        <v>605</v>
      </c>
      <c r="P25" s="219">
        <v>2015</v>
      </c>
      <c r="Q25" s="294">
        <f t="shared" si="0"/>
        <v>2620</v>
      </c>
      <c r="R25" s="220" t="s">
        <v>231</v>
      </c>
    </row>
    <row r="26" spans="1:20" ht="16.5" thickBot="1" x14ac:dyDescent="0.3">
      <c r="A26" s="299">
        <v>22</v>
      </c>
      <c r="B26" s="297" t="s">
        <v>112</v>
      </c>
      <c r="C26" s="197">
        <v>74</v>
      </c>
      <c r="D26" s="194">
        <v>17</v>
      </c>
      <c r="E26" s="213">
        <v>3842</v>
      </c>
      <c r="F26" s="211">
        <v>28</v>
      </c>
      <c r="G26" s="194">
        <v>17</v>
      </c>
      <c r="H26" s="213">
        <v>8703</v>
      </c>
      <c r="I26" s="211">
        <v>30</v>
      </c>
      <c r="J26" s="5"/>
      <c r="K26" s="213">
        <v>1783</v>
      </c>
      <c r="L26" s="211">
        <v>170</v>
      </c>
      <c r="M26" s="5">
        <v>17</v>
      </c>
      <c r="N26" s="216">
        <v>16546</v>
      </c>
      <c r="O26" s="217">
        <v>1150</v>
      </c>
      <c r="P26" s="219"/>
      <c r="Q26" s="294">
        <f t="shared" si="0"/>
        <v>1150</v>
      </c>
      <c r="R26" s="220" t="s">
        <v>240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116</v>
      </c>
      <c r="G27" s="194">
        <v>17</v>
      </c>
      <c r="H27" s="213">
        <v>9664</v>
      </c>
      <c r="I27" s="211">
        <v>27</v>
      </c>
      <c r="J27" s="5">
        <v>17</v>
      </c>
      <c r="K27" s="213">
        <v>1491</v>
      </c>
      <c r="L27" s="214"/>
      <c r="M27" s="192"/>
      <c r="N27" s="215"/>
      <c r="O27" s="217">
        <v>910</v>
      </c>
      <c r="P27" s="218"/>
      <c r="Q27" s="294">
        <f t="shared" ref="Q27:Q30" si="1">P27+O27</f>
        <v>910</v>
      </c>
      <c r="R27" s="220" t="s">
        <v>228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160</v>
      </c>
      <c r="G28" s="194">
        <v>17</v>
      </c>
      <c r="H28" s="213">
        <v>31846</v>
      </c>
      <c r="I28" s="211">
        <v>81</v>
      </c>
      <c r="J28" s="5"/>
      <c r="K28" s="213">
        <v>10243</v>
      </c>
      <c r="L28" s="214"/>
      <c r="M28" s="192"/>
      <c r="N28" s="215"/>
      <c r="O28" s="217">
        <v>1400</v>
      </c>
      <c r="P28" s="218"/>
      <c r="Q28" s="294">
        <f t="shared" si="1"/>
        <v>1400</v>
      </c>
      <c r="R28" s="220" t="s">
        <v>229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160</v>
      </c>
      <c r="G29" s="194">
        <v>68</v>
      </c>
      <c r="H29" s="213">
        <v>35318</v>
      </c>
      <c r="I29" s="211">
        <v>82</v>
      </c>
      <c r="J29" s="5">
        <v>17</v>
      </c>
      <c r="K29" s="213">
        <v>10002</v>
      </c>
      <c r="L29" s="214"/>
      <c r="M29" s="192"/>
      <c r="N29" s="215"/>
      <c r="O29" s="217">
        <v>3750</v>
      </c>
      <c r="P29" s="218"/>
      <c r="Q29" s="294">
        <f t="shared" si="1"/>
        <v>3750</v>
      </c>
      <c r="R29" s="220" t="s">
        <v>236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150</v>
      </c>
      <c r="G30" s="194">
        <v>68</v>
      </c>
      <c r="H30" s="213">
        <v>37039</v>
      </c>
      <c r="I30" s="211">
        <v>78</v>
      </c>
      <c r="J30" s="5">
        <v>34</v>
      </c>
      <c r="K30" s="213">
        <v>9840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222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126</v>
      </c>
      <c r="G31" s="194">
        <v>85</v>
      </c>
      <c r="H31" s="213">
        <v>58842</v>
      </c>
      <c r="I31" s="211">
        <v>70</v>
      </c>
      <c r="J31" s="5">
        <v>17</v>
      </c>
      <c r="K31" s="213">
        <v>13645</v>
      </c>
      <c r="L31" s="214"/>
      <c r="M31" s="192"/>
      <c r="N31" s="215"/>
      <c r="O31" s="217">
        <v>5900</v>
      </c>
      <c r="P31" s="218"/>
      <c r="Q31" s="294">
        <f t="shared" ref="Q31:Q35" si="2">P31+O31</f>
        <v>5900</v>
      </c>
      <c r="R31" s="220" t="s">
        <v>239</v>
      </c>
    </row>
    <row r="32" spans="1:20" ht="16.5" thickBot="1" x14ac:dyDescent="0.3">
      <c r="A32" s="359">
        <v>28</v>
      </c>
      <c r="B32" s="332" t="s">
        <v>197</v>
      </c>
      <c r="C32" s="211"/>
      <c r="D32" s="194"/>
      <c r="E32" s="213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102</v>
      </c>
      <c r="G39" s="193">
        <f>SUM(G5:G31)</f>
        <v>561</v>
      </c>
      <c r="J39" s="193">
        <f>SUM(J5:J31)</f>
        <v>136</v>
      </c>
      <c r="M39" s="193">
        <f>SUM(M5:M31)</f>
        <v>272</v>
      </c>
    </row>
  </sheetData>
  <sheetProtection selectLockedCells="1"/>
  <customSheetViews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1"/>
    </customSheetView>
    <customSheetView guid="{18C0F7AC-4BB1-46DE-8A01-8E31FE0585FC}" scale="85" fitToPage="1">
      <selection activeCell="E32" sqref="C32:E32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1" t="s">
        <v>193</v>
      </c>
      <c r="C7" s="461"/>
      <c r="D7" s="461"/>
      <c r="E7" s="461"/>
      <c r="F7" s="461"/>
      <c r="G7" s="461"/>
      <c r="H7" s="461"/>
      <c r="I7" s="345"/>
      <c r="J7" s="345"/>
    </row>
    <row r="8" spans="2:10" ht="17.25" thickTop="1" thickBot="1" x14ac:dyDescent="0.25">
      <c r="B8" s="462" t="s">
        <v>14</v>
      </c>
      <c r="C8" s="455" t="s">
        <v>180</v>
      </c>
      <c r="D8" s="464" t="s">
        <v>181</v>
      </c>
      <c r="E8" s="465"/>
      <c r="F8" s="466"/>
      <c r="G8" s="455" t="s">
        <v>182</v>
      </c>
      <c r="H8" s="457" t="s">
        <v>183</v>
      </c>
      <c r="I8" s="347"/>
      <c r="J8" s="347"/>
    </row>
    <row r="9" spans="2:10" ht="16.5" thickBot="1" x14ac:dyDescent="0.25">
      <c r="B9" s="463"/>
      <c r="C9" s="456"/>
      <c r="D9" s="340">
        <v>80</v>
      </c>
      <c r="E9" s="340">
        <v>92</v>
      </c>
      <c r="F9" s="340">
        <v>95</v>
      </c>
      <c r="G9" s="456"/>
      <c r="H9" s="458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31846</v>
      </c>
      <c r="F10" s="350">
        <f>'أخذ التمام الصباحي'!$K$28</f>
        <v>10243</v>
      </c>
      <c r="G10" s="342"/>
      <c r="H10" s="343">
        <f>SUM(D10:G10)</f>
        <v>42089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35318</v>
      </c>
      <c r="F11" s="350">
        <f>'أخذ التمام الصباحي'!$K$29</f>
        <v>10002</v>
      </c>
      <c r="G11" s="342"/>
      <c r="H11" s="343">
        <f t="shared" ref="H11" si="0">SUM(D11:G11)</f>
        <v>45320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37039</v>
      </c>
      <c r="F12" s="350">
        <f>'أخذ التمام الصباحي'!$K$30</f>
        <v>9840</v>
      </c>
      <c r="G12" s="342"/>
      <c r="H12" s="343">
        <f>SUM(D12:G12)</f>
        <v>46879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58842</v>
      </c>
      <c r="F13" s="350">
        <f>'أخذ التمام الصباحي'!$K$31</f>
        <v>13645</v>
      </c>
      <c r="G13" s="342"/>
      <c r="H13" s="343">
        <f>SUM(D13:G13)</f>
        <v>72487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30648</v>
      </c>
      <c r="F14" s="350">
        <f>'أخذ التمام الصباحي'!$K$6</f>
        <v>10159</v>
      </c>
      <c r="G14" s="342"/>
      <c r="H14" s="343">
        <f>SUM(D14:G14)</f>
        <v>40807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38933</v>
      </c>
      <c r="E15" s="350">
        <f>'أخذ التمام الصباحي'!$H$7</f>
        <v>20553</v>
      </c>
      <c r="F15" s="350">
        <f>'أخذ التمام الصباحي'!$K$7</f>
        <v>3554</v>
      </c>
      <c r="G15" s="342"/>
      <c r="H15" s="343">
        <f t="shared" ref="H15:H17" si="1">SUM(D15:G15)</f>
        <v>63040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3842</v>
      </c>
      <c r="E16" s="350">
        <f>'أخذ التمام الصباحي'!$H$26</f>
        <v>8703</v>
      </c>
      <c r="F16" s="350">
        <f>'أخذ التمام الصباحي'!$K$26</f>
        <v>1783</v>
      </c>
      <c r="G16" s="350">
        <f>'أخذ التمام الصباحي'!$N$26</f>
        <v>16546</v>
      </c>
      <c r="H16" s="343">
        <f t="shared" si="1"/>
        <v>30874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9664</v>
      </c>
      <c r="F17" s="350">
        <f>'أخذ التمام الصباحي'!$K$27</f>
        <v>1491</v>
      </c>
      <c r="G17" s="342"/>
      <c r="H17" s="343">
        <f t="shared" si="1"/>
        <v>11155</v>
      </c>
    </row>
    <row r="18" spans="2:8" ht="54.95" customHeight="1" thickTop="1" thickBot="1" x14ac:dyDescent="0.25">
      <c r="B18" s="459" t="s">
        <v>192</v>
      </c>
      <c r="C18" s="460"/>
      <c r="D18" s="351">
        <f t="shared" ref="D18:G18" si="2">SUM(D10:D17)</f>
        <v>42775</v>
      </c>
      <c r="E18" s="351">
        <f t="shared" si="2"/>
        <v>232613</v>
      </c>
      <c r="F18" s="351">
        <f t="shared" si="2"/>
        <v>60717</v>
      </c>
      <c r="G18" s="351">
        <f t="shared" si="2"/>
        <v>16546</v>
      </c>
      <c r="H18" s="351">
        <f>SUM(H10:H17)</f>
        <v>352651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4" t="s">
        <v>244</v>
      </c>
      <c r="C6" s="474"/>
      <c r="D6" s="474"/>
      <c r="E6" s="474"/>
      <c r="F6" s="474"/>
      <c r="G6" s="474"/>
      <c r="H6" s="474"/>
      <c r="I6" s="474"/>
      <c r="J6" s="474"/>
      <c r="K6" s="474"/>
    </row>
    <row r="7" spans="2:12" ht="15.75" x14ac:dyDescent="0.25"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5" t="s">
        <v>14</v>
      </c>
      <c r="C11" s="477" t="s">
        <v>3</v>
      </c>
      <c r="D11" s="477" t="s">
        <v>202</v>
      </c>
      <c r="E11" s="479" t="s">
        <v>203</v>
      </c>
      <c r="F11" s="480"/>
      <c r="G11" s="480"/>
      <c r="H11" s="481" t="s">
        <v>50</v>
      </c>
      <c r="I11" s="483" t="s">
        <v>183</v>
      </c>
      <c r="J11" s="479" t="s">
        <v>206</v>
      </c>
      <c r="K11" s="485"/>
    </row>
    <row r="12" spans="2:12" ht="15.75" customHeight="1" thickBot="1" x14ac:dyDescent="0.25">
      <c r="B12" s="476"/>
      <c r="C12" s="478"/>
      <c r="D12" s="478"/>
      <c r="E12" s="368">
        <v>80</v>
      </c>
      <c r="F12" s="368">
        <v>92</v>
      </c>
      <c r="G12" s="369">
        <v>95</v>
      </c>
      <c r="H12" s="482"/>
      <c r="I12" s="484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6" t="s">
        <v>207</v>
      </c>
      <c r="E13" s="371" t="s">
        <v>208</v>
      </c>
      <c r="F13" s="371">
        <f>'تمام محطات الوكلاء'!E14</f>
        <v>30648</v>
      </c>
      <c r="G13" s="371">
        <f>'تمام محطات الوكلاء'!F14</f>
        <v>10159</v>
      </c>
      <c r="H13" s="371" t="s">
        <v>208</v>
      </c>
      <c r="I13" s="374">
        <f>SUM(E13:H13)</f>
        <v>40807</v>
      </c>
      <c r="J13" s="372">
        <f>F13*0.2525+G13*0.355</f>
        <v>11345.064999999999</v>
      </c>
      <c r="K13" s="372">
        <f>F13*0.1075+G13*0.145</f>
        <v>4767.7150000000001</v>
      </c>
    </row>
    <row r="14" spans="2:12" ht="18.75" thickBot="1" x14ac:dyDescent="0.25">
      <c r="B14" s="370">
        <v>2</v>
      </c>
      <c r="C14" s="342" t="s">
        <v>112</v>
      </c>
      <c r="D14" s="487"/>
      <c r="E14" s="373">
        <f>'تمام محطات الوكلاء'!D16</f>
        <v>3842</v>
      </c>
      <c r="F14" s="371">
        <f>'تمام محطات الوكلاء'!E16</f>
        <v>8703</v>
      </c>
      <c r="G14" s="371">
        <f>'تمام محطات الوكلاء'!F16</f>
        <v>1783</v>
      </c>
      <c r="H14" s="371">
        <f>'تمام محطات الوكلاء'!G16</f>
        <v>16546</v>
      </c>
      <c r="I14" s="374">
        <f t="shared" ref="I14:I22" si="0">SUM(E14:H14)</f>
        <v>30874</v>
      </c>
      <c r="J14" s="372">
        <f>E14*0.2105+F14*0.2525+H14*0.195+G14*0.355</f>
        <v>6865.683500000001</v>
      </c>
      <c r="K14" s="372">
        <f>E14*0.0695+F14*0.1075+G14*0.145+H14*0.085</f>
        <v>2867.5365000000002</v>
      </c>
    </row>
    <row r="15" spans="2:12" ht="18.75" thickBot="1" x14ac:dyDescent="0.25">
      <c r="B15" s="370">
        <v>3</v>
      </c>
      <c r="C15" s="342" t="s">
        <v>158</v>
      </c>
      <c r="D15" s="488"/>
      <c r="E15" s="373">
        <f>'تمام محطات الوكلاء'!D15</f>
        <v>38933</v>
      </c>
      <c r="F15" s="373">
        <f>'تمام محطات الوكلاء'!E15</f>
        <v>20553</v>
      </c>
      <c r="G15" s="373">
        <f>'تمام محطات الوكلاء'!F15</f>
        <v>3554</v>
      </c>
      <c r="H15" s="371" t="s">
        <v>208</v>
      </c>
      <c r="I15" s="374">
        <f t="shared" si="0"/>
        <v>63040</v>
      </c>
      <c r="J15" s="372">
        <f>E15*0.2105+F15*0.2525+G15*0.355</f>
        <v>14646.698999999999</v>
      </c>
      <c r="K15" s="372">
        <f>E15*0.0695+F15*0.1075+G15*0.145</f>
        <v>5430.6210000000001</v>
      </c>
    </row>
    <row r="16" spans="2:12" ht="21" thickBot="1" x14ac:dyDescent="0.25">
      <c r="B16" s="489" t="s">
        <v>209</v>
      </c>
      <c r="C16" s="490"/>
      <c r="D16" s="491"/>
      <c r="E16" s="375">
        <f>SUM(E13:E15)</f>
        <v>42775</v>
      </c>
      <c r="F16" s="375">
        <f t="shared" ref="F16:K16" si="1">SUM(F13:F15)</f>
        <v>59904</v>
      </c>
      <c r="G16" s="375">
        <f t="shared" si="1"/>
        <v>15496</v>
      </c>
      <c r="H16" s="375">
        <f t="shared" si="1"/>
        <v>16546</v>
      </c>
      <c r="I16" s="376">
        <f t="shared" si="1"/>
        <v>134721</v>
      </c>
      <c r="J16" s="375">
        <f t="shared" si="1"/>
        <v>32857.447500000002</v>
      </c>
      <c r="K16" s="377">
        <f t="shared" si="1"/>
        <v>13065.872500000001</v>
      </c>
    </row>
    <row r="17" spans="2:11" ht="18.75" thickBot="1" x14ac:dyDescent="0.25">
      <c r="B17" s="370">
        <v>4</v>
      </c>
      <c r="C17" s="342" t="s">
        <v>121</v>
      </c>
      <c r="D17" s="492" t="s">
        <v>210</v>
      </c>
      <c r="E17" s="371" t="s">
        <v>208</v>
      </c>
      <c r="F17" s="371">
        <f>'تمام محطات الوكلاء'!E17</f>
        <v>9664</v>
      </c>
      <c r="G17" s="371">
        <f>'تمام محطات الوكلاء'!F17</f>
        <v>1491</v>
      </c>
      <c r="H17" s="371" t="s">
        <v>208</v>
      </c>
      <c r="I17" s="374">
        <f t="shared" si="0"/>
        <v>11155</v>
      </c>
      <c r="J17" s="372">
        <f>F17*0.2525+G17*0.355</f>
        <v>2969.4649999999997</v>
      </c>
      <c r="K17" s="372">
        <f>F17*0.1075+G17*0.145</f>
        <v>1255.0749999999998</v>
      </c>
    </row>
    <row r="18" spans="2:11" ht="18.75" thickBot="1" x14ac:dyDescent="0.25">
      <c r="B18" s="370">
        <v>5</v>
      </c>
      <c r="C18" s="344" t="s">
        <v>211</v>
      </c>
      <c r="D18" s="493"/>
      <c r="E18" s="371" t="s">
        <v>208</v>
      </c>
      <c r="F18" s="371">
        <f>'تمام محطات الوكلاء'!E12</f>
        <v>37039</v>
      </c>
      <c r="G18" s="371">
        <f>'تمام محطات الوكلاء'!F12</f>
        <v>9840</v>
      </c>
      <c r="H18" s="371" t="s">
        <v>208</v>
      </c>
      <c r="I18" s="374">
        <f t="shared" si="0"/>
        <v>46879</v>
      </c>
      <c r="J18" s="372">
        <f>F18*0.2525+G18*0.355</f>
        <v>12845.547500000001</v>
      </c>
      <c r="K18" s="372">
        <f>F18*0.1075+G18*0.145</f>
        <v>5408.4925000000003</v>
      </c>
    </row>
    <row r="19" spans="2:11" ht="18.75" thickBot="1" x14ac:dyDescent="0.25">
      <c r="B19" s="370">
        <v>6</v>
      </c>
      <c r="C19" s="342" t="s">
        <v>212</v>
      </c>
      <c r="D19" s="494"/>
      <c r="E19" s="371" t="s">
        <v>208</v>
      </c>
      <c r="F19" s="371">
        <f>'تمام محطات الوكلاء'!E10</f>
        <v>31846</v>
      </c>
      <c r="G19" s="371">
        <f>'تمام محطات الوكلاء'!F10</f>
        <v>10243</v>
      </c>
      <c r="H19" s="371" t="s">
        <v>208</v>
      </c>
      <c r="I19" s="374">
        <f t="shared" si="0"/>
        <v>42089</v>
      </c>
      <c r="J19" s="372">
        <f>F19*0.2525+G19*0.355</f>
        <v>11677.38</v>
      </c>
      <c r="K19" s="372">
        <f>F19*0.1075+G19*0.145</f>
        <v>4908.68</v>
      </c>
    </row>
    <row r="20" spans="2:11" ht="21" thickBot="1" x14ac:dyDescent="0.25">
      <c r="B20" s="495" t="s">
        <v>213</v>
      </c>
      <c r="C20" s="496"/>
      <c r="D20" s="497"/>
      <c r="E20" s="378"/>
      <c r="F20" s="379">
        <f t="shared" ref="F20:K20" si="2">SUM(F17:F19)</f>
        <v>78549</v>
      </c>
      <c r="G20" s="379">
        <f t="shared" si="2"/>
        <v>21574</v>
      </c>
      <c r="H20" s="379"/>
      <c r="I20" s="380">
        <f t="shared" si="2"/>
        <v>100123</v>
      </c>
      <c r="J20" s="379">
        <f t="shared" si="2"/>
        <v>27492.392500000002</v>
      </c>
      <c r="K20" s="379">
        <f t="shared" si="2"/>
        <v>11572.247500000001</v>
      </c>
    </row>
    <row r="21" spans="2:11" ht="18.75" thickBot="1" x14ac:dyDescent="0.25">
      <c r="B21" s="370">
        <v>7</v>
      </c>
      <c r="C21" s="342" t="s">
        <v>214</v>
      </c>
      <c r="D21" s="492" t="s">
        <v>215</v>
      </c>
      <c r="E21" s="371" t="s">
        <v>208</v>
      </c>
      <c r="F21" s="371">
        <f>'تمام محطات الوكلاء'!E13</f>
        <v>58842</v>
      </c>
      <c r="G21" s="371">
        <f>'تمام محطات الوكلاء'!F13</f>
        <v>13645</v>
      </c>
      <c r="H21" s="371" t="s">
        <v>208</v>
      </c>
      <c r="I21" s="374">
        <f t="shared" si="0"/>
        <v>72487</v>
      </c>
      <c r="J21" s="372">
        <f>F21*0.2525+G21*0.355</f>
        <v>19701.579999999998</v>
      </c>
      <c r="K21" s="372">
        <f>F21*0.1075+G21*0.145</f>
        <v>8304.0400000000009</v>
      </c>
    </row>
    <row r="22" spans="2:11" ht="18.75" thickBot="1" x14ac:dyDescent="0.25">
      <c r="B22" s="370">
        <v>8</v>
      </c>
      <c r="C22" s="342" t="s">
        <v>216</v>
      </c>
      <c r="D22" s="493"/>
      <c r="E22" s="371" t="s">
        <v>208</v>
      </c>
      <c r="F22" s="371">
        <f>'تمام محطات الوكلاء'!E11</f>
        <v>35318</v>
      </c>
      <c r="G22" s="371">
        <f>'تمام محطات الوكلاء'!F11</f>
        <v>10002</v>
      </c>
      <c r="H22" s="371" t="s">
        <v>208</v>
      </c>
      <c r="I22" s="374">
        <f t="shared" si="0"/>
        <v>45320</v>
      </c>
      <c r="J22" s="372">
        <f>F22*0.2525+G22*0.355</f>
        <v>12468.505000000001</v>
      </c>
      <c r="K22" s="372">
        <f>F22*0.1075+G22*0.145</f>
        <v>5246.9750000000004</v>
      </c>
    </row>
    <row r="23" spans="2:11" ht="21" thickBot="1" x14ac:dyDescent="0.25">
      <c r="B23" s="471" t="s">
        <v>217</v>
      </c>
      <c r="C23" s="472"/>
      <c r="D23" s="473"/>
      <c r="E23" s="381"/>
      <c r="F23" s="381">
        <f t="shared" ref="F23:K23" si="3">SUM(F21:F22)</f>
        <v>94160</v>
      </c>
      <c r="G23" s="381">
        <f t="shared" si="3"/>
        <v>23647</v>
      </c>
      <c r="H23" s="381"/>
      <c r="I23" s="382">
        <f t="shared" si="3"/>
        <v>117807</v>
      </c>
      <c r="J23" s="381">
        <f t="shared" si="3"/>
        <v>32170.084999999999</v>
      </c>
      <c r="K23" s="383">
        <f t="shared" si="3"/>
        <v>13551.015000000001</v>
      </c>
    </row>
    <row r="24" spans="2:11" x14ac:dyDescent="0.2">
      <c r="B24" s="469" t="s">
        <v>205</v>
      </c>
      <c r="C24" s="469"/>
      <c r="D24" s="469"/>
      <c r="E24" s="467">
        <f>SUM(E16,E20,E23)</f>
        <v>42775</v>
      </c>
      <c r="F24" s="467">
        <f t="shared" ref="F24:K24" si="4">SUM(F16,F20,F23)</f>
        <v>232613</v>
      </c>
      <c r="G24" s="467">
        <f t="shared" si="4"/>
        <v>60717</v>
      </c>
      <c r="H24" s="467">
        <f t="shared" si="4"/>
        <v>16546</v>
      </c>
      <c r="I24" s="467">
        <f t="shared" si="4"/>
        <v>352651</v>
      </c>
      <c r="J24" s="467">
        <f t="shared" si="4"/>
        <v>92519.925000000003</v>
      </c>
      <c r="K24" s="467">
        <f t="shared" si="4"/>
        <v>38189.135000000002</v>
      </c>
    </row>
    <row r="25" spans="2:11" ht="15" customHeight="1" thickBot="1" x14ac:dyDescent="0.25">
      <c r="B25" s="470"/>
      <c r="C25" s="470"/>
      <c r="D25" s="470"/>
      <c r="E25" s="468"/>
      <c r="F25" s="468"/>
      <c r="G25" s="468"/>
      <c r="H25" s="468"/>
      <c r="I25" s="468"/>
      <c r="J25" s="468"/>
      <c r="K25" s="468"/>
    </row>
  </sheetData>
  <customSheetViews>
    <customSheetView guid="{18C0F7AC-4BB1-46DE-8A01-8E31FE0585FC}" hiddenRows="1">
      <selection activeCell="G4" sqref="G4"/>
      <pageMargins left="0.7" right="0.7" top="0.75" bottom="0.75" header="0.3" footer="0.3"/>
      <pageSetup paperSize="9" orientation="portrait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abSelected="1" zoomScale="70" zoomScaleNormal="70" workbookViewId="0">
      <selection activeCell="Q6" sqref="Q6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21" t="s">
        <v>3</v>
      </c>
      <c r="C2" s="511" t="s">
        <v>84</v>
      </c>
      <c r="D2" s="511"/>
      <c r="E2" s="511"/>
      <c r="F2" s="511"/>
      <c r="G2" s="511" t="s">
        <v>88</v>
      </c>
      <c r="H2" s="511"/>
      <c r="I2" s="511"/>
      <c r="N2" s="504" t="s">
        <v>3</v>
      </c>
      <c r="O2" s="498" t="s">
        <v>85</v>
      </c>
      <c r="P2" s="499"/>
      <c r="Q2" s="499"/>
      <c r="R2" s="499"/>
      <c r="S2" s="499"/>
      <c r="T2" s="500"/>
    </row>
    <row r="3" spans="1:23" ht="15.75" thickBot="1" x14ac:dyDescent="0.25">
      <c r="B3" s="421"/>
      <c r="C3" s="510" t="s">
        <v>82</v>
      </c>
      <c r="D3" s="510"/>
      <c r="E3" s="510"/>
      <c r="F3" s="188" t="s">
        <v>81</v>
      </c>
      <c r="G3" s="510" t="s">
        <v>81</v>
      </c>
      <c r="H3" s="510"/>
      <c r="I3" s="510"/>
      <c r="N3" s="505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512"/>
      <c r="B4" s="421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6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12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>
        <v>17</v>
      </c>
      <c r="D6" s="330">
        <v>17</v>
      </c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17</v>
      </c>
      <c r="S6" s="293"/>
      <c r="T6" s="293"/>
    </row>
    <row r="7" spans="1:23" ht="16.5" thickBot="1" x14ac:dyDescent="0.25">
      <c r="A7" s="187"/>
      <c r="B7" s="284" t="s">
        <v>163</v>
      </c>
      <c r="C7" s="287">
        <v>51</v>
      </c>
      <c r="D7" s="287">
        <v>17</v>
      </c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>
        <v>34</v>
      </c>
      <c r="S7" s="293"/>
      <c r="T7" s="293"/>
    </row>
    <row r="8" spans="1:23" ht="16.5" thickBot="1" x14ac:dyDescent="0.25">
      <c r="A8" s="187"/>
      <c r="B8" s="290" t="s">
        <v>158</v>
      </c>
      <c r="C8" s="292">
        <v>34</v>
      </c>
      <c r="D8" s="292">
        <v>17</v>
      </c>
      <c r="E8" s="292"/>
      <c r="F8" s="161"/>
      <c r="G8" s="302">
        <v>51</v>
      </c>
      <c r="H8" s="292"/>
      <c r="I8" s="292"/>
      <c r="N8" s="191" t="s">
        <v>26</v>
      </c>
      <c r="O8" s="228"/>
      <c r="P8" s="228"/>
      <c r="Q8" s="228"/>
      <c r="R8" s="228">
        <v>17</v>
      </c>
      <c r="S8" s="293"/>
      <c r="T8" s="293">
        <v>34</v>
      </c>
    </row>
    <row r="9" spans="1:23" ht="16.5" thickBot="1" x14ac:dyDescent="0.25">
      <c r="A9" s="187"/>
      <c r="B9" s="186" t="s">
        <v>16</v>
      </c>
      <c r="C9" s="322">
        <v>17</v>
      </c>
      <c r="D9" s="184"/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68</v>
      </c>
      <c r="S9" s="5">
        <f t="shared" si="0"/>
        <v>0</v>
      </c>
      <c r="T9" s="5">
        <f t="shared" si="0"/>
        <v>85</v>
      </c>
    </row>
    <row r="10" spans="1:23" ht="16.5" thickBot="1" x14ac:dyDescent="0.25">
      <c r="A10" s="187"/>
      <c r="B10" s="186" t="s">
        <v>17</v>
      </c>
      <c r="C10" s="322">
        <v>34</v>
      </c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>
        <v>17</v>
      </c>
      <c r="H11" s="184">
        <v>17</v>
      </c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/>
      <c r="G12" s="184">
        <v>17</v>
      </c>
      <c r="H12" s="184"/>
      <c r="I12" s="161"/>
      <c r="J12" s="285"/>
      <c r="K12" s="325"/>
      <c r="L12" s="187"/>
      <c r="P12" s="504" t="s">
        <v>3</v>
      </c>
      <c r="Q12" s="324" t="s">
        <v>165</v>
      </c>
    </row>
    <row r="13" spans="1:23" ht="16.5" thickBot="1" x14ac:dyDescent="0.25">
      <c r="B13" s="186" t="s">
        <v>20</v>
      </c>
      <c r="C13" s="322"/>
      <c r="D13" s="184"/>
      <c r="E13" s="161"/>
      <c r="F13" s="161"/>
      <c r="G13" s="161"/>
      <c r="H13" s="184"/>
      <c r="I13" s="184"/>
      <c r="P13" s="505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>
        <v>51</v>
      </c>
      <c r="G14" s="161"/>
      <c r="H14" s="184"/>
      <c r="I14" s="184"/>
      <c r="P14" s="506"/>
      <c r="Q14" s="163" t="s">
        <v>50</v>
      </c>
      <c r="S14" s="163" t="s">
        <v>93</v>
      </c>
      <c r="T14" s="162">
        <f>G22+C34</f>
        <v>102</v>
      </c>
      <c r="U14" s="162">
        <f>H22+D34</f>
        <v>34</v>
      </c>
      <c r="V14" s="162">
        <f>I22</f>
        <v>0</v>
      </c>
      <c r="W14" s="162">
        <f>F22+E34</f>
        <v>119</v>
      </c>
    </row>
    <row r="15" spans="1:23" ht="16.5" thickBot="1" x14ac:dyDescent="0.25">
      <c r="A15" s="47"/>
      <c r="B15" s="332" t="s">
        <v>176</v>
      </c>
      <c r="C15" s="330">
        <v>68</v>
      </c>
      <c r="D15" s="330">
        <v>34</v>
      </c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459</v>
      </c>
      <c r="V15" s="162">
        <f>D22+P9+G34</f>
        <v>136</v>
      </c>
      <c r="W15" s="162">
        <f>E22+I34+Q9</f>
        <v>68</v>
      </c>
    </row>
    <row r="16" spans="1:23" ht="16.5" thickBot="1" x14ac:dyDescent="0.25">
      <c r="A16" s="47"/>
      <c r="B16" s="327" t="s">
        <v>177</v>
      </c>
      <c r="C16" s="330">
        <v>85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68</v>
      </c>
      <c r="V16" s="162">
        <f>S9</f>
        <v>0</v>
      </c>
      <c r="W16" s="162">
        <f>T9</f>
        <v>85</v>
      </c>
    </row>
    <row r="17" spans="1:23" ht="16.5" thickBot="1" x14ac:dyDescent="0.25">
      <c r="A17" s="47"/>
      <c r="B17" s="327" t="s">
        <v>178</v>
      </c>
      <c r="C17" s="330">
        <v>17</v>
      </c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68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102</v>
      </c>
      <c r="U19" s="162">
        <f>'التمام الصباحي'!L39</f>
        <v>561</v>
      </c>
      <c r="V19" s="162">
        <f>'التمام الصباحي'!R39</f>
        <v>136</v>
      </c>
      <c r="W19" s="162">
        <f>'التمام الصباحي'!X39</f>
        <v>272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102</v>
      </c>
      <c r="U20" s="162">
        <f>C22+H22+D34+F34+O9+R9</f>
        <v>561</v>
      </c>
      <c r="V20" s="162">
        <f>D22+I22+G34+P9+S9</f>
        <v>136</v>
      </c>
      <c r="W20" s="162">
        <f>E22+F22+Q9+T9+E34+I34+Q19</f>
        <v>272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459</v>
      </c>
      <c r="D22" s="330">
        <f>SUM(D5:D21)+F44</f>
        <v>136</v>
      </c>
      <c r="E22" s="330">
        <f>SUM(E5:E18)+G44</f>
        <v>68</v>
      </c>
      <c r="F22" s="330">
        <f>SUM(F5:F18)+D44</f>
        <v>102</v>
      </c>
      <c r="G22" s="330">
        <f>SUM(G5:G18)</f>
        <v>85</v>
      </c>
      <c r="H22" s="330">
        <f>SUM(H5:H21)+B44</f>
        <v>17</v>
      </c>
      <c r="I22" s="330">
        <f>SUM(I5:I21)+C44</f>
        <v>0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4" t="s">
        <v>3</v>
      </c>
      <c r="C25" s="498" t="s">
        <v>86</v>
      </c>
      <c r="D25" s="499"/>
      <c r="E25" s="499"/>
      <c r="F25" s="499"/>
      <c r="G25" s="499"/>
      <c r="H25" s="499"/>
      <c r="I25" s="500"/>
      <c r="J25" s="300"/>
    </row>
    <row r="26" spans="1:23" ht="17.25" customHeight="1" thickBot="1" x14ac:dyDescent="0.25">
      <c r="B26" s="505"/>
      <c r="C26" s="510" t="s">
        <v>81</v>
      </c>
      <c r="D26" s="510"/>
      <c r="E26" s="510"/>
      <c r="F26" s="510" t="s">
        <v>87</v>
      </c>
      <c r="G26" s="510"/>
      <c r="H26" s="510"/>
      <c r="I26" s="510"/>
      <c r="J26" s="300"/>
    </row>
    <row r="27" spans="1:23" ht="15.75" thickBot="1" x14ac:dyDescent="0.25">
      <c r="B27" s="506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>
        <v>17</v>
      </c>
      <c r="D32" s="330">
        <v>17</v>
      </c>
      <c r="E32" s="330">
        <v>17</v>
      </c>
      <c r="F32" s="330"/>
      <c r="G32" s="331"/>
      <c r="H32" s="331"/>
      <c r="I32" s="330"/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17</v>
      </c>
      <c r="D34" s="330">
        <f>SUM(D28:D33)+M44</f>
        <v>17</v>
      </c>
      <c r="E34" s="330">
        <f>SUM(E28:E33)+N44</f>
        <v>17</v>
      </c>
      <c r="F34" s="330">
        <f>SUM(F28:F33)+H44</f>
        <v>0</v>
      </c>
      <c r="G34" s="330">
        <f>SUM(G28:G33)+I44</f>
        <v>0</v>
      </c>
      <c r="H34" s="330">
        <f>SUM(H28:H32)+K44</f>
        <v>0</v>
      </c>
      <c r="I34" s="330">
        <f>SUM(I28:I33)+J44</f>
        <v>0</v>
      </c>
    </row>
    <row r="36" spans="1:14" ht="15" thickBot="1" x14ac:dyDescent="0.25"/>
    <row r="37" spans="1:14" ht="15.75" thickBot="1" x14ac:dyDescent="0.25">
      <c r="A37" s="504" t="s">
        <v>3</v>
      </c>
      <c r="B37" s="501" t="s">
        <v>88</v>
      </c>
      <c r="C37" s="502"/>
      <c r="D37" s="501" t="s">
        <v>84</v>
      </c>
      <c r="E37" s="503"/>
      <c r="F37" s="503"/>
      <c r="G37" s="502"/>
      <c r="H37" s="501" t="s">
        <v>86</v>
      </c>
      <c r="I37" s="503"/>
      <c r="J37" s="503"/>
      <c r="K37" s="503"/>
      <c r="L37" s="503"/>
      <c r="M37" s="503"/>
      <c r="N37" s="502"/>
    </row>
    <row r="38" spans="1:14" ht="15.75" thickBot="1" x14ac:dyDescent="0.25">
      <c r="A38" s="505"/>
      <c r="B38" s="501" t="s">
        <v>81</v>
      </c>
      <c r="C38" s="502"/>
      <c r="D38" s="329" t="s">
        <v>81</v>
      </c>
      <c r="E38" s="501" t="s">
        <v>87</v>
      </c>
      <c r="F38" s="503"/>
      <c r="G38" s="502"/>
      <c r="H38" s="501" t="s">
        <v>87</v>
      </c>
      <c r="I38" s="503"/>
      <c r="J38" s="503"/>
      <c r="K38" s="502"/>
      <c r="L38" s="501" t="s">
        <v>81</v>
      </c>
      <c r="M38" s="503"/>
      <c r="N38" s="502"/>
    </row>
    <row r="39" spans="1:14" ht="15.75" thickBot="1" x14ac:dyDescent="0.25">
      <c r="A39" s="506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34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>
        <v>34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51</v>
      </c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34</v>
      </c>
      <c r="F44" s="313">
        <f t="shared" si="2"/>
        <v>0</v>
      </c>
      <c r="G44" s="313">
        <f t="shared" si="2"/>
        <v>68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8317B6D8-8A99-4EB0-9DBC-8E9AE0170A4B}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3" t="s">
        <v>159</v>
      </c>
      <c r="E5" s="533"/>
      <c r="F5" s="533"/>
      <c r="G5" s="533"/>
      <c r="H5" s="533"/>
      <c r="Q5" s="527" t="s">
        <v>118</v>
      </c>
      <c r="R5" s="527"/>
      <c r="S5" s="527"/>
      <c r="T5" s="527"/>
      <c r="U5" s="527"/>
    </row>
    <row r="6" spans="4:24" ht="15.75" hidden="1" customHeight="1" thickBot="1" x14ac:dyDescent="0.25">
      <c r="D6" s="528" t="s">
        <v>3</v>
      </c>
      <c r="E6" s="258">
        <v>80</v>
      </c>
      <c r="F6" s="232">
        <v>92</v>
      </c>
      <c r="G6" s="232">
        <v>95</v>
      </c>
      <c r="H6" s="232" t="s">
        <v>50</v>
      </c>
      <c r="K6" s="389" t="s">
        <v>3</v>
      </c>
      <c r="L6" s="231">
        <v>80</v>
      </c>
      <c r="M6" s="231">
        <v>92</v>
      </c>
      <c r="N6" s="231">
        <v>95</v>
      </c>
      <c r="O6" s="231" t="s">
        <v>50</v>
      </c>
      <c r="Q6" s="389" t="s">
        <v>3</v>
      </c>
      <c r="R6" s="530" t="s">
        <v>95</v>
      </c>
      <c r="S6" s="530" t="s">
        <v>96</v>
      </c>
      <c r="T6" s="530" t="s">
        <v>97</v>
      </c>
      <c r="U6" s="532" t="s">
        <v>98</v>
      </c>
      <c r="W6" s="389" t="s">
        <v>99</v>
      </c>
      <c r="X6" s="389" t="s">
        <v>100</v>
      </c>
    </row>
    <row r="7" spans="4:24" ht="15.75" hidden="1" customHeight="1" thickBot="1" x14ac:dyDescent="0.25">
      <c r="D7" s="529"/>
      <c r="E7" s="258" t="s">
        <v>7</v>
      </c>
      <c r="F7" s="232" t="s">
        <v>7</v>
      </c>
      <c r="G7" s="232" t="s">
        <v>7</v>
      </c>
      <c r="H7" s="232" t="s">
        <v>7</v>
      </c>
      <c r="K7" s="389"/>
      <c r="L7" s="201" t="s">
        <v>7</v>
      </c>
      <c r="M7" s="201" t="s">
        <v>7</v>
      </c>
      <c r="N7" s="201" t="s">
        <v>7</v>
      </c>
      <c r="O7" s="201" t="s">
        <v>7</v>
      </c>
      <c r="Q7" s="389"/>
      <c r="R7" s="531"/>
      <c r="S7" s="531"/>
      <c r="T7" s="531"/>
      <c r="U7" s="532"/>
      <c r="W7" s="389"/>
      <c r="X7" s="389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1" t="s">
        <v>101</v>
      </c>
      <c r="X8" s="524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2"/>
      <c r="X9" s="525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3">
        <f>IF((ROUNDDOWN((SUM(M10:M11)/51)-(R10+R11),0.9))&lt;0,0,(ROUNDDOWN((SUM(M10:M11)/51)-(R10+R11),0.9)))</f>
        <v>0</v>
      </c>
      <c r="T10" s="513">
        <f>IF((ROUNDDOWN((SUM(O10:O11)/51)-(R10+R11),0.9))&lt;0,0,(ROUNDDOWN((SUM(O10:O11)/51)-(R10+R11),0.9)))</f>
        <v>0</v>
      </c>
      <c r="U10" s="513">
        <f>IF((ROUNDDOWN((SUM(L10:O11)/51)-(R10+R11+S10+T10),0.9))&lt;0,0,ROUNDDOWN((SUM(L10:O11)/51)-(R10+R11+S10+T10),0.9))</f>
        <v>0</v>
      </c>
      <c r="W10" s="522"/>
      <c r="X10" s="525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4"/>
      <c r="T11" s="514"/>
      <c r="U11" s="514"/>
      <c r="W11" s="522"/>
      <c r="X11" s="525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7">
        <f>IF((ROUNDDOWN((SUM(M12:M13)/51)-(R12+R13),0.9))&lt;0,0,(ROUNDDOWN((SUM(M12:M13)/51)-(R12+R13),0.9)))</f>
        <v>0</v>
      </c>
      <c r="T12" s="517">
        <f t="shared" ref="T12" si="3">IF((ROUNDDOWN((SUM(O12:O13)/51)-(R12+R13),0.9))&lt;0,0,(ROUNDDOWN((SUM(O12:O13)/51)-(R12+R13),0.9)))</f>
        <v>0</v>
      </c>
      <c r="U12" s="517">
        <f t="shared" ref="U12" si="4">IF((ROUNDDOWN((SUM(L12:O13)/51)-(R12+R13+S12+T12),0.9))&lt;0,0,ROUNDDOWN((SUM(L12:O13)/51)-(R12+R13+S12+T12),0.9))</f>
        <v>0</v>
      </c>
      <c r="W12" s="522"/>
      <c r="X12" s="525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7"/>
      <c r="T13" s="517"/>
      <c r="U13" s="517"/>
      <c r="W13" s="522"/>
      <c r="X13" s="525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3">
        <f>IF((ROUNDDOWN((SUM(M14:M15)/51)-(R14+R15),0.9))&lt;0,0,(ROUNDDOWN((SUM(M14:M15)/51)-(R14+R15),0.9)))</f>
        <v>0</v>
      </c>
      <c r="T14" s="513">
        <f t="shared" ref="T14" si="5">IF((ROUNDDOWN((SUM(O14:O15)/51)-(R14+R15),0.9))&lt;0,0,(ROUNDDOWN((SUM(O14:O15)/51)-(R14+R15),0.9)))</f>
        <v>0</v>
      </c>
      <c r="U14" s="513">
        <f t="shared" ref="U14" si="6">IF((ROUNDDOWN((SUM(L14:O15)/51)-(R14+R15+S14+T14),0.9))&lt;0,0,ROUNDDOWN((SUM(L14:O15)/51)-(R14+R15+S14+T14),0.9))</f>
        <v>0</v>
      </c>
      <c r="W14" s="522"/>
      <c r="X14" s="525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4"/>
      <c r="T15" s="514"/>
      <c r="U15" s="514"/>
      <c r="W15" s="523"/>
      <c r="X15" s="526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5" t="s">
        <v>85</v>
      </c>
      <c r="X16" s="516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9">
        <f>IF((ROUNDDOWN((SUM(M17:M18)/51)-(R17+R18),0.9))&lt;0,0,(ROUNDDOWN((SUM(M17:M18)/51)-(R17+R18),0.9)))</f>
        <v>0</v>
      </c>
      <c r="T17" s="519">
        <f>IF((ROUNDDOWN((SUM(O17:O18)/51)-(R17+R18),0.9))&lt;0,0,(ROUNDDOWN((SUM(O17:O18)/51)-(R17+R18),0.9)))</f>
        <v>0</v>
      </c>
      <c r="U17" s="519">
        <f>IF((ROUNDDOWN((SUM(L17:O18)/51)-(R17+R18+S17+T17),0.9))&lt;0,0,ROUNDDOWN((SUM(L17:O18)/51)-(R17+R18+S17+T17),0.9))</f>
        <v>0</v>
      </c>
      <c r="W17" s="515"/>
      <c r="X17" s="516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20"/>
      <c r="T18" s="520"/>
      <c r="U18" s="520"/>
      <c r="W18" s="515"/>
      <c r="X18" s="516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5"/>
      <c r="X19" s="516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3">
        <f>IF((ROUNDDOWN((SUM(M20:M21)/51)-(R20+R21),0.9))&lt;0,0,(ROUNDDOWN((SUM(M20:M21)/51)-(R20+R21),0.9)))</f>
        <v>0</v>
      </c>
      <c r="T20" s="513">
        <f>IF((ROUNDDOWN((SUM(O20:O21)/51)-(R20+R21),0.9))&lt;0,0,(ROUNDDOWN((SUM(O20:O21)/51)-(R20+R21),0.9)))</f>
        <v>0</v>
      </c>
      <c r="U20" s="513">
        <f>IF((ROUNDDOWN((SUM(L20:O21)/51)-(R20+R21+S20+T20),0.9))&lt;0,0,ROUNDDOWN((SUM(L20:O21)/51)-(R20+R21+S20+T20),0.9))</f>
        <v>0</v>
      </c>
      <c r="W20" s="515" t="s">
        <v>102</v>
      </c>
      <c r="X20" s="516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4"/>
      <c r="T21" s="514"/>
      <c r="U21" s="514"/>
      <c r="W21" s="515"/>
      <c r="X21" s="516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7">
        <f>IF((ROUNDDOWN((SUM(M22:M23)/51)-(R22+R23),0.9))&lt;0,0,(ROUNDDOWN((SUM(M22:M23)/51)-(R22+R23),0.9)))</f>
        <v>0</v>
      </c>
      <c r="T22" s="519">
        <f>IF((ROUNDDOWN((SUM(O22:O23)/51)-(R22+R23),0.9))&lt;0,0,(ROUNDDOWN((SUM(O22:O23)/51)-(R22+R23),0.9)))</f>
        <v>0</v>
      </c>
      <c r="U22" s="519">
        <f t="shared" ref="U22" si="7">IF((ROUNDDOWN((SUM(L22:O23)/51)-(R22+R23+S22+T22),0.9))&lt;0,0,ROUNDDOWN((SUM(L22:O23)/51)-(R22+R23+S22+T22),0.9))</f>
        <v>0</v>
      </c>
      <c r="W22" s="515"/>
      <c r="X22" s="516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7"/>
      <c r="T23" s="520"/>
      <c r="U23" s="520"/>
      <c r="W23" s="515"/>
      <c r="X23" s="516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3">
        <f>IF((ROUNDDOWN((SUM(M24:M25)/51)-(R24+R25),0.9))&lt;0,0,(ROUNDDOWN((SUM(M24:M25)/51)-(R24+R25),0.9)))</f>
        <v>0</v>
      </c>
      <c r="T24" s="513">
        <f>IF((ROUNDDOWN((SUM(O24:O25)/51)-(R24+R25),0.9))&lt;0,0,(ROUNDDOWN((SUM(O24:O25)/51)-(R24+R25),0.9)))</f>
        <v>0</v>
      </c>
      <c r="U24" s="513">
        <f t="shared" ref="U24" si="8">IF((ROUNDDOWN((SUM(L24:O25)/51)-(R24+R25+S24+T24),0.9))&lt;0,0,ROUNDDOWN((SUM(L24:O25)/51)-(R24+R25+S24+T24),0.9))</f>
        <v>0</v>
      </c>
      <c r="W24" s="515" t="s">
        <v>90</v>
      </c>
      <c r="X24" s="516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4"/>
      <c r="T25" s="514"/>
      <c r="U25" s="514"/>
      <c r="W25" s="515"/>
      <c r="X25" s="516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7">
        <f>IF((ROUNDDOWN((SUM(M26:M27)/51)-(R26+R27),0.9))&lt;0,0,(ROUNDDOWN((SUM(M26:M27)/51)-(R26+R27),0.9)))</f>
        <v>0</v>
      </c>
      <c r="T26" s="517">
        <f>IF((ROUNDDOWN((SUM(O26:O27)/51)-(R26+R27),0.9))&lt;0,0,(ROUNDDOWN((SUM(O26:O27)/51)-(R26+R27),0.9)))</f>
        <v>0</v>
      </c>
      <c r="U26" s="517">
        <f t="shared" ref="U26" si="10">IF((ROUNDDOWN((SUM(L26:O27)/51)-(R26+R27+S26+T26),0.9))&lt;0,0,ROUNDDOWN((SUM(L26:O27)/51)-(R26+R27+S26+T26),0.9))</f>
        <v>0</v>
      </c>
      <c r="W26" s="515"/>
      <c r="X26" s="516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8"/>
      <c r="T27" s="518"/>
      <c r="U27" s="518"/>
      <c r="W27" s="515"/>
      <c r="X27" s="516"/>
    </row>
    <row r="28" spans="4:24" ht="14.25" hidden="1" customHeight="1" x14ac:dyDescent="0.2"/>
    <row r="29" spans="4:24" ht="21" thickBot="1" x14ac:dyDescent="0.35">
      <c r="D29" s="533"/>
      <c r="E29" s="533"/>
      <c r="F29" s="533"/>
      <c r="G29" s="533"/>
      <c r="H29" s="533"/>
      <c r="Q29" s="527" t="s">
        <v>118</v>
      </c>
      <c r="R29" s="527"/>
      <c r="S29" s="527"/>
      <c r="T29" s="527"/>
      <c r="U29" s="527"/>
    </row>
    <row r="30" spans="4:24" ht="15.75" thickBot="1" x14ac:dyDescent="0.25">
      <c r="D30" s="528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89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89" t="s">
        <v>3</v>
      </c>
      <c r="R30" s="530" t="s">
        <v>95</v>
      </c>
      <c r="S30" s="530" t="s">
        <v>96</v>
      </c>
      <c r="T30" s="530" t="s">
        <v>97</v>
      </c>
      <c r="U30" s="532" t="s">
        <v>98</v>
      </c>
      <c r="W30" s="389" t="s">
        <v>99</v>
      </c>
      <c r="X30" s="389" t="s">
        <v>100</v>
      </c>
    </row>
    <row r="31" spans="4:24" ht="15.75" thickBot="1" x14ac:dyDescent="0.25">
      <c r="D31" s="529"/>
      <c r="E31" s="258" t="s">
        <v>7</v>
      </c>
      <c r="F31" s="232" t="s">
        <v>7</v>
      </c>
      <c r="G31" s="232" t="s">
        <v>7</v>
      </c>
      <c r="H31" s="232" t="s">
        <v>7</v>
      </c>
      <c r="K31" s="389"/>
      <c r="L31" s="201" t="s">
        <v>7</v>
      </c>
      <c r="M31" s="201" t="s">
        <v>7</v>
      </c>
      <c r="N31" s="201" t="s">
        <v>7</v>
      </c>
      <c r="O31" s="201" t="s">
        <v>7</v>
      </c>
      <c r="Q31" s="389"/>
      <c r="R31" s="531"/>
      <c r="S31" s="531"/>
      <c r="T31" s="531"/>
      <c r="U31" s="532"/>
      <c r="W31" s="389"/>
      <c r="X31" s="389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40</v>
      </c>
      <c r="G32" s="194">
        <f>'التمام الصباحي'!Q8+'التمام الصباحي'!S8</f>
        <v>14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0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21" t="s">
        <v>101</v>
      </c>
      <c r="X32" s="524">
        <f>SUM(R32:U39)/3</f>
        <v>2.6666666666666665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81</v>
      </c>
      <c r="G33" s="194">
        <f>'التمام الصباحي'!Q9+'التمام الصباحي'!S9</f>
        <v>32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68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2"/>
      <c r="X33" s="525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74</v>
      </c>
      <c r="F34" s="194">
        <f>'التمام الصباحي'!K10+'التمام الصباحي'!M10</f>
        <v>51</v>
      </c>
      <c r="G34" s="194">
        <f>'التمام الصباحي'!Q10+'التمام الصباحي'!S10</f>
        <v>22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51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2</v>
      </c>
      <c r="S34" s="513">
        <f>IF((ROUNDDOWN((SUM(M34:M35)/51)-(R34+R35),0.9))&lt;0,0,(ROUNDDOWN((SUM(M34:M35)/51)-(R34+R35),0.9)))</f>
        <v>0</v>
      </c>
      <c r="T34" s="513">
        <f>IF((ROUNDDOWN((SUM(O34:O35)/51)-(R34+R35),0.9))&lt;0,0,(ROUNDDOWN((SUM(O34:O35)/51)-(R34+R35),0.9)))</f>
        <v>0</v>
      </c>
      <c r="U34" s="513">
        <f>IF((ROUNDDOWN((SUM(L34:O35)/51)-(R34+R35+S34+T34),0.9))&lt;0,0,ROUNDDOWN((SUM(L34:O35)/51)-(R34+R35+S34+T34),0.9))</f>
        <v>1</v>
      </c>
      <c r="W34" s="522"/>
      <c r="X34" s="525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10</v>
      </c>
      <c r="F35" s="194">
        <f>'التمام الصباحي'!K11+'التمام الصباحي'!M11</f>
        <v>35</v>
      </c>
      <c r="G35" s="194">
        <f>'التمام الصباحي'!Q11+'التمام الصباحي'!S11</f>
        <v>14</v>
      </c>
      <c r="H35" s="194">
        <f>'التمام الصباحي'!W11+'التمام الصباحي'!Y11</f>
        <v>8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0</v>
      </c>
      <c r="O35" s="235">
        <f t="shared" si="13"/>
        <v>0</v>
      </c>
      <c r="P35" s="236"/>
      <c r="Q35" s="244" t="s">
        <v>17</v>
      </c>
      <c r="R35" s="245">
        <f t="shared" si="11"/>
        <v>0</v>
      </c>
      <c r="S35" s="514"/>
      <c r="T35" s="514"/>
      <c r="U35" s="514"/>
      <c r="W35" s="522"/>
      <c r="X35" s="525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57</v>
      </c>
      <c r="G36" s="194">
        <f>'التمام الصباحي'!Q12+'التمام الصباحي'!S12</f>
        <v>17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7">
        <f>IF((ROUNDDOWN((SUM(M36:M37)/51)-(R36+R37),0.9))&lt;0,0,(ROUNDDOWN((SUM(M36:M37)/51)-(R36+R37),0.9)))</f>
        <v>0</v>
      </c>
      <c r="T36" s="517">
        <f t="shared" ref="T36" si="15">IF((ROUNDDOWN((SUM(O36:O37)/51)-(R36+R37),0.9))&lt;0,0,(ROUNDDOWN((SUM(O36:O37)/51)-(R36+R37),0.9)))</f>
        <v>0</v>
      </c>
      <c r="U36" s="517">
        <f t="shared" ref="U36" si="16">IF((ROUNDDOWN((SUM(L36:O37)/51)-(R36+R37+S36+T36),0.9))&lt;0,0,ROUNDDOWN((SUM(L36:O37)/51)-(R36+R37+S36+T36),0.9))</f>
        <v>0</v>
      </c>
      <c r="W36" s="522"/>
      <c r="X36" s="525"/>
    </row>
    <row r="37" spans="3:24" ht="16.5" thickBot="1" x14ac:dyDescent="0.3">
      <c r="D37" s="233" t="s">
        <v>18</v>
      </c>
      <c r="E37" s="194">
        <f>'التمام الصباحي'!E13+'التمام الصباحي'!G13</f>
        <v>21</v>
      </c>
      <c r="F37" s="194">
        <f>'التمام الصباحي'!K13+'التمام الصباحي'!M13</f>
        <v>43</v>
      </c>
      <c r="G37" s="295"/>
      <c r="H37" s="194">
        <f>'التمام الصباحي'!W13+'التمام الصباحي'!Y13</f>
        <v>13</v>
      </c>
      <c r="K37" s="233" t="s">
        <v>18</v>
      </c>
      <c r="L37" s="235">
        <f t="shared" si="14"/>
        <v>17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0</v>
      </c>
      <c r="P37" s="236"/>
      <c r="Q37" s="248" t="s">
        <v>19</v>
      </c>
      <c r="R37" s="249">
        <f t="shared" si="11"/>
        <v>1</v>
      </c>
      <c r="S37" s="517"/>
      <c r="T37" s="517"/>
      <c r="U37" s="517"/>
      <c r="W37" s="522"/>
      <c r="X37" s="525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27</v>
      </c>
      <c r="F38" s="194">
        <f>'التمام الصباحي'!K14+'التمام الصباحي'!M14</f>
        <v>31</v>
      </c>
      <c r="G38" s="295"/>
      <c r="H38" s="194">
        <f>'التمام الصباحي'!W14+'التمام الصباحي'!Y14</f>
        <v>33</v>
      </c>
      <c r="K38" s="233" t="s">
        <v>19</v>
      </c>
      <c r="L38" s="235">
        <f t="shared" si="14"/>
        <v>17</v>
      </c>
      <c r="M38" s="235">
        <f t="shared" si="12"/>
        <v>17</v>
      </c>
      <c r="N38" s="234"/>
      <c r="O38" s="235">
        <f t="shared" si="17"/>
        <v>17</v>
      </c>
      <c r="P38" s="236"/>
      <c r="Q38" s="242" t="s">
        <v>20</v>
      </c>
      <c r="R38" s="243">
        <f t="shared" si="11"/>
        <v>1</v>
      </c>
      <c r="S38" s="513">
        <f>IF((ROUNDDOWN((SUM(M38:M39)/51)-(R38+R39),0.9))&lt;0,0,(ROUNDDOWN((SUM(M38:M39)/51)-(R38+R39),0.9)))</f>
        <v>0</v>
      </c>
      <c r="T38" s="513">
        <f t="shared" ref="T38" si="18">IF((ROUNDDOWN((SUM(O38:O39)/51)-(R38+R39),0.9))&lt;0,0,(ROUNDDOWN((SUM(O38:O39)/51)-(R38+R39),0.9)))</f>
        <v>0</v>
      </c>
      <c r="U38" s="513">
        <f t="shared" ref="U38" si="19">IF((ROUNDDOWN((SUM(L38:O39)/51)-(R38+R39+S38+T38),0.9))&lt;0,0,ROUNDDOWN((SUM(L38:O39)/51)-(R38+R39+S38+T38),0.9))</f>
        <v>0</v>
      </c>
      <c r="W38" s="522"/>
      <c r="X38" s="525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72</v>
      </c>
      <c r="G39" s="194">
        <f>'التمام الصباحي'!Q15+'التمام الصباحي'!S15</f>
        <v>20</v>
      </c>
      <c r="H39" s="354"/>
      <c r="K39" s="233" t="s">
        <v>20</v>
      </c>
      <c r="L39" s="234"/>
      <c r="M39" s="235">
        <f t="shared" si="12"/>
        <v>68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4"/>
      <c r="T39" s="514"/>
      <c r="U39" s="514"/>
      <c r="W39" s="523"/>
      <c r="X39" s="526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45</v>
      </c>
      <c r="G40" s="194">
        <f>'التمام الصباحي'!Q16+'التمام الصباحي'!S16</f>
        <v>14</v>
      </c>
      <c r="H40" s="194">
        <f>'التمام الصباحي'!W16+'التمام الصباحي'!Y16</f>
        <v>80</v>
      </c>
      <c r="K40" s="233" t="s">
        <v>21</v>
      </c>
      <c r="L40" s="234"/>
      <c r="M40" s="235">
        <f t="shared" si="12"/>
        <v>34</v>
      </c>
      <c r="N40" s="235">
        <f t="shared" si="13"/>
        <v>0</v>
      </c>
      <c r="O40" s="235">
        <f t="shared" si="13"/>
        <v>68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5" t="s">
        <v>85</v>
      </c>
      <c r="X40" s="524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19</v>
      </c>
      <c r="G41" s="194">
        <f>'التمام الصباحي'!Q17+'التمام الصباحي'!S17</f>
        <v>12</v>
      </c>
      <c r="H41" s="194">
        <f>'التمام الصباحي'!W17+'التمام الصباحي'!Y17</f>
        <v>91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9">
        <f>IF((ROUNDDOWN((SUM(M41:M42)/51)-(R41+R42),0.9))&lt;0,0,(ROUNDDOWN((SUM(M41:M42)/51)-(R41+R42),0.9)))</f>
        <v>0</v>
      </c>
      <c r="T41" s="519">
        <f>IF((ROUNDDOWN((SUM(O41:O42)/51)-(R41+R42),0.9))&lt;0,0,(ROUNDDOWN((SUM(O41:O42)/51)-(R41+R42),0.9)))</f>
        <v>0</v>
      </c>
      <c r="U41" s="519">
        <f>IF((ROUNDDOWN((SUM(L41:O42)/51)-(R41+R42+S41+T41),0.9))&lt;0,0,ROUNDDOWN((SUM(L41:O42)/51)-(R41+R42+S41+T41),0.9))</f>
        <v>0</v>
      </c>
      <c r="W41" s="515"/>
      <c r="X41" s="525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22</v>
      </c>
      <c r="G42" s="194">
        <f>'التمام الصباحي'!Q18+'التمام الصباحي'!S18</f>
        <v>20</v>
      </c>
      <c r="H42" s="194">
        <f>'التمام الصباحي'!W18+'التمام الصباحي'!Y18</f>
        <v>19</v>
      </c>
      <c r="K42" s="233" t="s">
        <v>23</v>
      </c>
      <c r="L42" s="234"/>
      <c r="M42" s="235">
        <f t="shared" si="12"/>
        <v>17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20"/>
      <c r="T42" s="520"/>
      <c r="U42" s="520"/>
      <c r="W42" s="515"/>
      <c r="X42" s="525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10</v>
      </c>
      <c r="G43" s="194">
        <f>'التمام الصباحي'!Q19+'التمام الصباحي'!S19</f>
        <v>13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5"/>
      <c r="X43" s="526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22</v>
      </c>
      <c r="G44" s="194">
        <f>'التمام الصباحي'!Q20+'التمام الصباحي'!S20</f>
        <v>13</v>
      </c>
      <c r="H44" s="194">
        <f>'التمام الصباحي'!W20+'التمام الصباحي'!Y20</f>
        <v>44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3">
        <f>IF((ROUNDDOWN((SUM(M44:M45)/51)-(R44+R45),0.9))&lt;0,0,(ROUNDDOWN((SUM(M44:M45)/51)-(R44+R45),0.9)))</f>
        <v>0</v>
      </c>
      <c r="T44" s="513">
        <f>IF((ROUNDDOWN((SUM(O44:O45)/51)-(R44+R45),0.9))&lt;0,0,(ROUNDDOWN((SUM(O44:O45)/51)-(R44+R45),0.9)))</f>
        <v>0</v>
      </c>
      <c r="U44" s="513">
        <f>IF((ROUNDDOWN((SUM(L44:O45)/51)-(R44+R45+S44+T44),0.9))&lt;0,0,ROUNDDOWN((SUM(L44:O45)/51)-(R44+R45+S44+T44),0.9))</f>
        <v>0</v>
      </c>
      <c r="W44" s="515" t="s">
        <v>102</v>
      </c>
      <c r="X44" s="524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44</v>
      </c>
      <c r="G45" s="194">
        <f>'التمام الصباحي'!Q21+'التمام الصباحي'!S21</f>
        <v>19</v>
      </c>
      <c r="H45" s="194">
        <f>'التمام الصباحي'!W21+'التمام الصباحي'!Y21</f>
        <v>58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4"/>
      <c r="T45" s="514"/>
      <c r="U45" s="514"/>
      <c r="W45" s="515"/>
      <c r="X45" s="525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34</v>
      </c>
      <c r="G46" s="194">
        <f>'التمام الصباحي'!Q22+'التمام الصباحي'!S22</f>
        <v>7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7">
        <f>IF((ROUNDDOWN((SUM(M46:M47)/51)-(R46+R47),0.9))&lt;0,0,(ROUNDDOWN((SUM(M46:M47)/51)-(R46+R47),0.9)))</f>
        <v>0</v>
      </c>
      <c r="T46" s="519">
        <f>IF((ROUNDDOWN((SUM(O46:O47)/51)-(R46+R47),0.9))&lt;0,0,(ROUNDDOWN((SUM(O46:O47)/51)-(R46+R47),0.9)))</f>
        <v>0</v>
      </c>
      <c r="U46" s="519">
        <f t="shared" ref="U46" si="20">IF((ROUNDDOWN((SUM(L46:O47)/51)-(R46+R47+S46+T46),0.9))&lt;0,0,ROUNDDOWN((SUM(L46:O47)/51)-(R46+R47+S46+T46),0.9))</f>
        <v>1</v>
      </c>
      <c r="W46" s="515"/>
      <c r="X46" s="525"/>
    </row>
    <row r="47" spans="3:24" ht="16.5" thickBot="1" x14ac:dyDescent="0.3">
      <c r="D47" s="233" t="s">
        <v>28</v>
      </c>
      <c r="E47" s="194">
        <f>'التمام الصباحي'!E23+'التمام الصباحي'!G23</f>
        <v>16.600000000000001</v>
      </c>
      <c r="F47" s="194">
        <f>'التمام الصباحي'!K23+'التمام الصباحي'!M23</f>
        <v>6</v>
      </c>
      <c r="G47" s="295"/>
      <c r="H47" s="194">
        <f>'التمام الصباحي'!W23+'التمام الصباحي'!Y23</f>
        <v>32</v>
      </c>
      <c r="K47" s="233" t="s">
        <v>28</v>
      </c>
      <c r="L47" s="235">
        <f t="shared" si="14"/>
        <v>17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7"/>
      <c r="T47" s="520"/>
      <c r="U47" s="520"/>
      <c r="W47" s="515"/>
      <c r="X47" s="526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22</v>
      </c>
      <c r="G48" s="295"/>
      <c r="H48" s="194">
        <f>'التمام الصباحي'!W24+'التمام الصباحي'!Y24</f>
        <v>9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0</v>
      </c>
      <c r="P48" s="236"/>
      <c r="Q48" s="242" t="s">
        <v>30</v>
      </c>
      <c r="R48" s="243">
        <f t="shared" si="11"/>
        <v>0</v>
      </c>
      <c r="S48" s="513">
        <f>IF((ROUNDDOWN((SUM(M48:M49)/51)-(R48+R49),0.9))&lt;0,0,(ROUNDDOWN((SUM(M48:M49)/51)-(R48+R49),0.9)))</f>
        <v>0</v>
      </c>
      <c r="T48" s="513">
        <f>IF((ROUNDDOWN((SUM(O48:O49)/51)-(R48+R49),0.9))&lt;0,0,(ROUNDDOWN((SUM(O48:O49)/51)-(R48+R49),0.9)))</f>
        <v>0</v>
      </c>
      <c r="U48" s="513">
        <f t="shared" ref="U48" si="22">IF((ROUNDDOWN((SUM(L48:O49)/51)-(R48+R49+S48+T48),0.9))&lt;0,0,ROUNDDOWN((SUM(L48:O49)/51)-(R48+R49+S48+T48),0.9))</f>
        <v>0</v>
      </c>
      <c r="W48" s="515" t="s">
        <v>90</v>
      </c>
      <c r="X48" s="524">
        <f>SUM(R48:U51)/3</f>
        <v>1.6666666666666667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42</v>
      </c>
      <c r="G49" s="194">
        <f>'التمام الصباحي'!Q25+'التمام الصباحي'!S25</f>
        <v>4</v>
      </c>
      <c r="H49" s="194">
        <f>'التمام الصباحي'!W25+'التمام الصباحي'!Y25</f>
        <v>79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68</v>
      </c>
      <c r="P49" s="236"/>
      <c r="Q49" s="244" t="s">
        <v>31</v>
      </c>
      <c r="R49" s="245">
        <f t="shared" si="11"/>
        <v>2</v>
      </c>
      <c r="S49" s="514"/>
      <c r="T49" s="514"/>
      <c r="U49" s="514"/>
      <c r="W49" s="515"/>
      <c r="X49" s="525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35</v>
      </c>
      <c r="G50" s="194">
        <f>'التمام الصباحي'!Q26+'التمام الصباحي'!S26</f>
        <v>14</v>
      </c>
      <c r="H50" s="194">
        <f>'التمام الصباحي'!W26+'التمام الصباحي'!Y26</f>
        <v>74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68</v>
      </c>
      <c r="P50" s="236"/>
      <c r="Q50" s="246" t="s">
        <v>32</v>
      </c>
      <c r="R50" s="247">
        <f t="shared" si="11"/>
        <v>2</v>
      </c>
      <c r="S50" s="517">
        <f>IF((ROUNDDOWN((SUM(M50:M51)/51)-(R50+R51),0.9))&lt;0,0,(ROUNDDOWN((SUM(M50:M51)/51)-(R50+R51),0.9)))</f>
        <v>0</v>
      </c>
      <c r="T50" s="517">
        <f>IF((ROUNDDOWN((SUM(O50:O51)/51)-(R50+R51),0.9))&lt;0,0,(ROUNDDOWN((SUM(O50:O51)/51)-(R50+R51),0.9)))</f>
        <v>0</v>
      </c>
      <c r="U50" s="517">
        <f t="shared" ref="U50" si="23">IF((ROUNDDOWN((SUM(L50:O51)/51)-(R50+R51+S50+T50),0.9))&lt;0,0,ROUNDDOWN((SUM(L50:O51)/51)-(R50+R51+S50+T50),0.9))</f>
        <v>0</v>
      </c>
      <c r="W50" s="515"/>
      <c r="X50" s="525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25</v>
      </c>
      <c r="G51" s="194">
        <f>'التمام الصباحي'!Q27+'التمام الصباحي'!S27</f>
        <v>16</v>
      </c>
      <c r="H51" s="194">
        <f>'التمام الصباحي'!W27+'التمام الصباحي'!Y27</f>
        <v>47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518"/>
      <c r="T51" s="518"/>
      <c r="U51" s="518"/>
      <c r="W51" s="515"/>
      <c r="X51" s="526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26</v>
      </c>
      <c r="G52" s="194">
        <f>'التمام الصباحي'!Q28+'التمام الصباحي'!S28</f>
        <v>11</v>
      </c>
      <c r="H52" s="194">
        <f>'التمام الصباحي'!W28+'التمام الصباحي'!Y28</f>
        <v>79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68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21</v>
      </c>
      <c r="F53" s="194">
        <f>'التمام الصباحي'!K29+'التمام الصباحي'!M29</f>
        <v>26</v>
      </c>
      <c r="G53" s="194">
        <f>'التمام الصباحي'!Q29+'التمام الصباحي'!S29</f>
        <v>17</v>
      </c>
      <c r="H53" s="194">
        <f>'التمام الصباحي'!W29+'التمام الصباحي'!Y29</f>
        <v>26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17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25</v>
      </c>
      <c r="G54" s="194">
        <f>'التمام الصباحي'!Q30+'التمام الصباحي'!S30</f>
        <v>20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47</v>
      </c>
      <c r="G55" s="194">
        <f>'التمام الصباحي'!Q31+'التمام الصباحي'!S31</f>
        <v>19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47</v>
      </c>
      <c r="G56" s="194">
        <f>'التمام الصباحي'!Q32+'التمام الصباحي'!S32</f>
        <v>17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63</v>
      </c>
      <c r="G57" s="194">
        <f>'التمام الصباحي'!Q33+'التمام الصباحي'!S33</f>
        <v>20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106</v>
      </c>
      <c r="G58" s="194">
        <f>'التمام الصباحي'!Q34+'التمام الصباحي'!S34</f>
        <v>31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1"/>
    </customSheetView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2.6666666666666665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1.6666666666666667</v>
      </c>
    </row>
  </sheetData>
  <customSheetViews>
    <customSheetView guid="{8317B6D8-8A99-4EB0-9DBC-8E9AE0170A4B}" state="hidden">
      <selection activeCell="B6" sqref="B6"/>
      <pageMargins left="0.7" right="0.7" top="0.75" bottom="0.75" header="0.3" footer="0.3"/>
    </customSheetView>
    <customSheetView guid="{18C0F7AC-4BB1-46DE-8A01-8E31FE0585FC}" state="hidden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2019-09-23T07:26:23Z</cp:lastPrinted>
  <dcterms:created xsi:type="dcterms:W3CDTF">2018-10-24T15:18:02Z</dcterms:created>
  <dcterms:modified xsi:type="dcterms:W3CDTF">2019-09-23T21:22:36Z</dcterms:modified>
</cp:coreProperties>
</file>