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Septemper\"/>
    </mc:Choice>
  </mc:AlternateContent>
  <bookViews>
    <workbookView xWindow="0" yWindow="0" windowWidth="21600" windowHeight="9735" firstSheet="1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D35" i="1"/>
  <c r="H35" i="1" s="1"/>
  <c r="E35" i="1" l="1"/>
  <c r="G34" i="7"/>
  <c r="F34" i="7"/>
  <c r="C34" i="2" l="1"/>
  <c r="D34" i="2" s="1"/>
  <c r="F34" i="2"/>
  <c r="H34" i="2" s="1"/>
  <c r="G34" i="2"/>
  <c r="I34" i="2"/>
  <c r="J34" i="2" s="1"/>
  <c r="L34" i="2"/>
  <c r="N34" i="2" s="1"/>
  <c r="M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P34" i="2" s="1"/>
  <c r="Q33" i="4"/>
  <c r="Q34" i="4"/>
  <c r="Q35" i="4"/>
  <c r="P37" i="2" s="1"/>
  <c r="O34" i="2" l="1"/>
  <c r="Q34" i="2" s="1"/>
  <c r="E34" i="2"/>
  <c r="Q35" i="1"/>
  <c r="Q37" i="2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P12" i="2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G23" i="6" s="1"/>
  <c r="F10" i="5"/>
  <c r="G19" i="6" s="1"/>
  <c r="E10" i="5"/>
  <c r="F19" i="6" s="1"/>
  <c r="J13" i="6" l="1"/>
  <c r="I13" i="6"/>
  <c r="K13" i="6"/>
  <c r="G16" i="6"/>
  <c r="F16" i="6"/>
  <c r="J15" i="6"/>
  <c r="I15" i="6"/>
  <c r="K15" i="6"/>
  <c r="G18" i="5"/>
  <c r="H14" i="6"/>
  <c r="H16" i="6" s="1"/>
  <c r="H24" i="6" s="1"/>
  <c r="E16" i="6"/>
  <c r="E24" i="6" s="1"/>
  <c r="J14" i="6"/>
  <c r="K21" i="6"/>
  <c r="J21" i="6"/>
  <c r="I21" i="6"/>
  <c r="K22" i="6"/>
  <c r="I22" i="6"/>
  <c r="J22" i="6"/>
  <c r="J23" i="6" s="1"/>
  <c r="F23" i="6"/>
  <c r="G20" i="6"/>
  <c r="G24" i="6" s="1"/>
  <c r="J19" i="6"/>
  <c r="I19" i="6"/>
  <c r="K19" i="6"/>
  <c r="I17" i="6"/>
  <c r="K17" i="6"/>
  <c r="J17" i="6"/>
  <c r="K18" i="6"/>
  <c r="I18" i="6"/>
  <c r="F20" i="6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X39" i="1" l="1"/>
  <c r="R39" i="1"/>
  <c r="F39" i="1"/>
  <c r="J16" i="6"/>
  <c r="K14" i="6"/>
  <c r="K16" i="6" s="1"/>
  <c r="I14" i="6"/>
  <c r="I16" i="6" s="1"/>
  <c r="F24" i="6"/>
  <c r="K23" i="6"/>
  <c r="I23" i="6"/>
  <c r="I20" i="6"/>
  <c r="K20" i="6"/>
  <c r="J20" i="6"/>
  <c r="J24" i="6" s="1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K24" i="6"/>
  <c r="I24" i="6"/>
  <c r="H39" i="1"/>
  <c r="C41" i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W39" i="1"/>
  <c r="G45" i="8"/>
  <c r="N45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20" i="2" l="1"/>
  <c r="J20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20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0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<sst xmlns="http://schemas.openxmlformats.org/spreadsheetml/2006/main" count="1164" uniqueCount="246">
  <si>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</si>
  <si>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</si>
  <si>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</si>
  <si>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</si>
  <si>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</si>
  <si>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</si>
  <si>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</si>
  <si>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</si>
  <si>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</si>
  <si>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</si>
  <si>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</si>
  <si>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</si>
  <si>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</si>
  <si>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</si>
  <si>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</si>
  <si>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</si>
  <si>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</si>
  <si>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</si>
  <si>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</si>
  <si>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</si>
  <si>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</si>
  <si>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</si>
  <si>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</si>
  <si>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</si>
  <si>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</si>
  <si>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</si>
  <si>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</si>
  <si>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</si>
  <si>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</si>
  <si>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</si>
  <si>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</si>
  <si>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</si>
  <si>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</si>
  <si>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</si>
  <si>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</si>
  <si>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</si>
  <si>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</si>
  <si>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</si>
  <si>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</si>
  <si>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</si>
  <si>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</si>
  <si>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</si>
  <si>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</si>
  <si>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</si>
  <si>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</si>
  <si>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</si>
  <si>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</si>
  <si>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</si>
  <si>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</si>
  <si>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</si>
  <si>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</si>
  <si>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</si>
  <si>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</si>
  <si>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</si>
  <si>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</si>
  <si>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</si>
  <si>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</si>
  <si>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</si>
  <si>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</si>
  <si>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</si>
  <si>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</si>
  <si>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</si>
  <si>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</si>
  <si>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</si>
  <si>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</si>
  <si>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</si>
  <si>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</si>
  <si>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</si>
  <si>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</si>
  <si>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</si>
  <si>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</si>
  <si>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</si>
  <si>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</si>
  <si>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</si>
  <si>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</si>
  <si>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</si>
  <si>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</si>
  <si>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</si>
  <si>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</si>
  <si>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</si>
  <si>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</si>
  <si>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</si>
  <si>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</si>
  <si>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</si>
  <si>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</si>
  <si>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</si>
  <si>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</si>
  <si>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</si>
  <si>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</si>
  <si>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</si>
  <si>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</si>
  <si>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</si>
  <si>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</si>
  <si>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</si>
  <si>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</si>
  <si>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</si>
  <si>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</si>
  <si>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</si>
  <si>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</si>
  <si>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</si>
  <si>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</si>
  <si>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</si>
  <si>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</si>
  <si>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</si>
  <si>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</si>
  <si>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</si>
  <si>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</si>
  <si>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</si>
  <si>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</si>
  <si>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</si>
  <si>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</si>
  <si>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</si>
  <si>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</si>
  <si>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</si>
  <si>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</si>
  <si>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</si>
  <si>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</si>
  <si>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</si>
  <si>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</si>
  <si>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</si>
  <si>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</si>
  <si>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</si>
  <si>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</si>
  <si>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</si>
  <si>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</si>
  <si>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</si>
  <si>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</si>
  <si>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</si>
  <si>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</si>
  <si>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</si>
  <si>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</si>
  <si>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</si>
  <si>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</si>
  <si>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</si>
  <si>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</si>
  <si>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</si>
  <si>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</si>
  <si>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</si>
  <si>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</si>
  <si>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</si>
  <si>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</si>
  <si>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</si>
  <si>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</si>
  <si>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</si>
  <si>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</si>
  <si>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</si>
  <si>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</si>
  <si>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</si>
  <si>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</si>
  <si>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</si>
  <si>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</si>
  <si>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</si>
  <si>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</si>
  <si>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</si>
  <si>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</si>
  <si>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</si>
  <si>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</si>
  <si>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</si>
  <si>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</si>
  <si>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</si>
  <si>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</si>
  <si>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</si>
  <si>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</si>
  <si>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</si>
  <si>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</si>
  <si>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</si>
  <si>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</si>
  <si>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</si>
  <si>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</si>
  <si>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</si>
  <si>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</si>
  <si>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</si>
  <si>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</si>
  <si>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</si>
  <si>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</si>
  <si>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</si>
  <si>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</si>
  <si>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</si>
  <si>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</si>
  <si>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</si>
  <si>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</si>
  <si>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</si>
  <si>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</si>
  <si>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</si>
  <si>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</si>
  <si>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</si>
  <si>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</si>
  <si>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</si>
  <si>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</si>
  <si>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</si>
  <si>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</si>
  <si>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</si>
  <si>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</si>
  <si>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</si>
  <si>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</si>
  <si>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</si>
  <si>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</si>
  <si>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</si>
  <si>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</si>
  <si>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</si>
  <si>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</si>
  <si>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</si>
  <si>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</si>
  <si>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</si>
  <si>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</si>
  <si>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</si>
  <si>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</si>
  <si>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</si>
  <si>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</si>
  <si>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</si>
  <si>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</si>
  <si>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</si>
  <si>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</si>
  <si>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</si>
  <si>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</si>
  <si>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</si>
  <si>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</si>
  <si>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 xml:space="preserve">جندي / ابراهيم </t>
  </si>
  <si>
    <t xml:space="preserve">عقيد / احمد الجندي </t>
  </si>
  <si>
    <t xml:space="preserve">عقيد / احمد </t>
  </si>
  <si>
    <t xml:space="preserve">نقيب/ محمود </t>
  </si>
  <si>
    <t xml:space="preserve">نقيب صلاح </t>
  </si>
  <si>
    <t>عميد محمد سعد</t>
  </si>
  <si>
    <t xml:space="preserve">العقيد محمد </t>
  </si>
  <si>
    <t xml:space="preserve">النقيب احمد </t>
  </si>
  <si>
    <t xml:space="preserve">النقيب ايمن </t>
  </si>
  <si>
    <t xml:space="preserve">عميد خالد </t>
  </si>
  <si>
    <t>عقيد / طارق ثروت \</t>
  </si>
  <si>
    <t>نقيب / حفناوي</t>
  </si>
  <si>
    <t>التمام الصباحي الخميس الموافق  26 / 9 / 2019</t>
  </si>
  <si>
    <t xml:space="preserve">محاسب / محمد </t>
  </si>
  <si>
    <t xml:space="preserve">عميد / محمد الخطيب </t>
  </si>
  <si>
    <t xml:space="preserve">عميد /اشرف </t>
  </si>
  <si>
    <t xml:space="preserve">عميد / احمد </t>
  </si>
  <si>
    <t xml:space="preserve">ضابط / ابراهيم </t>
  </si>
  <si>
    <t xml:space="preserve">مصطفي المحاسب </t>
  </si>
  <si>
    <t xml:space="preserve">عميد سعد </t>
  </si>
  <si>
    <t>محاسب / ماركو</t>
  </si>
  <si>
    <t>رائد / محمد</t>
  </si>
  <si>
    <t xml:space="preserve">جندي صبحي </t>
  </si>
  <si>
    <t>عقيد / فتحي</t>
  </si>
  <si>
    <t xml:space="preserve">عقيد علاء </t>
  </si>
  <si>
    <t xml:space="preserve">جندي حاتم </t>
  </si>
  <si>
    <t xml:space="preserve">محاسب احمد </t>
  </si>
  <si>
    <t xml:space="preserve">معدل البيع اليومى لمحطات وقود شل اوت التي يديرها الوكلاء (المتحدة  - ماستر اكسبريس - اينوتك) 2019/9/25 </t>
  </si>
  <si>
    <t xml:space="preserve">عقيد / محمد فاروق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</si>
</sst>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  <sheetName val="Chart4"/>
    </sheetNames>
    <sheetDataSet>
      <sheetData sheetId="0" refreshError="1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 refreshError="1"/>
      <sheetData sheetId="3">
        <row r="2">
          <cell r="D2">
            <v>253</v>
          </cell>
        </row>
        <row r="3">
          <cell r="D3">
            <v>1634</v>
          </cell>
        </row>
        <row r="4">
          <cell r="D4">
            <v>448</v>
          </cell>
        </row>
        <row r="5">
          <cell r="D5">
            <v>52</v>
          </cell>
        </row>
        <row r="6">
          <cell r="D6">
            <v>0</v>
          </cell>
        </row>
        <row r="7">
          <cell r="D7">
            <v>81</v>
          </cell>
        </row>
        <row r="8">
          <cell r="D8">
            <v>32</v>
          </cell>
        </row>
        <row r="9">
          <cell r="D9">
            <v>79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 refreshError="1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 refreshError="1"/>
      <sheetData sheetId="7" refreshError="1"/>
      <sheetData sheetId="8">
        <row r="36">
          <cell r="Y36">
            <v>0</v>
          </cell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" Type="http://schemas.openxmlformats.org/officeDocument/2006/relationships/revisionLog" Target="revisionLog5.xml"/><Relationship Id="rId19" Type="http://schemas.openxmlformats.org/officeDocument/2006/relationships/revisionLog" Target="revisionLog19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48C58F2-F268-4C2B-91D4-E9BEFEFF0623}" diskRevisions="1" revisionId="829" version="57">
  <header guid="{5E0A1F6C-A317-495E-96A5-E853BFA6C44B}" dateTime="2019-09-23T07:45:39" maxSheetId="25" userName="pp" r:id="rId2" minRId="1" maxRId="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F79AF09-A171-429A-91F8-DDF03BB4A560}" dateTime="2019-09-23T07:52:11" maxSheetId="25" userName="pp" r:id="rId3" minRId="17" maxRId="2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FEB627B-B608-4F7A-B86F-698E78D960EA}" dateTime="2019-09-23T08:27:56" maxSheetId="25" userName="pp" r:id="rId4" minRId="23" maxRId="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333E512-EADF-443C-8B3E-4FBBBBEFB28B}" dateTime="2019-09-23T08:29:14" maxSheetId="25" userName="pp" r:id="rId5" minRId="38" maxRId="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4A70B9B-2330-40C5-834E-AE651C53D8BE}" dateTime="2019-09-23T08:31:20" maxSheetId="25" userName="pp" r:id="rId6" minRId="43" maxRId="4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E80B6CE-DE36-425A-8936-5CDCECA5A19B}" dateTime="2019-09-23T08:32:42" maxSheetId="25" userName="pp" r:id="rId7" minRId="49" maxRId="5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7FC95E1-0D37-46A7-9CF0-62AD833413AA}" dateTime="2019-09-23T08:36:22" maxSheetId="25" userName="pp" r:id="rId8" minRId="56" maxRId="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45CD6A2-49A3-4794-9C1F-2BAFFAA2EF8D}" dateTime="2019-09-23T08:41:04" maxSheetId="25" userName="pp" r:id="rId9" minRId="65" maxRId="7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3FF0B87-F74A-47F8-9A49-CBD50359A277}" dateTime="2019-09-23T08:43:00" maxSheetId="25" userName="pp" r:id="rId10" minRId="73" maxRId="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189D4C0-EBB6-44BE-BC95-BC56058B22A8}" dateTime="2019-09-23T08:44:31" maxSheetId="25" userName="pp" r:id="rId11" minRId="81" maxRId="8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DA4FD2A-C828-402D-805F-0243B76F040A}" dateTime="2019-09-23T08:46:30" maxSheetId="25" userName="pp" r:id="rId12" minRId="87" maxRId="9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3D6DF01-C661-424A-9B20-3BB76242F0F6}" dateTime="2019-09-23T08:54:40" maxSheetId="25" userName="pp" r:id="rId13" minRId="93" maxRId="10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823C45B-76D4-49BD-9D1C-5388A66AC87A}" dateTime="2019-09-23T09:01:10" maxSheetId="25" userName="pp" r:id="rId14" minRId="101" maxRId="1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A2C5854-C0AD-4C40-BE2B-ACEA61FD1223}" dateTime="2019-09-23T09:02:46" maxSheetId="25" userName="pp" r:id="rId15" minRId="110" maxRId="11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2148307-277C-4229-8FB8-AB201A59CFCF}" dateTime="2019-09-23T09:07:13" maxSheetId="25" userName="pp" r:id="rId16" minRId="118" maxRId="12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BCDDE6D-0CAC-4964-81E1-723421BE006B}" dateTime="2019-09-23T09:09:47" maxSheetId="25" userName="pp" r:id="rId17" minRId="127" maxRId="1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859C778-CA71-4F72-8720-CCFE7D69F5A1}" dateTime="2019-09-23T09:42:39" maxSheetId="25" userName="pp" r:id="rId18" minRId="136" maxRId="14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1487C79-22DD-4270-96AC-0B48F014E701}" dateTime="2019-09-23T09:44:44" maxSheetId="25" userName="pp" r:id="rId19" minRId="144" maxRId="1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605E4F9-DF91-4899-BDB0-3078AC29C8DF}" dateTime="2019-09-23T09:53:22" maxSheetId="25" userName="pp" r:id="rId20" minRId="153" maxRId="1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F0FE952-D219-4021-A515-91D505D0B6CC}" dateTime="2019-09-23T09:56:17" maxSheetId="25" userName="pp" r:id="rId21" minRId="165" maxRId="17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65881EE-E710-4EEF-A848-4B625F3591CD}" dateTime="2019-09-23T09:57:21" maxSheetId="25" userName="pp" r:id="rId22" minRId="171" maxRId="17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0D4BF40-531E-49A2-8853-AEB6196E674E}" dateTime="2019-09-23T09:57:52" maxSheetId="25" userName="pp" r:id="rId23" minRId="1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6FF967D-E6B7-4449-B4B3-5DF60C9DBB29}" dateTime="2019-09-23T10:00:36" maxSheetId="25" userName="pp" r:id="rId24" minRId="178" maxRId="18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0695067-C05D-4C10-85DD-CE47C19BA1F4}" dateTime="2019-09-23T10:03:41" maxSheetId="25" userName="pp" r:id="rId25" minRId="188" maxRId="19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06D0176-E207-46B1-9699-8DD6D1804D43}" dateTime="2019-09-23T10:06:28" maxSheetId="25" userName="pp" r:id="rId26" minRId="196" maxRId="20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CDF4AC0-6469-4575-890D-E09CA03C0098}" dateTime="2019-09-23T10:13:42" maxSheetId="25" userName="pp" r:id="rId27" minRId="202" maxRId="20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C250E42-0586-4833-91F9-0B2576D394BE}" dateTime="2019-09-23T10:13:53" maxSheetId="25" userName="pp" r:id="rId28" minRId="2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20F7505-0816-400D-8DAC-DE9C6D143A25}" dateTime="2019-09-23T10:34:59" maxSheetId="25" userName="pp" r:id="rId29" minRId="21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DA60877-6B88-42C7-B594-AA287A8DF6DC}" dateTime="2019-09-23T10:37:16" maxSheetId="25" userName="pp" r:id="rId30" minRId="211" maxRId="21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94D4A76-05CF-49EC-A792-136A6A8D88A3}" dateTime="2019-09-23T11:16:31" maxSheetId="25" userName="pp" r:id="rId31" minRId="227" maxRId="42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1B74DD6-2BED-4A54-8A7A-CBAFDF3EC776}" dateTime="2019-09-26T08:03:16" maxSheetId="25" userName="pp" r:id="rId32" minRId="435" maxRId="46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65E275B-E7A8-4092-AE82-28695BE62ED3}" dateTime="2019-09-26T08:06:56" maxSheetId="25" userName="pp" r:id="rId33" minRId="468" maxRId="47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F0342E2-AC74-4A2D-AAC0-9F3E43C5D3D7}" dateTime="2019-09-26T08:08:11" maxSheetId="25" userName="pp" r:id="rId34" minRId="484" maxRId="49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6E4396D-5483-4FA1-8D9D-EF60224E7C31}" dateTime="2019-09-26T08:22:46" maxSheetId="25" userName="pp" r:id="rId35" minRId="493" maxRId="49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FD30AD8-E271-4F54-A8F5-B9A9980A8059}" dateTime="2019-09-26T08:24:10" maxSheetId="25" userName="pp" r:id="rId36" minRId="499" maxRId="50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076EFDB-F213-41E4-8597-3502FEFFB705}" dateTime="2019-09-26T08:24:19" maxSheetId="25" userName="pp" r:id="rId37" minRId="5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092EE73-357D-4173-A5E8-B5647BFFAA98}" dateTime="2019-09-26T08:27:21" maxSheetId="25" userName="pp" r:id="rId38" minRId="510" maxRId="51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880ED51-4192-4EEB-B751-993CA774773C}" dateTime="2019-09-26T08:41:01" maxSheetId="25" userName="pp" r:id="rId39" minRId="516" maxRId="52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C53BBEF-B3F8-432B-A4D3-F3006E87E448}" dateTime="2019-09-26T08:52:48" maxSheetId="25" userName="pp" r:id="rId40" minRId="525" maxRId="53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5D808FC-88CE-4CE9-A55F-E84B5E47BD71}" dateTime="2019-09-26T09:39:24" maxSheetId="25" userName="pp" r:id="rId41" minRId="539" maxRId="58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6C9E601-545E-4A76-9129-96AC248C0EE7}" dateTime="2019-09-26T09:42:24" maxSheetId="25" userName="pp" r:id="rId42" minRId="586" maxRId="59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09921C6-5324-464B-8A9E-C0995A30CE88}" dateTime="2019-09-26T10:31:39" maxSheetId="25" userName="pp" r:id="rId43" minRId="594" maxRId="61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69C3285-19F8-4E78-B386-94534D7458A3}" dateTime="2019-09-26T10:54:01" maxSheetId="25" userName="pp" r:id="rId44" minRId="615" maxRId="62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C5F48C8-0621-464A-80DA-241F7F5FE35D}" dateTime="2019-09-26T10:59:52" maxSheetId="25" userName="pp" r:id="rId45" minRId="630" maxRId="63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386959B-C382-4CB9-AD13-40E5A257A57E}" dateTime="2019-09-26T11:00:37" maxSheetId="25" userName="pp" r:id="rId46" minRId="6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785D606-2A90-4EB2-8771-BD9C5A650B6E}" dateTime="2019-09-26T11:01:04" maxSheetId="25" userName="pp" r:id="rId47" minRId="63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4D7A657-86FE-43AF-A49A-093380EAF630}" dateTime="2019-09-26T11:14:31" maxSheetId="25" userName="pp" r:id="rId48" minRId="63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9C7E814-8F51-4B4E-9F06-CFA64CEB7565}" dateTime="2019-09-26T16:05:48" maxSheetId="25" userName="pp" r:id="rId49" minRId="640" maxRId="64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6081C8B-B696-4DD7-A617-7E0E97BC7AD1}" dateTime="2019-09-26T23:33:48" maxSheetId="25" userName="pp" r:id="rId50" minRId="649" maxRId="71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649E2E4-6DEF-4D71-94FF-53C5F13D89B6}" dateTime="2019-09-26T23:34:19" maxSheetId="25" userName="pp" r:id="rId51" minRId="713" maxRId="71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F9F2369-6138-417F-869D-7D11832C14FA}" dateTime="2019-09-26T23:48:10" maxSheetId="25" userName="pp" r:id="rId52" minRId="719" maxRId="76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5310A25-E5D4-4BE0-BA44-2AAD61A71D63}" dateTime="2019-09-26T23:48:40" maxSheetId="25" userName="pp" r:id="rId53" minRId="762" maxRId="76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B45BB9C-2C65-41F4-90B3-08BEFF20A9A1}" dateTime="2019-09-27T02:36:35" maxSheetId="25" userName="pp" r:id="rId54" minRId="764" maxRId="80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EFB5CE8-A654-4021-8D9E-25066794B94E}" dateTime="2019-09-28T10:20:59" maxSheetId="25" userName="pp" r:id="rId55" minRId="805" maxRId="80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1FF8A3E-C41A-4677-BCE9-55E0733CFD2F}" dateTime="2019-09-29T08:21:07" maxSheetId="25" userName="pp" r:id="rId5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48C58F2-F268-4C2B-91D4-E9BEFEFF0623}" dateTime="2019-10-05T18:39:28" maxSheetId="25" userName="pp" r:id="rId5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4">
    <nc r="H17">
      <v>2427</v>
    </nc>
  </rcc>
  <rcc rId="74" sId="4">
    <nc r="K17">
      <v>795</v>
    </nc>
  </rcc>
  <rcc rId="75" sId="4">
    <nc r="N17">
      <v>7001</v>
    </nc>
  </rcc>
  <rcc rId="76" sId="4" numFmtId="4">
    <nc r="O17">
      <v>1152</v>
    </nc>
  </rcc>
  <rcc rId="77" sId="4">
    <nc r="F17">
      <v>72</v>
    </nc>
  </rcc>
  <rcc rId="78" sId="4">
    <nc r="I17">
      <v>19</v>
    </nc>
  </rcc>
  <rcc rId="79" sId="4">
    <nc r="L17">
      <v>143</v>
    </nc>
  </rcc>
  <rcc rId="80" sId="4">
    <nc r="R17" t="inlineStr">
      <is>
        <t xml:space="preserve">العميد خالد 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4">
    <nc r="R27" t="inlineStr">
      <is>
        <t xml:space="preserve">النقيب حفناوي </t>
      </is>
    </nc>
  </rcc>
  <rcc rId="82" sId="4">
    <nc r="H27">
      <v>9664</v>
    </nc>
  </rcc>
  <rcc rId="83" sId="4">
    <nc r="K27">
      <v>1491</v>
    </nc>
  </rcc>
  <rcc rId="84" sId="4" numFmtId="4">
    <nc r="O27">
      <v>910</v>
    </nc>
  </rcc>
  <rcc rId="85" sId="4">
    <nc r="F27">
      <v>116</v>
    </nc>
  </rcc>
  <rcc rId="86" sId="4">
    <nc r="I27">
      <v>27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4">
    <nc r="H28">
      <v>31846</v>
    </nc>
  </rcc>
  <rcc rId="88" sId="4">
    <nc r="K28">
      <v>10243</v>
    </nc>
  </rcc>
  <rcc rId="89" sId="4" numFmtId="4">
    <nc r="O28">
      <v>1400</v>
    </nc>
  </rcc>
  <rcc rId="90" sId="4">
    <nc r="F28">
      <v>160</v>
    </nc>
  </rcc>
  <rcc rId="91" sId="4">
    <nc r="I28">
      <v>81</v>
    </nc>
  </rcc>
  <rcc rId="92" sId="4">
    <nc r="R28" t="inlineStr">
      <is>
        <t xml:space="preserve">النقيب ايمن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" sId="4">
    <nc r="H10">
      <v>22231</v>
    </nc>
  </rcc>
  <rcc rId="94" sId="4">
    <nc r="E10">
      <v>3262</v>
    </nc>
  </rcc>
  <rcc rId="95" sId="4">
    <nc r="N10">
      <v>7033</v>
    </nc>
  </rcc>
  <rcc rId="96" sId="4" numFmtId="4">
    <nc r="O10">
      <v>760</v>
    </nc>
  </rcc>
  <rcc rId="97" sId="4">
    <nc r="F10">
      <v>74</v>
    </nc>
  </rcc>
  <rcc rId="98" sId="4">
    <nc r="C10">
      <v>13</v>
    </nc>
  </rcc>
  <rcc rId="99" sId="4">
    <nc r="L10">
      <v>175</v>
    </nc>
  </rcc>
  <rcc rId="100" sId="4">
    <nc r="R10" t="inlineStr">
      <is>
        <t xml:space="preserve">الرائد وليد 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" sId="4">
    <nc r="K25">
      <v>996</v>
    </nc>
  </rcc>
  <rcc rId="102" sId="4">
    <nc r="H25">
      <v>6701</v>
    </nc>
  </rcc>
  <rcc rId="103" sId="4">
    <nc r="N25">
      <v>26965</v>
    </nc>
  </rcc>
  <rcc rId="104" sId="4" numFmtId="4">
    <nc r="O25">
      <v>605</v>
    </nc>
  </rcc>
  <rcc rId="105" sId="4">
    <nc r="P25">
      <v>2015</v>
    </nc>
  </rcc>
  <rcc rId="106" sId="4">
    <nc r="I25">
      <v>21</v>
    </nc>
  </rcc>
  <rcc rId="107" sId="4">
    <nc r="F25">
      <v>73</v>
    </nc>
  </rcc>
  <rcc rId="108" sId="4">
    <nc r="L25">
      <v>120</v>
    </nc>
  </rcc>
  <rcc rId="109" sId="4">
    <nc r="R25" t="inlineStr">
      <is>
        <t xml:space="preserve">عميد محمد 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4">
    <nc r="H14">
      <v>6664</v>
    </nc>
  </rcc>
  <rcc rId="111" sId="4">
    <nc r="F14">
      <v>83</v>
    </nc>
  </rcc>
  <rcc rId="112" sId="4">
    <nc r="K14">
      <v>4588</v>
    </nc>
  </rcc>
  <rcc rId="113" sId="4">
    <nc r="I14">
      <v>24</v>
    </nc>
  </rcc>
  <rcc rId="114" sId="4">
    <nc r="N14">
      <v>66542</v>
    </nc>
  </rcc>
  <rcc rId="115" sId="4">
    <nc r="L14">
      <v>120</v>
    </nc>
  </rcc>
  <rcc rId="116" sId="4" numFmtId="4">
    <nc r="O14">
      <v>7832</v>
    </nc>
  </rcc>
  <rcc rId="117" sId="4">
    <nc r="R14" t="inlineStr">
      <is>
        <t xml:space="preserve">جندي حاتم 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" sId="4">
    <nc r="K23">
      <v>2411</v>
    </nc>
  </rcc>
  <rcc rId="119" sId="4">
    <nc r="H23">
      <v>13382</v>
    </nc>
  </rcc>
  <rcc rId="120" sId="4">
    <nc r="N23">
      <v>48535</v>
    </nc>
  </rcc>
  <rcc rId="121" sId="4" numFmtId="4">
    <nc r="O23">
      <v>1200</v>
    </nc>
  </rcc>
  <rcc rId="122" sId="4">
    <nc r="P23">
      <v>3460</v>
    </nc>
  </rcc>
  <rcc rId="123" sId="4">
    <nc r="I23">
      <v>20</v>
    </nc>
  </rcc>
  <rcc rId="124" sId="4">
    <nc r="F23">
      <v>72</v>
    </nc>
  </rcc>
  <rcc rId="125" sId="4">
    <nc r="L23">
      <v>146</v>
    </nc>
  </rcc>
  <rcc rId="126" sId="4">
    <nc r="R23" t="inlineStr">
      <is>
        <t xml:space="preserve">عميد خالد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4">
    <nc r="K24">
      <v>1669</v>
    </nc>
  </rcc>
  <rcc rId="128" sId="4">
    <nc r="H24">
      <v>10428</v>
    </nc>
  </rcc>
  <rcc rId="129" sId="4">
    <nc r="N24">
      <v>24409</v>
    </nc>
  </rcc>
  <rcc rId="130" sId="4">
    <nc r="I24">
      <v>16</v>
    </nc>
  </rcc>
  <rcc rId="131" sId="4">
    <nc r="F24">
      <v>77</v>
    </nc>
  </rcc>
  <rcc rId="132" sId="4">
    <nc r="L24">
      <v>155</v>
    </nc>
  </rcc>
  <rcc rId="133" sId="4" numFmtId="4">
    <nc r="O24">
      <v>925</v>
    </nc>
  </rcc>
  <rcc rId="134" sId="4">
    <nc r="P24">
      <v>1640</v>
    </nc>
  </rcc>
  <rcc rId="135" sId="4">
    <nc r="R24" t="inlineStr">
      <is>
        <t xml:space="preserve">جندي عبدالله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4">
    <nc r="H15">
      <v>7654</v>
    </nc>
  </rcc>
  <rcc rId="137" sId="4">
    <nc r="F15">
      <v>80</v>
    </nc>
  </rcc>
  <rcc rId="138" sId="4">
    <nc r="K15">
      <v>2076</v>
    </nc>
  </rcc>
  <rcc rId="139" sId="4">
    <nc r="I15">
      <v>14</v>
    </nc>
  </rcc>
  <rcc rId="140" sId="4">
    <nc r="N15">
      <v>3078</v>
    </nc>
  </rcc>
  <rcc rId="141" sId="4">
    <nc r="L15">
      <v>46</v>
    </nc>
  </rcc>
  <rcc rId="142" sId="4" numFmtId="4">
    <nc r="O15">
      <v>835</v>
    </nc>
  </rcc>
  <rcc rId="143" sId="4">
    <nc r="R15" t="inlineStr">
      <is>
        <t>جندي ابراهيم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4">
    <nc r="N8">
      <v>4181</v>
    </nc>
  </rcc>
  <rcc rId="145" sId="4">
    <nc r="E8">
      <v>2805</v>
    </nc>
  </rcc>
  <rcc rId="146" sId="4">
    <nc r="H8">
      <v>19819</v>
    </nc>
  </rcc>
  <rcc rId="147" sId="4">
    <nc r="K8">
      <v>6005</v>
    </nc>
  </rcc>
  <rcc rId="148" sId="4">
    <nc r="I8">
      <v>24</v>
    </nc>
  </rcc>
  <rcc rId="149" sId="4">
    <nc r="F8">
      <v>50</v>
    </nc>
  </rcc>
  <rcc rId="150" sId="4">
    <nc r="C8">
      <v>25</v>
    </nc>
  </rcc>
  <rcc rId="151" sId="4">
    <nc r="L8">
      <v>178</v>
    </nc>
  </rcc>
  <rcc rId="152" sId="4">
    <nc r="R8" t="inlineStr">
      <is>
        <t xml:space="preserve">النقيب احمد 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H18">
      <v>9546</v>
    </nc>
  </rcc>
  <rcc rId="2" sId="4">
    <nc r="N18">
      <v>23846</v>
    </nc>
  </rcc>
  <rcc rId="3" sId="4" numFmtId="4">
    <nc r="O18">
      <v>820</v>
    </nc>
  </rcc>
  <rcc rId="4" sId="4">
    <nc r="P18">
      <v>1630</v>
    </nc>
  </rcc>
  <rcc rId="5" sId="4">
    <nc r="I18">
      <v>24</v>
    </nc>
  </rcc>
  <rcc rId="6" sId="4">
    <nc r="F18">
      <v>80</v>
    </nc>
  </rcc>
  <rcc rId="7" sId="4">
    <nc r="L18">
      <v>144</v>
    </nc>
  </rcc>
  <rcc rId="8" sId="4">
    <nc r="R18" t="inlineStr">
      <is>
        <t>عميد محمد</t>
      </is>
    </nc>
  </rcc>
  <rcc rId="9" sId="4">
    <nc r="K18">
      <v>1886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4">
    <nc r="H29">
      <v>35318</v>
    </nc>
  </rcc>
  <rcc rId="154" sId="4">
    <nc r="K29">
      <v>10002</v>
    </nc>
  </rcc>
  <rcc rId="155" sId="4">
    <nc r="F29">
      <v>160</v>
    </nc>
  </rcc>
  <rcc rId="156" sId="4">
    <nc r="I29">
      <v>82</v>
    </nc>
  </rcc>
  <rcc rId="157" sId="4" numFmtId="4">
    <nc r="O29">
      <v>3750</v>
    </nc>
  </rcc>
  <rcc rId="158" sId="4">
    <nc r="R29" t="inlineStr">
      <is>
        <t xml:space="preserve">استاذة مي </t>
      </is>
    </nc>
  </rcc>
  <rcc rId="159" sId="4">
    <nc r="H9">
      <v>30541</v>
    </nc>
  </rcc>
  <rcc rId="160" sId="4">
    <nc r="K9">
      <v>8911</v>
    </nc>
  </rcc>
  <rcc rId="161" sId="4" numFmtId="4">
    <nc r="O9">
      <v>2690</v>
    </nc>
  </rcc>
  <rcc rId="162" sId="4">
    <nc r="F9">
      <v>75</v>
    </nc>
  </rcc>
  <rcc rId="163" sId="4">
    <nc r="I9">
      <v>25</v>
    </nc>
  </rcc>
  <rcc rId="164" sId="4">
    <nc r="R9" t="inlineStr">
      <is>
        <t xml:space="preserve">العقيد محمد 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4">
    <nc r="H21">
      <v>1373</v>
    </nc>
  </rcc>
  <rcc rId="166" sId="4">
    <nc r="N21">
      <v>4177</v>
    </nc>
  </rcc>
  <rcc rId="167" sId="4" numFmtId="4">
    <nc r="O21">
      <v>370</v>
    </nc>
  </rcc>
  <rcc rId="168" sId="4">
    <nc r="F21">
      <v>44</v>
    </nc>
  </rcc>
  <rcc rId="169" sId="4">
    <nc r="L21">
      <v>116</v>
    </nc>
  </rcc>
  <rcc rId="170" sId="4">
    <nc r="R21" t="inlineStr">
      <is>
        <t xml:space="preserve">عقيد علاء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4">
    <nc r="H31">
      <v>58842</v>
    </nc>
  </rcc>
  <rcc rId="172" sId="4">
    <nc r="K31">
      <v>13645</v>
    </nc>
  </rcc>
  <rcc rId="173" sId="4" numFmtId="4">
    <nc r="O31">
      <v>5900</v>
    </nc>
  </rcc>
  <rcc rId="174" sId="4">
    <nc r="F31">
      <v>126</v>
    </nc>
  </rcc>
  <rcc rId="175" sId="4">
    <nc r="I31">
      <v>70</v>
    </nc>
  </rcc>
  <rcc rId="176" sId="4">
    <nc r="R31" t="inlineStr">
      <is>
        <t xml:space="preserve">محاسب ماركو 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4" numFmtId="4">
    <nc r="O8">
      <v>2650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" sId="4">
    <nc r="E26">
      <v>3842</v>
    </nc>
  </rcc>
  <rcc rId="179" sId="4">
    <nc r="H26">
      <v>8703</v>
    </nc>
  </rcc>
  <rcc rId="180" sId="4">
    <nc r="K26">
      <v>1783</v>
    </nc>
  </rcc>
  <rcc rId="181" sId="4">
    <nc r="N26">
      <v>16546</v>
    </nc>
  </rcc>
  <rcc rId="182" sId="4" numFmtId="4">
    <nc r="O26">
      <v>1150</v>
    </nc>
  </rcc>
  <rcc rId="183" sId="4">
    <nc r="I26">
      <v>30</v>
    </nc>
  </rcc>
  <rcc rId="184" sId="4">
    <nc r="F26">
      <v>28</v>
    </nc>
  </rcc>
  <rcc rId="185" sId="4">
    <nc r="C26">
      <v>74</v>
    </nc>
  </rcc>
  <rcc rId="186" sId="4">
    <nc r="L26">
      <v>170</v>
    </nc>
  </rcc>
  <rcc rId="187" sId="4">
    <nc r="R26" t="inlineStr">
      <is>
        <t xml:space="preserve">محاسب اسلام 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" sId="4">
    <nc r="E7">
      <v>38933</v>
    </nc>
  </rcc>
  <rcc rId="189" sId="4">
    <nc r="H7">
      <v>20553</v>
    </nc>
  </rcc>
  <rcc rId="190" sId="4">
    <nc r="K7">
      <v>3554</v>
    </nc>
  </rcc>
  <rcc rId="191" sId="4" numFmtId="4">
    <nc r="O7">
      <v>3490</v>
    </nc>
  </rcc>
  <rcc rId="192" sId="4">
    <nc r="C7">
      <v>52</v>
    </nc>
  </rcc>
  <rcc rId="193" sId="4">
    <nc r="F7">
      <v>18</v>
    </nc>
  </rcc>
  <rcc rId="194" sId="4">
    <nc r="I7">
      <v>27</v>
    </nc>
  </rcc>
  <rcc rId="195" sId="4">
    <nc r="R7" t="inlineStr">
      <is>
        <t xml:space="preserve">اكرم محاسب 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4">
    <nc r="H12">
      <v>36176</v>
    </nc>
  </rcc>
  <rcc rId="197" sId="4">
    <nc r="K12">
      <v>10185</v>
    </nc>
  </rcc>
  <rcc rId="198" sId="4" numFmtId="4">
    <nc r="O12">
      <v>2900</v>
    </nc>
  </rcc>
  <rcc rId="199" sId="4">
    <nc r="F12">
      <v>160</v>
    </nc>
  </rcc>
  <rcc rId="200" sId="4">
    <nc r="I12">
      <v>55</v>
    </nc>
  </rcc>
  <rcc rId="201" sId="4">
    <nc r="R12" t="inlineStr">
      <is>
        <t xml:space="preserve">الظابط سامح 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4">
    <nc r="H6">
      <v>30648</v>
    </nc>
  </rcc>
  <rcc rId="203" sId="4">
    <nc r="K6">
      <v>10159</v>
    </nc>
  </rcc>
  <rcc rId="204" sId="4" numFmtId="4">
    <nc r="O6">
      <v>2620</v>
    </nc>
  </rcc>
  <rcc rId="205" sId="4">
    <nc r="S6">
      <v>3613</v>
    </nc>
  </rcc>
  <rcc rId="206" sId="4">
    <nc r="F6">
      <v>38</v>
    </nc>
  </rcc>
  <rcc rId="207" sId="4">
    <nc r="I6">
      <v>7</v>
    </nc>
  </rcc>
  <rcc rId="208" sId="4">
    <nc r="R6" t="inlineStr">
      <is>
        <t xml:space="preserve">محاسب مصطفي محاسب 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4">
    <oc r="R6" t="inlineStr">
      <is>
        <t xml:space="preserve">محاسب مصطفي محاسب </t>
      </is>
    </oc>
    <nc r="R6" t="inlineStr">
      <is>
        <t xml:space="preserve">محاسب مصطفي 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6">
    <oc r="B6" t="inlineStr">
      <is>
        <t xml:space="preserve">معدل البيع اليومى لمحطات وقود شل اوت التي يديرها الوكلاء (المتحدة  - ماستر اكسبريس - اينوتك) 2019/9/7 </t>
      </is>
    </oc>
    <nc r="B6" t="inlineStr">
      <is>
        <t xml:space="preserve">معدل البيع اليومى لمحطات وقود شل اوت التي يديرها الوكلاء (المتحدة  - ماستر اكسبريس - اينوتك) 2019/9/22 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4">
    <nc r="K19">
      <v>1558</v>
    </nc>
  </rcc>
  <rcc rId="18" sId="4">
    <nc r="H19">
      <v>7082</v>
    </nc>
  </rcc>
  <rcc rId="19" sId="4" numFmtId="4">
    <nc r="O19">
      <v>680</v>
    </nc>
  </rcc>
  <rcc rId="20" sId="4">
    <nc r="I19">
      <v>25</v>
    </nc>
  </rcc>
  <rcc rId="21" sId="4">
    <nc r="F19">
      <v>64</v>
    </nc>
  </rcc>
  <rcc rId="22" sId="4">
    <nc r="R19" t="inlineStr">
      <is>
        <t xml:space="preserve">عقيد ايمن 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32" start="0" length="0">
    <dxf>
      <fill>
        <patternFill patternType="none">
          <bgColor indexed="65"/>
        </patternFill>
      </fill>
      <border outline="0">
        <left style="thick">
          <color auto="1"/>
        </left>
      </border>
    </dxf>
  </rfmt>
  <rfmt sheetId="4" sqref="D32" start="0" length="0">
    <dxf>
      <fill>
        <patternFill patternType="none">
          <bgColor indexed="65"/>
        </patternFill>
      </fill>
    </dxf>
  </rfmt>
  <rfmt sheetId="4" sqref="E32" start="0" length="0">
    <dxf>
      <fill>
        <patternFill patternType="none">
          <bgColor indexed="65"/>
        </patternFill>
      </fill>
    </dxf>
  </rfmt>
  <rfmt sheetId="1" sqref="C35" start="0" length="0">
    <dxf>
      <fill>
        <patternFill>
          <bgColor theme="0" tint="-0.14999847407452621"/>
        </patternFill>
      </fill>
    </dxf>
  </rfmt>
  <rfmt sheetId="1" sqref="D35" start="0" length="0">
    <dxf>
      <fill>
        <patternFill patternType="none">
          <bgColor indexed="65"/>
        </patternFill>
      </fill>
    </dxf>
  </rfmt>
  <rfmt sheetId="1" sqref="E35" start="0" length="0">
    <dxf>
      <fill>
        <patternFill patternType="none">
          <bgColor indexed="65"/>
        </patternFill>
      </fill>
    </dxf>
  </rfmt>
  <rfmt sheetId="1" sqref="F35" start="0" length="0">
    <dxf>
      <fill>
        <patternFill patternType="none">
          <bgColor indexed="65"/>
        </patternFill>
      </fill>
    </dxf>
  </rfmt>
  <rfmt sheetId="1" sqref="G35" start="0" length="0">
    <dxf>
      <fill>
        <patternFill patternType="none">
          <bgColor indexed="65"/>
        </patternFill>
      </fill>
    </dxf>
  </rfmt>
  <rfmt sheetId="1" sqref="H35" start="0" length="0">
    <dxf>
      <fill>
        <patternFill patternType="none">
          <bgColor indexed="65"/>
        </patternFill>
      </fill>
    </dxf>
  </rfmt>
  <rcc rId="211" sId="1">
    <nc r="C35">
      <v>90</v>
    </nc>
  </rcc>
  <rfmt sheetId="1" sqref="D30" start="0" length="0">
    <dxf>
      <fill>
        <patternFill patternType="none">
          <bgColor indexed="65"/>
        </patternFill>
      </fill>
    </dxf>
  </rfmt>
  <rfmt sheetId="1" sqref="D31" start="0" length="0">
    <dxf>
      <fill>
        <patternFill patternType="none">
          <bgColor indexed="65"/>
        </patternFill>
      </fill>
    </dxf>
  </rfmt>
  <rfmt sheetId="1" sqref="D32" start="0" length="0">
    <dxf>
      <fill>
        <patternFill patternType="none">
          <bgColor indexed="65"/>
        </patternFill>
      </fill>
    </dxf>
  </rfmt>
  <rfmt sheetId="1" sqref="D33" start="0" length="0">
    <dxf>
      <fill>
        <patternFill patternType="none">
          <bgColor indexed="65"/>
        </patternFill>
      </fill>
    </dxf>
  </rfmt>
  <rfmt sheetId="1" sqref="D34" start="0" length="0">
    <dxf>
      <fill>
        <patternFill patternType="none">
          <bgColor indexed="65"/>
        </patternFill>
      </fill>
    </dxf>
  </rfmt>
  <rcc rId="212" sId="1">
    <nc r="D35">
      <f>'أخذ التمام الصباحي'!C32</f>
    </nc>
  </rcc>
  <rfmt sheetId="1" sqref="E30" start="0" length="0">
    <dxf>
      <fill>
        <patternFill patternType="none">
          <bgColor indexed="65"/>
        </patternFill>
      </fill>
    </dxf>
  </rfmt>
  <rfmt sheetId="1" sqref="E31" start="0" length="0">
    <dxf>
      <fill>
        <patternFill patternType="none">
          <bgColor indexed="65"/>
        </patternFill>
      </fill>
    </dxf>
  </rfmt>
  <rfmt sheetId="1" sqref="E32" start="0" length="0">
    <dxf>
      <fill>
        <patternFill patternType="none">
          <bgColor indexed="65"/>
        </patternFill>
      </fill>
    </dxf>
  </rfmt>
  <rfmt sheetId="1" sqref="E33" start="0" length="0">
    <dxf>
      <fill>
        <patternFill patternType="none">
          <bgColor indexed="65"/>
        </patternFill>
      </fill>
    </dxf>
  </rfmt>
  <rfmt sheetId="1" sqref="E34" start="0" length="0">
    <dxf>
      <fill>
        <patternFill patternType="none">
          <bgColor indexed="65"/>
        </patternFill>
      </fill>
    </dxf>
  </rfmt>
  <rcc rId="213" sId="1">
    <nc r="E35">
      <f>C35-D35</f>
    </nc>
  </rcc>
  <rfmt sheetId="1" sqref="F30" start="0" length="0">
    <dxf>
      <fill>
        <patternFill patternType="none">
          <bgColor indexed="65"/>
        </patternFill>
      </fill>
    </dxf>
  </rfmt>
  <rfmt sheetId="1" sqref="F31" start="0" length="0">
    <dxf>
      <fill>
        <patternFill patternType="none">
          <bgColor indexed="65"/>
        </patternFill>
      </fill>
    </dxf>
  </rfmt>
  <rfmt sheetId="1" sqref="F32" start="0" length="0">
    <dxf>
      <fill>
        <patternFill patternType="none">
          <bgColor indexed="65"/>
        </patternFill>
      </fill>
    </dxf>
  </rfmt>
  <rfmt sheetId="1" sqref="F33" start="0" length="0">
    <dxf>
      <fill>
        <patternFill patternType="none">
          <bgColor indexed="65"/>
        </patternFill>
      </fill>
    </dxf>
  </rfmt>
  <rfmt sheetId="1" sqref="F34" start="0" length="0">
    <dxf>
      <fill>
        <patternFill patternType="none">
          <bgColor indexed="65"/>
        </patternFill>
      </fill>
    </dxf>
  </rfmt>
  <rcc rId="214" sId="1">
    <nc r="F35">
      <f>'أخذ التمام الصباحي'!D32</f>
    </nc>
  </rcc>
  <rfmt sheetId="1" sqref="G30" start="0" length="0">
    <dxf>
      <fill>
        <patternFill patternType="none">
          <bgColor indexed="65"/>
        </patternFill>
      </fill>
    </dxf>
  </rfmt>
  <rfmt sheetId="1" sqref="G31" start="0" length="0">
    <dxf>
      <fill>
        <patternFill patternType="none">
          <bgColor indexed="65"/>
        </patternFill>
      </fill>
    </dxf>
  </rfmt>
  <rfmt sheetId="1" sqref="G32" start="0" length="0">
    <dxf>
      <fill>
        <patternFill patternType="none">
          <bgColor indexed="65"/>
        </patternFill>
      </fill>
    </dxf>
  </rfmt>
  <rfmt sheetId="1" sqref="G33" start="0" length="0">
    <dxf>
      <fill>
        <patternFill patternType="none">
          <bgColor indexed="65"/>
        </patternFill>
      </fill>
    </dxf>
  </rfmt>
  <rfmt sheetId="1" sqref="G34" start="0" length="0">
    <dxf>
      <fill>
        <patternFill patternType="none">
          <bgColor indexed="65"/>
        </patternFill>
      </fill>
    </dxf>
  </rfmt>
  <rfmt sheetId="1" sqref="H30" start="0" length="0">
    <dxf>
      <fill>
        <patternFill patternType="none">
          <bgColor indexed="65"/>
        </patternFill>
      </fill>
    </dxf>
  </rfmt>
  <rfmt sheetId="1" sqref="H31" start="0" length="0">
    <dxf>
      <fill>
        <patternFill patternType="none">
          <bgColor indexed="65"/>
        </patternFill>
      </fill>
    </dxf>
  </rfmt>
  <rfmt sheetId="1" sqref="H32" start="0" length="0">
    <dxf>
      <fill>
        <patternFill patternType="none">
          <bgColor indexed="65"/>
        </patternFill>
      </fill>
    </dxf>
  </rfmt>
  <rfmt sheetId="1" sqref="H33" start="0" length="0">
    <dxf>
      <fill>
        <patternFill patternType="none">
          <bgColor indexed="65"/>
        </patternFill>
      </fill>
    </dxf>
  </rfmt>
  <rfmt sheetId="1" sqref="H34" start="0" length="0">
    <dxf>
      <fill>
        <patternFill patternType="none">
          <bgColor indexed="65"/>
        </patternFill>
      </fill>
    </dxf>
  </rfmt>
  <rcc rId="215" sId="1">
    <nc r="H35">
      <f>D35/G35</f>
    </nc>
  </rcc>
  <rfmt sheetId="1" sqref="D30" start="0" length="0">
    <dxf>
      <fill>
        <patternFill patternType="solid">
          <bgColor theme="8" tint="0.59999389629810485"/>
        </patternFill>
      </fill>
    </dxf>
  </rfmt>
  <rfmt sheetId="1" sqref="E30" start="0" length="0">
    <dxf>
      <fill>
        <patternFill patternType="solid">
          <bgColor theme="8" tint="0.59999389629810485"/>
        </patternFill>
      </fill>
    </dxf>
  </rfmt>
  <rfmt sheetId="1" sqref="F30" start="0" length="0">
    <dxf>
      <fill>
        <patternFill patternType="solid">
          <bgColor theme="8" tint="0.59999389629810485"/>
        </patternFill>
      </fill>
    </dxf>
  </rfmt>
  <rfmt sheetId="1" sqref="G30" start="0" length="0">
    <dxf>
      <fill>
        <patternFill patternType="solid">
          <bgColor theme="8" tint="0.59999389629810485"/>
        </patternFill>
      </fill>
    </dxf>
  </rfmt>
  <rfmt sheetId="1" sqref="H30" start="0" length="0">
    <dxf>
      <fill>
        <patternFill patternType="solid">
          <bgColor theme="8" tint="0.59999389629810485"/>
        </patternFill>
      </fill>
    </dxf>
  </rfmt>
  <rfmt sheetId="1" sqref="D31" start="0" length="0">
    <dxf>
      <fill>
        <patternFill patternType="solid">
          <bgColor theme="8" tint="0.59999389629810485"/>
        </patternFill>
      </fill>
    </dxf>
  </rfmt>
  <rfmt sheetId="1" sqref="E31" start="0" length="0">
    <dxf>
      <fill>
        <patternFill patternType="solid">
          <bgColor theme="8" tint="0.59999389629810485"/>
        </patternFill>
      </fill>
    </dxf>
  </rfmt>
  <rfmt sheetId="1" sqref="F31" start="0" length="0">
    <dxf>
      <fill>
        <patternFill patternType="solid">
          <bgColor theme="8" tint="0.59999389629810485"/>
        </patternFill>
      </fill>
    </dxf>
  </rfmt>
  <rfmt sheetId="1" sqref="G31" start="0" length="0">
    <dxf>
      <fill>
        <patternFill patternType="solid">
          <bgColor theme="8" tint="0.59999389629810485"/>
        </patternFill>
      </fill>
    </dxf>
  </rfmt>
  <rfmt sheetId="1" sqref="H31" start="0" length="0">
    <dxf>
      <fill>
        <patternFill patternType="solid">
          <bgColor theme="8" tint="0.59999389629810485"/>
        </patternFill>
      </fill>
    </dxf>
  </rfmt>
  <rfmt sheetId="1" sqref="D32" start="0" length="0">
    <dxf>
      <fill>
        <patternFill patternType="solid">
          <bgColor theme="8" tint="0.59999389629810485"/>
        </patternFill>
      </fill>
    </dxf>
  </rfmt>
  <rfmt sheetId="1" sqref="E32" start="0" length="0">
    <dxf>
      <fill>
        <patternFill patternType="solid">
          <bgColor theme="8" tint="0.59999389629810485"/>
        </patternFill>
      </fill>
    </dxf>
  </rfmt>
  <rfmt sheetId="1" sqref="F32" start="0" length="0">
    <dxf>
      <fill>
        <patternFill patternType="solid">
          <bgColor theme="8" tint="0.59999389629810485"/>
        </patternFill>
      </fill>
    </dxf>
  </rfmt>
  <rfmt sheetId="1" sqref="G32" start="0" length="0">
    <dxf>
      <fill>
        <patternFill patternType="solid">
          <bgColor theme="8" tint="0.59999389629810485"/>
        </patternFill>
      </fill>
    </dxf>
  </rfmt>
  <rfmt sheetId="1" sqref="H32" start="0" length="0">
    <dxf>
      <fill>
        <patternFill patternType="solid">
          <bgColor theme="8" tint="0.59999389629810485"/>
        </patternFill>
      </fill>
    </dxf>
  </rfmt>
  <rfmt sheetId="1" sqref="D33" start="0" length="0">
    <dxf>
      <fill>
        <patternFill patternType="solid">
          <bgColor theme="8" tint="0.59999389629810485"/>
        </patternFill>
      </fill>
    </dxf>
  </rfmt>
  <rfmt sheetId="1" sqref="E33" start="0" length="0">
    <dxf>
      <fill>
        <patternFill patternType="solid">
          <bgColor theme="8" tint="0.59999389629810485"/>
        </patternFill>
      </fill>
    </dxf>
  </rfmt>
  <rfmt sheetId="1" sqref="F33" start="0" length="0">
    <dxf>
      <fill>
        <patternFill patternType="solid">
          <bgColor theme="8" tint="0.59999389629810485"/>
        </patternFill>
      </fill>
    </dxf>
  </rfmt>
  <rfmt sheetId="1" sqref="G33" start="0" length="0">
    <dxf>
      <fill>
        <patternFill patternType="solid">
          <bgColor theme="8" tint="0.59999389629810485"/>
        </patternFill>
      </fill>
    </dxf>
  </rfmt>
  <rfmt sheetId="1" sqref="H33" start="0" length="0">
    <dxf>
      <fill>
        <patternFill patternType="solid">
          <bgColor theme="8" tint="0.59999389629810485"/>
        </patternFill>
      </fill>
    </dxf>
  </rfmt>
  <rfmt sheetId="1" sqref="D34" start="0" length="0">
    <dxf>
      <fill>
        <patternFill patternType="solid">
          <bgColor theme="8" tint="0.59999389629810485"/>
        </patternFill>
      </fill>
    </dxf>
  </rfmt>
  <rfmt sheetId="1" sqref="E34" start="0" length="0">
    <dxf>
      <fill>
        <patternFill patternType="solid">
          <bgColor theme="8" tint="0.59999389629810485"/>
        </patternFill>
      </fill>
    </dxf>
  </rfmt>
  <rfmt sheetId="1" sqref="F34" start="0" length="0">
    <dxf>
      <fill>
        <patternFill patternType="solid">
          <bgColor theme="8" tint="0.59999389629810485"/>
        </patternFill>
      </fill>
    </dxf>
  </rfmt>
  <rfmt sheetId="1" sqref="G34" start="0" length="0">
    <dxf>
      <fill>
        <patternFill patternType="solid">
          <bgColor theme="8" tint="0.59999389629810485"/>
        </patternFill>
      </fill>
    </dxf>
  </rfmt>
  <rfmt sheetId="1" sqref="H34" start="0" length="0">
    <dxf>
      <fill>
        <patternFill patternType="solid">
          <bgColor theme="8" tint="0.59999389629810485"/>
        </patternFill>
      </fill>
    </dxf>
  </rfmt>
  <rcc rId="216" sId="1">
    <nc r="G35">
      <v>20</v>
    </nc>
  </rcc>
  <rcc rId="217" sId="1">
    <oc r="I35">
      <v>180</v>
    </oc>
    <nc r="I35">
      <v>135</v>
    </nc>
  </rcc>
  <rcc rId="218" sId="1">
    <oc r="O35">
      <v>90</v>
    </oc>
    <nc r="O35">
      <v>45</v>
    </nc>
  </rcc>
  <rcc rId="219" sId="1">
    <oc r="U38">
      <v>180</v>
    </oc>
    <nc r="U38">
      <v>120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4">
    <oc r="F5">
      <v>75</v>
    </oc>
    <nc r="F5"/>
  </rcc>
  <rcc rId="228" sId="4">
    <oc r="H5">
      <v>21483</v>
    </oc>
    <nc r="H5"/>
  </rcc>
  <rcc rId="229" sId="4">
    <oc r="I5">
      <v>24</v>
    </oc>
    <nc r="I5"/>
  </rcc>
  <rcc rId="230" sId="4">
    <oc r="K5">
      <v>5759</v>
    </oc>
    <nc r="K5"/>
  </rcc>
  <rcc rId="231" sId="4" numFmtId="4">
    <oc r="O5">
      <v>1800</v>
    </oc>
    <nc r="O5"/>
  </rcc>
  <rcc rId="232" sId="4">
    <oc r="F6">
      <v>38</v>
    </oc>
    <nc r="F6"/>
  </rcc>
  <rcc rId="233" sId="4">
    <oc r="H6">
      <v>30648</v>
    </oc>
    <nc r="H6"/>
  </rcc>
  <rcc rId="234" sId="4">
    <oc r="I6">
      <v>7</v>
    </oc>
    <nc r="I6"/>
  </rcc>
  <rcc rId="235" sId="4">
    <oc r="K6">
      <v>10159</v>
    </oc>
    <nc r="K6"/>
  </rcc>
  <rcc rId="236" sId="4" numFmtId="4">
    <oc r="O6">
      <v>2620</v>
    </oc>
    <nc r="O6"/>
  </rcc>
  <rcc rId="237" sId="4">
    <oc r="C7">
      <v>52</v>
    </oc>
    <nc r="C7"/>
  </rcc>
  <rcc rId="238" sId="4">
    <oc r="E7">
      <v>38933</v>
    </oc>
    <nc r="E7"/>
  </rcc>
  <rcc rId="239" sId="4">
    <oc r="F7">
      <v>18</v>
    </oc>
    <nc r="F7"/>
  </rcc>
  <rcc rId="240" sId="4">
    <oc r="H7">
      <v>20553</v>
    </oc>
    <nc r="H7"/>
  </rcc>
  <rcc rId="241" sId="4">
    <oc r="I7">
      <v>27</v>
    </oc>
    <nc r="I7"/>
  </rcc>
  <rcc rId="242" sId="4">
    <oc r="K7">
      <v>3554</v>
    </oc>
    <nc r="K7"/>
  </rcc>
  <rcc rId="243" sId="4" numFmtId="4">
    <oc r="O7">
      <v>3490</v>
    </oc>
    <nc r="O7"/>
  </rcc>
  <rcc rId="244" sId="4">
    <oc r="C8">
      <v>25</v>
    </oc>
    <nc r="C8"/>
  </rcc>
  <rcc rId="245" sId="4">
    <oc r="E8">
      <v>2805</v>
    </oc>
    <nc r="E8"/>
  </rcc>
  <rcc rId="246" sId="4">
    <oc r="F8">
      <v>50</v>
    </oc>
    <nc r="F8"/>
  </rcc>
  <rcc rId="247" sId="4">
    <oc r="H8">
      <v>19819</v>
    </oc>
    <nc r="H8"/>
  </rcc>
  <rcc rId="248" sId="4">
    <oc r="I8">
      <v>24</v>
    </oc>
    <nc r="I8"/>
  </rcc>
  <rcc rId="249" sId="4">
    <oc r="K8">
      <v>6005</v>
    </oc>
    <nc r="K8"/>
  </rcc>
  <rcc rId="250" sId="4">
    <oc r="L8">
      <v>178</v>
    </oc>
    <nc r="L8"/>
  </rcc>
  <rcc rId="251" sId="4">
    <oc r="N8">
      <v>4181</v>
    </oc>
    <nc r="N8"/>
  </rcc>
  <rcc rId="252" sId="4" numFmtId="4">
    <oc r="O8">
      <v>2650</v>
    </oc>
    <nc r="O8"/>
  </rcc>
  <rcc rId="253" sId="4">
    <oc r="F9">
      <v>75</v>
    </oc>
    <nc r="F9"/>
  </rcc>
  <rcc rId="254" sId="4">
    <oc r="H9">
      <v>30541</v>
    </oc>
    <nc r="H9"/>
  </rcc>
  <rcc rId="255" sId="4">
    <oc r="I9">
      <v>25</v>
    </oc>
    <nc r="I9"/>
  </rcc>
  <rcc rId="256" sId="4">
    <oc r="K9">
      <v>8911</v>
    </oc>
    <nc r="K9"/>
  </rcc>
  <rcc rId="257" sId="4" numFmtId="4">
    <oc r="O9">
      <v>2690</v>
    </oc>
    <nc r="O9"/>
  </rcc>
  <rcc rId="258" sId="4">
    <oc r="C10">
      <v>13</v>
    </oc>
    <nc r="C10"/>
  </rcc>
  <rcc rId="259" sId="4">
    <oc r="E10">
      <v>3262</v>
    </oc>
    <nc r="E10"/>
  </rcc>
  <rcc rId="260" sId="4">
    <oc r="F10">
      <v>74</v>
    </oc>
    <nc r="F10"/>
  </rcc>
  <rcc rId="261" sId="4">
    <oc r="H10">
      <v>22231</v>
    </oc>
    <nc r="H10"/>
  </rcc>
  <rcc rId="262" sId="4">
    <oc r="L10">
      <v>175</v>
    </oc>
    <nc r="L10"/>
  </rcc>
  <rcc rId="263" sId="4">
    <oc r="N10">
      <v>7033</v>
    </oc>
    <nc r="N10"/>
  </rcc>
  <rcc rId="264" sId="4" numFmtId="4">
    <oc r="O10">
      <v>760</v>
    </oc>
    <nc r="O10"/>
  </rcc>
  <rcc rId="265" sId="4">
    <oc r="C11">
      <v>10</v>
    </oc>
    <nc r="C11"/>
  </rcc>
  <rcc rId="266" sId="4">
    <oc r="E11">
      <v>5472</v>
    </oc>
    <nc r="E11"/>
  </rcc>
  <rcc rId="267" sId="4">
    <oc r="F11">
      <v>81</v>
    </oc>
    <nc r="F11"/>
  </rcc>
  <rcc rId="268" sId="4">
    <oc r="H11">
      <v>14198</v>
    </oc>
    <nc r="H11"/>
  </rcc>
  <rcc rId="269" sId="4">
    <oc r="L11">
      <v>167</v>
    </oc>
    <nc r="L11"/>
  </rcc>
  <rcc rId="270" sId="4">
    <oc r="N11">
      <v>18303</v>
    </oc>
    <nc r="N11"/>
  </rcc>
  <rcc rId="271" sId="4" numFmtId="4">
    <oc r="O11">
      <v>2500</v>
    </oc>
    <nc r="O11"/>
  </rcc>
  <rcc rId="272" sId="4">
    <oc r="F12">
      <v>160</v>
    </oc>
    <nc r="F12"/>
  </rcc>
  <rcc rId="273" sId="4">
    <oc r="H12">
      <v>36176</v>
    </oc>
    <nc r="H12"/>
  </rcc>
  <rcc rId="274" sId="4">
    <oc r="I12">
      <v>55</v>
    </oc>
    <nc r="I12"/>
  </rcc>
  <rcc rId="275" sId="4">
    <oc r="K12">
      <v>10185</v>
    </oc>
    <nc r="K12"/>
  </rcc>
  <rcc rId="276" sId="4" numFmtId="4">
    <oc r="O12">
      <v>2900</v>
    </oc>
    <nc r="O12"/>
  </rcc>
  <rcc rId="277" sId="4">
    <oc r="F13">
      <v>170</v>
    </oc>
    <nc r="F13"/>
  </rcc>
  <rcc rId="278" sId="4">
    <oc r="H13">
      <v>41500</v>
    </oc>
    <nc r="H13"/>
  </rcc>
  <rcc rId="279" sId="4">
    <oc r="I13">
      <v>42</v>
    </oc>
    <nc r="I13"/>
  </rcc>
  <rcc rId="280" sId="4">
    <oc r="K13">
      <v>11900</v>
    </oc>
    <nc r="K13"/>
  </rcc>
  <rcc rId="281" sId="4">
    <oc r="L13">
      <v>65</v>
    </oc>
    <nc r="L13"/>
  </rcc>
  <rcc rId="282" sId="4">
    <oc r="N13">
      <v>38500</v>
    </oc>
    <nc r="N13"/>
  </rcc>
  <rcc rId="283" sId="4">
    <oc r="F14">
      <v>83</v>
    </oc>
    <nc r="F14"/>
  </rcc>
  <rcc rId="284" sId="4">
    <oc r="H14">
      <v>6664</v>
    </oc>
    <nc r="H14"/>
  </rcc>
  <rcc rId="285" sId="4">
    <oc r="I14">
      <v>24</v>
    </oc>
    <nc r="I14"/>
  </rcc>
  <rcc rId="286" sId="4">
    <oc r="K14">
      <v>4588</v>
    </oc>
    <nc r="K14"/>
  </rcc>
  <rcc rId="287" sId="4">
    <oc r="L14">
      <v>120</v>
    </oc>
    <nc r="L14"/>
  </rcc>
  <rcc rId="288" sId="4">
    <oc r="N14">
      <v>66542</v>
    </oc>
    <nc r="N14"/>
  </rcc>
  <rcc rId="289" sId="4" numFmtId="4">
    <oc r="O14">
      <v>7832</v>
    </oc>
    <nc r="O14"/>
  </rcc>
  <rcc rId="290" sId="4">
    <oc r="F15">
      <v>80</v>
    </oc>
    <nc r="F15"/>
  </rcc>
  <rcc rId="291" sId="4">
    <oc r="H15">
      <v>7654</v>
    </oc>
    <nc r="H15"/>
  </rcc>
  <rcc rId="292" sId="4">
    <oc r="I15">
      <v>14</v>
    </oc>
    <nc r="I15"/>
  </rcc>
  <rcc rId="293" sId="4">
    <oc r="K15">
      <v>2076</v>
    </oc>
    <nc r="K15"/>
  </rcc>
  <rcc rId="294" sId="4">
    <oc r="L15">
      <v>46</v>
    </oc>
    <nc r="L15"/>
  </rcc>
  <rcc rId="295" sId="4">
    <oc r="N15">
      <v>3078</v>
    </oc>
    <nc r="N15"/>
  </rcc>
  <rcc rId="296" sId="4" numFmtId="4">
    <oc r="O15">
      <v>835</v>
    </oc>
    <nc r="O15"/>
  </rcc>
  <rcc rId="297" sId="4">
    <oc r="F16">
      <v>55</v>
    </oc>
    <nc r="F16"/>
  </rcc>
  <rcc rId="298" sId="4">
    <oc r="H16">
      <v>2928</v>
    </oc>
    <nc r="H16"/>
  </rcc>
  <rcc rId="299" sId="4">
    <oc r="I16">
      <v>19</v>
    </oc>
    <nc r="I16"/>
  </rcc>
  <rcc rId="300" sId="4">
    <oc r="K16">
      <v>1147</v>
    </oc>
    <nc r="K16"/>
  </rcc>
  <rcc rId="301" sId="4" numFmtId="4">
    <oc r="O16">
      <v>307</v>
    </oc>
    <nc r="O16"/>
  </rcc>
  <rcc rId="302" sId="4">
    <oc r="F17">
      <v>72</v>
    </oc>
    <nc r="F17"/>
  </rcc>
  <rcc rId="303" sId="4">
    <oc r="H17">
      <v>2427</v>
    </oc>
    <nc r="H17"/>
  </rcc>
  <rcc rId="304" sId="4">
    <oc r="I17">
      <v>19</v>
    </oc>
    <nc r="I17"/>
  </rcc>
  <rcc rId="305" sId="4">
    <oc r="K17">
      <v>795</v>
    </oc>
    <nc r="K17"/>
  </rcc>
  <rcc rId="306" sId="4">
    <oc r="L17">
      <v>143</v>
    </oc>
    <nc r="L17"/>
  </rcc>
  <rcc rId="307" sId="4">
    <oc r="N17">
      <v>7001</v>
    </oc>
    <nc r="N17"/>
  </rcc>
  <rcc rId="308" sId="4" numFmtId="4">
    <oc r="O17">
      <v>1152</v>
    </oc>
    <nc r="O17"/>
  </rcc>
  <rcc rId="309" sId="4">
    <oc r="F18">
      <v>80</v>
    </oc>
    <nc r="F18"/>
  </rcc>
  <rcc rId="310" sId="4">
    <oc r="H18">
      <v>9546</v>
    </oc>
    <nc r="H18"/>
  </rcc>
  <rcc rId="311" sId="4">
    <oc r="I18">
      <v>24</v>
    </oc>
    <nc r="I18"/>
  </rcc>
  <rcc rId="312" sId="4">
    <oc r="K18">
      <v>1886</v>
    </oc>
    <nc r="K18"/>
  </rcc>
  <rcc rId="313" sId="4">
    <oc r="L18">
      <v>144</v>
    </oc>
    <nc r="L18"/>
  </rcc>
  <rcc rId="314" sId="4">
    <oc r="N18">
      <v>23846</v>
    </oc>
    <nc r="N18"/>
  </rcc>
  <rcc rId="315" sId="4" numFmtId="4">
    <oc r="O18">
      <v>820</v>
    </oc>
    <nc r="O18"/>
  </rcc>
  <rcc rId="316" sId="4">
    <oc r="P18">
      <v>1630</v>
    </oc>
    <nc r="P18"/>
  </rcc>
  <rcc rId="317" sId="4">
    <oc r="F19">
      <v>64</v>
    </oc>
    <nc r="F19"/>
  </rcc>
  <rcc rId="318" sId="4">
    <oc r="H19">
      <v>7082</v>
    </oc>
    <nc r="H19"/>
  </rcc>
  <rcc rId="319" sId="4">
    <oc r="I19">
      <v>25</v>
    </oc>
    <nc r="I19"/>
  </rcc>
  <rcc rId="320" sId="4">
    <oc r="K19">
      <v>1558</v>
    </oc>
    <nc r="K19"/>
  </rcc>
  <rcc rId="321" sId="4" numFmtId="4">
    <oc r="O19">
      <v>680</v>
    </oc>
    <nc r="O19"/>
  </rcc>
  <rcc rId="322" sId="4">
    <oc r="C20">
      <v>14</v>
    </oc>
    <nc r="C20"/>
  </rcc>
  <rcc rId="323" sId="4">
    <oc r="E20">
      <v>551</v>
    </oc>
    <nc r="E20"/>
  </rcc>
  <rcc rId="324" sId="4">
    <oc r="F20">
      <v>57</v>
    </oc>
    <nc r="F20"/>
  </rcc>
  <rcc rId="325" sId="4">
    <oc r="H20">
      <v>815</v>
    </oc>
    <nc r="H20"/>
  </rcc>
  <rcc rId="326" sId="4">
    <oc r="L20">
      <v>95</v>
    </oc>
    <nc r="L20"/>
  </rcc>
  <rcc rId="327" sId="4">
    <oc r="N20">
      <v>4996</v>
    </oc>
    <nc r="N20"/>
  </rcc>
  <rcc rId="328" sId="4" numFmtId="4">
    <oc r="O20">
      <v>112</v>
    </oc>
    <nc r="O20"/>
  </rcc>
  <rcc rId="329" sId="4">
    <oc r="P20">
      <v>388</v>
    </oc>
    <nc r="P20"/>
  </rcc>
  <rcc rId="330" sId="4">
    <oc r="F21">
      <v>44</v>
    </oc>
    <nc r="F21"/>
  </rcc>
  <rcc rId="331" sId="4">
    <oc r="H21">
      <v>1373</v>
    </oc>
    <nc r="H21"/>
  </rcc>
  <rcc rId="332" sId="4">
    <oc r="L21">
      <v>116</v>
    </oc>
    <nc r="L21"/>
  </rcc>
  <rcc rId="333" sId="4">
    <oc r="N21">
      <v>4177</v>
    </oc>
    <nc r="N21"/>
  </rcc>
  <rcc rId="334" sId="4" numFmtId="4">
    <oc r="O21">
      <v>370</v>
    </oc>
    <nc r="O21"/>
  </rcc>
  <rcc rId="335" sId="4">
    <oc r="F22">
      <v>63</v>
    </oc>
    <nc r="F22"/>
  </rcc>
  <rcc rId="336" sId="4">
    <oc r="H22">
      <v>14020</v>
    </oc>
    <nc r="H22"/>
  </rcc>
  <rcc rId="337" sId="4">
    <oc r="I22">
      <v>29</v>
    </oc>
    <nc r="I22"/>
  </rcc>
  <rcc rId="338" sId="4">
    <oc r="K22">
      <v>2127</v>
    </oc>
    <nc r="K22"/>
  </rcc>
  <rcc rId="339" sId="4">
    <oc r="L22">
      <v>144</v>
    </oc>
    <nc r="L22"/>
  </rcc>
  <rcc rId="340" sId="4">
    <oc r="N22">
      <v>53852</v>
    </oc>
    <nc r="N22"/>
  </rcc>
  <rcc rId="341" sId="4" numFmtId="4">
    <oc r="O22">
      <v>1550</v>
    </oc>
    <nc r="O22"/>
  </rcc>
  <rcc rId="342" sId="4">
    <oc r="P22">
      <v>4150</v>
    </oc>
    <nc r="P22"/>
  </rcc>
  <rcc rId="343" sId="4">
    <oc r="F23">
      <v>72</v>
    </oc>
    <nc r="F23"/>
  </rcc>
  <rcc rId="344" sId="4">
    <oc r="H23">
      <v>13382</v>
    </oc>
    <nc r="H23"/>
  </rcc>
  <rcc rId="345" sId="4">
    <oc r="I23">
      <v>20</v>
    </oc>
    <nc r="I23"/>
  </rcc>
  <rcc rId="346" sId="4">
    <oc r="K23">
      <v>2411</v>
    </oc>
    <nc r="K23"/>
  </rcc>
  <rcc rId="347" sId="4">
    <oc r="L23">
      <v>146</v>
    </oc>
    <nc r="L23"/>
  </rcc>
  <rcc rId="348" sId="4">
    <oc r="N23">
      <v>48535</v>
    </oc>
    <nc r="N23"/>
  </rcc>
  <rcc rId="349" sId="4" numFmtId="4">
    <oc r="O23">
      <v>1200</v>
    </oc>
    <nc r="O23"/>
  </rcc>
  <rcc rId="350" sId="4">
    <oc r="P23">
      <v>3460</v>
    </oc>
    <nc r="P23"/>
  </rcc>
  <rcc rId="351" sId="4">
    <oc r="F24">
      <v>77</v>
    </oc>
    <nc r="F24"/>
  </rcc>
  <rcc rId="352" sId="4">
    <oc r="H24">
      <v>10428</v>
    </oc>
    <nc r="H24"/>
  </rcc>
  <rcc rId="353" sId="4">
    <oc r="I24">
      <v>16</v>
    </oc>
    <nc r="I24"/>
  </rcc>
  <rcc rId="354" sId="4">
    <oc r="K24">
      <v>1669</v>
    </oc>
    <nc r="K24"/>
  </rcc>
  <rcc rId="355" sId="4">
    <oc r="L24">
      <v>155</v>
    </oc>
    <nc r="L24"/>
  </rcc>
  <rcc rId="356" sId="4">
    <oc r="N24">
      <v>24409</v>
    </oc>
    <nc r="N24"/>
  </rcc>
  <rcc rId="357" sId="4" numFmtId="4">
    <oc r="O24">
      <v>925</v>
    </oc>
    <nc r="O24"/>
  </rcc>
  <rcc rId="358" sId="4">
    <oc r="P24">
      <v>1640</v>
    </oc>
    <nc r="P24"/>
  </rcc>
  <rcc rId="359" sId="4">
    <oc r="F25">
      <v>73</v>
    </oc>
    <nc r="F25"/>
  </rcc>
  <rcc rId="360" sId="4">
    <oc r="H25">
      <v>6701</v>
    </oc>
    <nc r="H25"/>
  </rcc>
  <rcc rId="361" sId="4">
    <oc r="I25">
      <v>21</v>
    </oc>
    <nc r="I25"/>
  </rcc>
  <rcc rId="362" sId="4">
    <oc r="K25">
      <v>996</v>
    </oc>
    <nc r="K25"/>
  </rcc>
  <rcc rId="363" sId="4">
    <oc r="L25">
      <v>120</v>
    </oc>
    <nc r="L25"/>
  </rcc>
  <rcc rId="364" sId="4">
    <oc r="N25">
      <v>26965</v>
    </oc>
    <nc r="N25"/>
  </rcc>
  <rcc rId="365" sId="4" numFmtId="4">
    <oc r="O25">
      <v>605</v>
    </oc>
    <nc r="O25"/>
  </rcc>
  <rcc rId="366" sId="4">
    <oc r="P25">
      <v>2015</v>
    </oc>
    <nc r="P25"/>
  </rcc>
  <rcc rId="367" sId="4">
    <oc r="C26">
      <v>74</v>
    </oc>
    <nc r="C26"/>
  </rcc>
  <rcc rId="368" sId="4">
    <oc r="E26">
      <v>3842</v>
    </oc>
    <nc r="E26"/>
  </rcc>
  <rcc rId="369" sId="4">
    <oc r="F26">
      <v>28</v>
    </oc>
    <nc r="F26"/>
  </rcc>
  <rcc rId="370" sId="4">
    <oc r="H26">
      <v>8703</v>
    </oc>
    <nc r="H26"/>
  </rcc>
  <rcc rId="371" sId="4">
    <oc r="I26">
      <v>30</v>
    </oc>
    <nc r="I26"/>
  </rcc>
  <rcc rId="372" sId="4">
    <oc r="K26">
      <v>1783</v>
    </oc>
    <nc r="K26"/>
  </rcc>
  <rcc rId="373" sId="4">
    <oc r="L26">
      <v>170</v>
    </oc>
    <nc r="L26"/>
  </rcc>
  <rcc rId="374" sId="4">
    <oc r="N26">
      <v>16546</v>
    </oc>
    <nc r="N26"/>
  </rcc>
  <rcc rId="375" sId="4" numFmtId="4">
    <oc r="O26">
      <v>1150</v>
    </oc>
    <nc r="O26"/>
  </rcc>
  <rcc rId="376" sId="4">
    <oc r="F27">
      <v>116</v>
    </oc>
    <nc r="F27"/>
  </rcc>
  <rcc rId="377" sId="4">
    <oc r="H27">
      <v>9664</v>
    </oc>
    <nc r="H27"/>
  </rcc>
  <rcc rId="378" sId="4">
    <oc r="I27">
      <v>27</v>
    </oc>
    <nc r="I27"/>
  </rcc>
  <rcc rId="379" sId="4">
    <oc r="K27">
      <v>1491</v>
    </oc>
    <nc r="K27"/>
  </rcc>
  <rcc rId="380" sId="4" numFmtId="4">
    <oc r="O27">
      <v>910</v>
    </oc>
    <nc r="O27"/>
  </rcc>
  <rcc rId="381" sId="4">
    <oc r="F28">
      <v>160</v>
    </oc>
    <nc r="F28"/>
  </rcc>
  <rcc rId="382" sId="4">
    <oc r="H28">
      <v>31846</v>
    </oc>
    <nc r="H28"/>
  </rcc>
  <rcc rId="383" sId="4">
    <oc r="I28">
      <v>81</v>
    </oc>
    <nc r="I28"/>
  </rcc>
  <rcc rId="384" sId="4">
    <oc r="K28">
      <v>10243</v>
    </oc>
    <nc r="K28"/>
  </rcc>
  <rcc rId="385" sId="4" numFmtId="4">
    <oc r="O28">
      <v>1400</v>
    </oc>
    <nc r="O28"/>
  </rcc>
  <rcc rId="386" sId="4">
    <oc r="F29">
      <v>160</v>
    </oc>
    <nc r="F29"/>
  </rcc>
  <rcc rId="387" sId="4">
    <oc r="H29">
      <v>35318</v>
    </oc>
    <nc r="H29"/>
  </rcc>
  <rcc rId="388" sId="4">
    <oc r="I29">
      <v>82</v>
    </oc>
    <nc r="I29"/>
  </rcc>
  <rcc rId="389" sId="4">
    <oc r="K29">
      <v>10002</v>
    </oc>
    <nc r="K29"/>
  </rcc>
  <rcc rId="390" sId="4" numFmtId="4">
    <oc r="O29">
      <v>3750</v>
    </oc>
    <nc r="O29"/>
  </rcc>
  <rcc rId="391" sId="4">
    <oc r="F30">
      <v>150</v>
    </oc>
    <nc r="F30"/>
  </rcc>
  <rcc rId="392" sId="4">
    <oc r="H30">
      <v>37039</v>
    </oc>
    <nc r="H30"/>
  </rcc>
  <rcc rId="393" sId="4">
    <oc r="I30">
      <v>78</v>
    </oc>
    <nc r="I30"/>
  </rcc>
  <rcc rId="394" sId="4">
    <oc r="K30">
      <v>9840</v>
    </oc>
    <nc r="K30"/>
  </rcc>
  <rcc rId="395" sId="4">
    <oc r="F31">
      <v>126</v>
    </oc>
    <nc r="F31"/>
  </rcc>
  <rcc rId="396" sId="4">
    <oc r="H31">
      <v>58842</v>
    </oc>
    <nc r="H31"/>
  </rcc>
  <rcc rId="397" sId="4">
    <oc r="I31">
      <v>70</v>
    </oc>
    <nc r="I31"/>
  </rcc>
  <rcc rId="398" sId="4">
    <oc r="K31">
      <v>13645</v>
    </oc>
    <nc r="K31"/>
  </rcc>
  <rcc rId="399" sId="4" numFmtId="4">
    <oc r="O31">
      <v>5900</v>
    </oc>
    <nc r="O31"/>
  </rcc>
  <rcc rId="400" sId="4">
    <oc r="R5" t="inlineStr">
      <is>
        <t xml:space="preserve">المقدم محمد </t>
      </is>
    </oc>
    <nc r="R5"/>
  </rcc>
  <rcc rId="401" sId="4">
    <oc r="R6" t="inlineStr">
      <is>
        <t xml:space="preserve">محاسب مصطفي </t>
      </is>
    </oc>
    <nc r="R6"/>
  </rcc>
  <rcc rId="402" sId="4">
    <oc r="S6">
      <v>3613</v>
    </oc>
    <nc r="S6"/>
  </rcc>
  <rcc rId="403" sId="4">
    <oc r="R7" t="inlineStr">
      <is>
        <t xml:space="preserve">اكرم محاسب </t>
      </is>
    </oc>
    <nc r="R7"/>
  </rcc>
  <rcc rId="404" sId="4">
    <oc r="R8" t="inlineStr">
      <is>
        <t xml:space="preserve">النقيب احمد </t>
      </is>
    </oc>
    <nc r="R8"/>
  </rcc>
  <rcc rId="405" sId="4">
    <oc r="R9" t="inlineStr">
      <is>
        <t xml:space="preserve">العقيد محمد </t>
      </is>
    </oc>
    <nc r="R9"/>
  </rcc>
  <rcc rId="406" sId="4">
    <oc r="R10" t="inlineStr">
      <is>
        <t xml:space="preserve">الرائد وليد </t>
      </is>
    </oc>
    <nc r="R10"/>
  </rcc>
  <rcc rId="407" sId="4">
    <oc r="R11" t="inlineStr">
      <is>
        <t>عميد هشام</t>
      </is>
    </oc>
    <nc r="R11"/>
  </rcc>
  <rcc rId="408" sId="4">
    <oc r="R12" t="inlineStr">
      <is>
        <t xml:space="preserve">الظابط سامح </t>
      </is>
    </oc>
    <nc r="R12"/>
  </rcc>
  <rcc rId="409" sId="4">
    <oc r="R13" t="inlineStr">
      <is>
        <t xml:space="preserve">محاسب محمد </t>
      </is>
    </oc>
    <nc r="R13"/>
  </rcc>
  <rcc rId="410" sId="4">
    <oc r="R14" t="inlineStr">
      <is>
        <t xml:space="preserve">جندي حاتم </t>
      </is>
    </oc>
    <nc r="R14"/>
  </rcc>
  <rcc rId="411" sId="4">
    <oc r="R15" t="inlineStr">
      <is>
        <t>جندي ابراهيم</t>
      </is>
    </oc>
    <nc r="R15"/>
  </rcc>
  <rcc rId="412" sId="4">
    <oc r="R16" t="inlineStr">
      <is>
        <t xml:space="preserve">عقيد محمد </t>
      </is>
    </oc>
    <nc r="R16"/>
  </rcc>
  <rcc rId="413" sId="4">
    <oc r="R17" t="inlineStr">
      <is>
        <t xml:space="preserve">العميد خالد </t>
      </is>
    </oc>
    <nc r="R17"/>
  </rcc>
  <rcc rId="414" sId="4">
    <oc r="R18" t="inlineStr">
      <is>
        <t>عميد محمد</t>
      </is>
    </oc>
    <nc r="R18"/>
  </rcc>
  <rcc rId="415" sId="4">
    <oc r="R19" t="inlineStr">
      <is>
        <t xml:space="preserve">عقيد ايمن </t>
      </is>
    </oc>
    <nc r="R19"/>
  </rcc>
  <rcc rId="416" sId="4">
    <oc r="R20" t="inlineStr">
      <is>
        <t xml:space="preserve">جندي عبدالله </t>
      </is>
    </oc>
    <nc r="R20"/>
  </rcc>
  <rcc rId="417" sId="4">
    <oc r="R21" t="inlineStr">
      <is>
        <t xml:space="preserve">عقيد علاء </t>
      </is>
    </oc>
    <nc r="R21"/>
  </rcc>
  <rcc rId="418" sId="4">
    <oc r="R22" t="inlineStr">
      <is>
        <t xml:space="preserve">عقيد احمد </t>
      </is>
    </oc>
    <nc r="R22"/>
  </rcc>
  <rcc rId="419" sId="4">
    <oc r="R23" t="inlineStr">
      <is>
        <t xml:space="preserve">عميد خالد </t>
      </is>
    </oc>
    <nc r="R23"/>
  </rcc>
  <rcc rId="420" sId="4">
    <oc r="R24" t="inlineStr">
      <is>
        <t xml:space="preserve">جندي عبدالله </t>
      </is>
    </oc>
    <nc r="R24"/>
  </rcc>
  <rcc rId="421" sId="4">
    <oc r="R25" t="inlineStr">
      <is>
        <t xml:space="preserve">عميد محمد </t>
      </is>
    </oc>
    <nc r="R25"/>
  </rcc>
  <rcc rId="422" sId="4">
    <oc r="R26" t="inlineStr">
      <is>
        <t xml:space="preserve">محاسب اسلام </t>
      </is>
    </oc>
    <nc r="R26"/>
  </rcc>
  <rcc rId="423" sId="4">
    <oc r="R27" t="inlineStr">
      <is>
        <t xml:space="preserve">النقيب حفناوي </t>
      </is>
    </oc>
    <nc r="R27"/>
  </rcc>
  <rcc rId="424" sId="4">
    <oc r="R28" t="inlineStr">
      <is>
        <t xml:space="preserve">النقيب ايمن </t>
      </is>
    </oc>
    <nc r="R28"/>
  </rcc>
  <rcc rId="425" sId="4">
    <oc r="R29" t="inlineStr">
      <is>
        <t xml:space="preserve">استاذة مي </t>
      </is>
    </oc>
    <nc r="R29"/>
  </rcc>
  <rcc rId="426" sId="4">
    <oc r="R30" t="inlineStr">
      <is>
        <t xml:space="preserve">النقيب صلاح </t>
      </is>
    </oc>
    <nc r="R30"/>
  </rcc>
  <rcc rId="427" sId="4">
    <oc r="R31" t="inlineStr">
      <is>
        <t xml:space="preserve">محاسب ماركو </t>
      </is>
    </oc>
    <nc r="R31"/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4">
    <nc r="H15">
      <v>9248</v>
    </nc>
  </rcc>
  <rcc rId="436" sId="4">
    <nc r="F15">
      <v>75</v>
    </nc>
  </rcc>
  <rcc rId="437" sId="4">
    <nc r="K15">
      <v>3095</v>
    </nc>
  </rcc>
  <rcc rId="438" sId="4">
    <nc r="I15">
      <v>24</v>
    </nc>
  </rcc>
  <rcc rId="439" sId="4">
    <nc r="N15">
      <v>2775</v>
    </nc>
  </rcc>
  <rcc rId="440" sId="4">
    <nc r="L15">
      <v>55</v>
    </nc>
  </rcc>
  <rcc rId="441" sId="4" numFmtId="4">
    <nc r="O15">
      <v>1260</v>
    </nc>
  </rcc>
  <rcc rId="442" sId="4">
    <nc r="R15" t="inlineStr">
      <is>
        <t xml:space="preserve">جندي / ابراهيم </t>
      </is>
    </nc>
  </rcc>
  <rcc rId="443" sId="4">
    <nc r="K17">
      <v>737</v>
    </nc>
  </rcc>
  <rcc rId="444" sId="4">
    <nc r="H17">
      <v>2419</v>
    </nc>
  </rcc>
  <rcc rId="445" sId="4">
    <nc r="N17">
      <v>6181</v>
    </nc>
  </rcc>
  <rcc rId="446" sId="4" numFmtId="4">
    <nc r="O17">
      <v>1030</v>
    </nc>
  </rcc>
  <rcc rId="447" sId="4">
    <nc r="I17">
      <v>16</v>
    </nc>
  </rcc>
  <rcc rId="448" sId="4">
    <nc r="F17">
      <v>81</v>
    </nc>
  </rcc>
  <rcc rId="449" sId="4">
    <nc r="L17">
      <v>154</v>
    </nc>
  </rcc>
  <rcc rId="450" sId="4">
    <nc r="R17" t="inlineStr">
      <is>
        <t xml:space="preserve">عقيد / احمد الجندي </t>
      </is>
    </nc>
  </rcc>
  <rcc rId="451" sId="4">
    <nc r="H5">
      <v>24498</v>
    </nc>
  </rcc>
  <rcc rId="452" sId="4">
    <nc r="K5">
      <v>6989</v>
    </nc>
  </rcc>
  <rcc rId="453" sId="4" numFmtId="4">
    <nc r="O5">
      <v>1860</v>
    </nc>
  </rcc>
  <rcc rId="454" sId="4">
    <nc r="F5">
      <v>78</v>
    </nc>
  </rcc>
  <rcc rId="455" sId="4">
    <nc r="I5">
      <v>22</v>
    </nc>
  </rcc>
  <rcc rId="456" sId="4">
    <nc r="R5" t="inlineStr">
      <is>
        <t xml:space="preserve">عقيد / احمد </t>
      </is>
    </nc>
  </rcc>
  <rcc rId="457" sId="4">
    <nc r="H16">
      <v>2944</v>
    </nc>
  </rcc>
  <rcc rId="458" sId="4">
    <nc r="K16">
      <v>753</v>
    </nc>
  </rcc>
  <rcc rId="459" sId="4">
    <nc r="F16">
      <v>47</v>
    </nc>
  </rcc>
  <rcc rId="460" sId="4">
    <nc r="I16">
      <v>16</v>
    </nc>
  </rcc>
  <rcc rId="461" sId="4" numFmtId="4">
    <nc r="O16">
      <v>359</v>
    </nc>
  </rcc>
  <rcc rId="462" sId="4">
    <nc r="R16" t="inlineStr">
      <is>
        <t xml:space="preserve">نقيب/ محمود </t>
      </is>
    </nc>
  </rcc>
  <rcc rId="463" sId="4">
    <nc r="H30">
      <v>40946</v>
    </nc>
  </rcc>
  <rcc rId="464" sId="4">
    <nc r="K30">
      <v>10875</v>
    </nc>
  </rcc>
  <rcc rId="465" sId="4">
    <nc r="F30">
      <v>120</v>
    </nc>
  </rcc>
  <rcc rId="466" sId="4">
    <nc r="I30">
      <v>75</v>
    </nc>
  </rcc>
  <rcc rId="467" sId="4">
    <nc r="R30" t="inlineStr">
      <is>
        <t xml:space="preserve">نقيب صلاح 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" sId="4">
    <nc r="K18">
      <v>2380</v>
    </nc>
  </rcc>
  <rcc rId="469" sId="4">
    <nc r="H18">
      <v>8813</v>
    </nc>
  </rcc>
  <rcc rId="470" sId="4">
    <nc r="N18">
      <v>27955</v>
    </nc>
  </rcc>
  <rcc rId="471" sId="4" numFmtId="4">
    <nc r="O18">
      <v>830</v>
    </nc>
  </rcc>
  <rcc rId="472" sId="4">
    <nc r="P18">
      <v>2090</v>
    </nc>
  </rcc>
  <rcc rId="473" sId="4">
    <nc r="I18">
      <v>18</v>
    </nc>
  </rcc>
  <rcc rId="474" sId="4">
    <nc r="F18">
      <v>70</v>
    </nc>
  </rcc>
  <rcc rId="475" sId="4">
    <nc r="L18">
      <v>152</v>
    </nc>
  </rcc>
  <rcc rId="476" sId="4">
    <nc r="R18" t="inlineStr">
      <is>
        <t>عميد محمد سعد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" sId="4">
    <nc r="H20">
      <v>684</v>
    </nc>
  </rcc>
  <rcc rId="485" sId="4">
    <nc r="E20">
      <v>282</v>
    </nc>
  </rcc>
  <rcc rId="486" sId="4">
    <nc r="N20">
      <v>3419</v>
    </nc>
  </rcc>
  <rcc rId="487" sId="4" numFmtId="4">
    <nc r="O20">
      <v>88</v>
    </nc>
  </rcc>
  <rcc rId="488" sId="4">
    <nc r="P20">
      <v>462</v>
    </nc>
  </rcc>
  <rcc rId="489" sId="4">
    <nc r="F20">
      <v>54</v>
    </nc>
  </rcc>
  <rcc rId="490" sId="4">
    <nc r="C20">
      <v>13</v>
    </nc>
  </rcc>
  <rcc rId="491" sId="4">
    <nc r="L20">
      <v>107</v>
    </nc>
  </rcc>
  <rcc rId="492" sId="4">
    <nc r="R20" t="inlineStr">
      <is>
        <t>محاسب احمد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" sId="4">
    <nc r="K9">
      <v>10843</v>
    </nc>
  </rcc>
  <rcc rId="494" sId="4">
    <nc r="H9">
      <v>38764</v>
    </nc>
  </rcc>
  <rcc rId="495" sId="4" numFmtId="4">
    <nc r="O9">
      <v>3390</v>
    </nc>
  </rcc>
  <rcc rId="496" sId="4">
    <nc r="I9">
      <v>28</v>
    </nc>
  </rcc>
  <rcc rId="497" sId="4">
    <nc r="F9">
      <v>73</v>
    </nc>
  </rcc>
  <rcc rId="498" sId="4">
    <nc r="R9" t="inlineStr">
      <is>
        <t xml:space="preserve">العقيد محمد 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" sId="4">
    <nc r="K8">
      <v>6969</v>
    </nc>
  </rcc>
  <rcc rId="500" sId="4">
    <nc r="H8">
      <v>19808</v>
    </nc>
  </rcc>
  <rcc rId="501" sId="4">
    <nc r="E8">
      <v>3031</v>
    </nc>
  </rcc>
  <rcc rId="502" sId="4">
    <nc r="N8">
      <v>6562</v>
    </nc>
  </rcc>
  <rcc rId="503" sId="4" numFmtId="4">
    <nc r="O8">
      <v>3140</v>
    </nc>
  </rcc>
  <rcc rId="504" sId="4">
    <nc r="I8">
      <v>21</v>
    </nc>
  </rcc>
  <rcc rId="505" sId="4">
    <nc r="F8">
      <v>42</v>
    </nc>
  </rcc>
  <rcc rId="506" sId="4">
    <nc r="C8">
      <v>17</v>
    </nc>
  </rcc>
  <rcc rId="507" sId="4">
    <nc r="L8">
      <v>170</v>
    </nc>
  </rcc>
  <rcc rId="508" sId="4">
    <nc r="R8" t="inlineStr">
      <is>
        <t xml:space="preserve">العميد احمد 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" sId="4">
    <oc r="R8" t="inlineStr">
      <is>
        <t xml:space="preserve">العميد احمد </t>
      </is>
    </oc>
    <nc r="R8" t="inlineStr">
      <is>
        <t xml:space="preserve">النقيب احمد 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4">
    <nc r="H28">
      <v>32913</v>
    </nc>
  </rcc>
  <rcc rId="511" sId="4">
    <nc r="K28">
      <v>10905</v>
    </nc>
  </rcc>
  <rcc rId="512" sId="4" numFmtId="4">
    <nc r="O28">
      <v>1500</v>
    </nc>
  </rcc>
  <rcc rId="513" sId="4">
    <nc r="F28">
      <v>120</v>
    </nc>
  </rcc>
  <rcc rId="514" sId="4">
    <nc r="I28">
      <v>69</v>
    </nc>
  </rcc>
  <rcc rId="515" sId="4">
    <nc r="R28" t="inlineStr">
      <is>
        <t xml:space="preserve">النقيب ايمن 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" sId="4">
    <nc r="K23">
      <v>3645</v>
    </nc>
  </rcc>
  <rcc rId="517" sId="4">
    <nc r="H23">
      <v>16253</v>
    </nc>
  </rcc>
  <rcc rId="518" sId="4">
    <nc r="N23">
      <v>50305</v>
    </nc>
  </rcc>
  <rcc rId="519" sId="4">
    <nc r="I23">
      <v>10</v>
    </nc>
  </rcc>
  <rcc rId="520" sId="4">
    <nc r="F23">
      <v>65</v>
    </nc>
  </rcc>
  <rcc rId="521" sId="4">
    <nc r="L23">
      <v>125</v>
    </nc>
  </rcc>
  <rcc rId="522" sId="4" numFmtId="4">
    <nc r="O23">
      <v>1880</v>
    </nc>
  </rcc>
  <rcc rId="523" sId="4">
    <nc r="P23">
      <v>3745</v>
    </nc>
  </rcc>
  <rcc rId="524" sId="4">
    <nc r="R23" t="inlineStr">
      <is>
        <t xml:space="preserve">عميد خالد 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4">
    <nc r="K16">
      <v>1147</v>
    </nc>
  </rcc>
  <rcc rId="24" sId="4">
    <nc r="H16">
      <v>2928</v>
    </nc>
  </rcc>
  <rcc rId="25" sId="4" numFmtId="4">
    <nc r="O16">
      <v>307</v>
    </nc>
  </rcc>
  <rcc rId="26" sId="4">
    <nc r="I16">
      <v>19</v>
    </nc>
  </rcc>
  <rcc rId="27" sId="4">
    <nc r="F16">
      <v>55</v>
    </nc>
  </rcc>
  <rcc rId="28" sId="4">
    <nc r="R16" t="inlineStr">
      <is>
        <t xml:space="preserve">عقيد محمد </t>
      </is>
    </nc>
  </rcc>
  <rcc rId="29" sId="4">
    <nc r="I22">
      <v>29</v>
    </nc>
  </rcc>
  <rcc rId="30" sId="4">
    <nc r="K22">
      <v>2127</v>
    </nc>
  </rcc>
  <rcc rId="31" sId="4">
    <nc r="F22">
      <v>63</v>
    </nc>
  </rcc>
  <rcc rId="32" sId="4">
    <nc r="H22">
      <v>14020</v>
    </nc>
  </rcc>
  <rcc rId="33" sId="4">
    <nc r="L22">
      <v>144</v>
    </nc>
  </rcc>
  <rcc rId="34" sId="4">
    <nc r="N22">
      <v>53852</v>
    </nc>
  </rcc>
  <rcc rId="35" sId="4" numFmtId="4">
    <nc r="O22">
      <v>1550</v>
    </nc>
  </rcc>
  <rcc rId="36" sId="4">
    <nc r="P22">
      <v>4150</v>
    </nc>
  </rcc>
  <rcc rId="37" sId="4">
    <nc r="R22" t="inlineStr">
      <is>
        <t xml:space="preserve">عقيد احمد 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" sId="4">
    <nc r="K19">
      <v>1496</v>
    </nc>
  </rcc>
  <rcc rId="526" sId="4">
    <nc r="H19">
      <v>8133</v>
    </nc>
  </rcc>
  <rcc rId="527" sId="4" numFmtId="4">
    <nc r="O19">
      <v>820</v>
    </nc>
  </rcc>
  <rcc rId="528" sId="4">
    <nc r="I19">
      <v>20</v>
    </nc>
  </rcc>
  <rcc rId="529" sId="4">
    <nc r="F19">
      <v>37</v>
    </nc>
  </rcc>
  <rcc rId="530" sId="4">
    <nc r="R19" t="inlineStr">
      <is>
        <t>عقيد / طارق ثروت \</t>
      </is>
    </nc>
  </rcc>
  <rcc rId="531" sId="4">
    <oc r="R20" t="inlineStr">
      <is>
        <t>محاسب احمد</t>
      </is>
    </oc>
    <nc r="R20"/>
  </rcc>
  <rcc rId="532" sId="4">
    <nc r="H27">
      <v>9356</v>
    </nc>
  </rcc>
  <rcc rId="533" sId="4">
    <nc r="K27">
      <v>2054</v>
    </nc>
  </rcc>
  <rcc rId="534" sId="4" numFmtId="4">
    <nc r="O27">
      <v>2085</v>
    </nc>
  </rcc>
  <rcc rId="535" sId="4">
    <nc r="F27">
      <v>107</v>
    </nc>
  </rcc>
  <rcc rId="536" sId="4">
    <nc r="I27">
      <v>38</v>
    </nc>
  </rcc>
  <rcc rId="537" sId="4">
    <nc r="R27" t="inlineStr">
      <is>
        <t>نقيب / حفناوي</t>
      </is>
    </nc>
  </rcc>
  <rcc rId="538" sId="1">
    <oc r="I5" t="inlineStr">
      <is>
        <t>التمام الصباحي الإثنين الموافق  1 / 9 / 2019</t>
      </is>
    </oc>
    <nc r="I5" t="inlineStr">
      <is>
        <t>التمام الصباحي الخميس الموافق  26 / 9 / 2019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" sId="4">
    <nc r="K13">
      <v>11400</v>
    </nc>
  </rcc>
  <rcc rId="540" sId="4">
    <nc r="H13">
      <v>38200</v>
    </nc>
  </rcc>
  <rcc rId="541" sId="4">
    <nc r="N13">
      <v>39600</v>
    </nc>
  </rcc>
  <rcc rId="542" sId="4">
    <nc r="I13">
      <v>25</v>
    </nc>
  </rcc>
  <rcc rId="543" sId="4">
    <nc r="F13">
      <v>140</v>
    </nc>
  </rcc>
  <rcc rId="544" sId="4">
    <nc r="L13">
      <v>110</v>
    </nc>
  </rcc>
  <rcc rId="545" sId="4">
    <nc r="R13" t="inlineStr">
      <is>
        <t xml:space="preserve">محاسب / محمد </t>
      </is>
    </nc>
  </rcc>
  <rcc rId="546" sId="4">
    <nc r="K25">
      <v>1261</v>
    </nc>
  </rcc>
  <rcc rId="547" sId="4">
    <nc r="H25">
      <v>8020</v>
    </nc>
  </rcc>
  <rcc rId="548" sId="4">
    <nc r="N25">
      <v>24170</v>
    </nc>
  </rcc>
  <rcc rId="549" sId="4">
    <nc r="I25">
      <v>18</v>
    </nc>
  </rcc>
  <rcc rId="550" sId="4">
    <nc r="F25">
      <v>67</v>
    </nc>
  </rcc>
  <rcc rId="551" sId="4">
    <nc r="L25">
      <v>146</v>
    </nc>
  </rcc>
  <rcc rId="552" sId="4">
    <nc r="P25">
      <v>1895</v>
    </nc>
  </rcc>
  <rcc rId="553" sId="4" numFmtId="4">
    <nc r="O25">
      <v>1065</v>
    </nc>
  </rcc>
  <rcc rId="554" sId="4">
    <nc r="R25" t="inlineStr">
      <is>
        <t xml:space="preserve">عميد / محمد الخطيب </t>
      </is>
    </nc>
  </rcc>
  <rcc rId="555" sId="4">
    <nc r="E11">
      <v>5452</v>
    </nc>
  </rcc>
  <rcc rId="556" sId="4">
    <nc r="H11">
      <v>17543</v>
    </nc>
  </rcc>
  <rcc rId="557" sId="4">
    <nc r="N11">
      <v>17280</v>
    </nc>
  </rcc>
  <rcc rId="558" sId="4" numFmtId="4">
    <nc r="O11">
      <v>2780</v>
    </nc>
  </rcc>
  <rcc rId="559" sId="4">
    <nc r="C11">
      <v>9</v>
    </nc>
  </rcc>
  <rcc rId="560" sId="4">
    <nc r="F11">
      <v>81</v>
    </nc>
  </rcc>
  <rcc rId="561" sId="4">
    <nc r="L11">
      <v>156</v>
    </nc>
  </rcc>
  <rcc rId="562" sId="4">
    <nc r="R11" t="inlineStr">
      <is>
        <t xml:space="preserve">عميد /اشرف </t>
      </is>
    </nc>
  </rcc>
  <rcc rId="563" sId="4">
    <nc r="E26">
      <v>4209</v>
    </nc>
  </rcc>
  <rcc rId="564" sId="4">
    <nc r="H26">
      <v>8170</v>
    </nc>
  </rcc>
  <rcc rId="565" sId="4">
    <nc r="K26">
      <v>1707</v>
    </nc>
  </rcc>
  <rcc rId="566" sId="4">
    <nc r="N26">
      <v>14635</v>
    </nc>
  </rcc>
  <rcc rId="567" sId="4" numFmtId="4">
    <nc r="O26">
      <v>1050</v>
    </nc>
  </rcc>
  <rcc rId="568" sId="4">
    <nc r="P26">
      <v>175</v>
    </nc>
  </rcc>
  <rcc rId="569" sId="4">
    <nc r="L26">
      <v>175</v>
    </nc>
  </rcc>
  <rcc rId="570" sId="4">
    <nc r="I26">
      <v>42</v>
    </nc>
  </rcc>
  <rcc rId="571" sId="4">
    <nc r="F26">
      <v>38</v>
    </nc>
  </rcc>
  <rcc rId="572" sId="4">
    <nc r="C26">
      <v>79</v>
    </nc>
  </rcc>
  <rcc rId="573" sId="4">
    <nc r="R26" t="inlineStr">
      <is>
        <t xml:space="preserve">عميد / احمد </t>
      </is>
    </nc>
  </rcc>
  <rcc rId="574" sId="4">
    <nc r="H29">
      <v>31591</v>
    </nc>
  </rcc>
  <rcc rId="575" sId="4">
    <nc r="K29">
      <v>10817</v>
    </nc>
  </rcc>
  <rcc rId="576" sId="4" numFmtId="4">
    <nc r="O29">
      <v>3500</v>
    </nc>
  </rcc>
  <rcc rId="577" sId="4">
    <nc r="F29">
      <v>145</v>
    </nc>
  </rcc>
  <rcc rId="578" sId="4">
    <nc r="I29">
      <v>48</v>
    </nc>
  </rcc>
  <rcc rId="579" sId="4">
    <nc r="R29" t="inlineStr">
      <is>
        <t xml:space="preserve">ضابط / ابراهيم </t>
      </is>
    </nc>
  </rcc>
  <rcc rId="580" sId="4">
    <nc r="H6">
      <v>30485</v>
    </nc>
  </rcc>
  <rcc rId="581" sId="4">
    <nc r="K6">
      <v>9588</v>
    </nc>
  </rcc>
  <rcc rId="582" sId="4" numFmtId="4">
    <nc r="O6">
      <v>2570</v>
    </nc>
  </rcc>
  <rcc rId="583" sId="4">
    <nc r="F6">
      <v>52</v>
    </nc>
  </rcc>
  <rcc rId="584" sId="4">
    <nc r="I6">
      <v>15</v>
    </nc>
  </rcc>
  <rcc rId="585" sId="4">
    <nc r="R6" t="inlineStr">
      <is>
        <t xml:space="preserve">مصطفي المحاسب 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6" sId="4">
    <nc r="E7">
      <v>43018</v>
    </nc>
  </rcc>
  <rcc rId="587" sId="4">
    <nc r="H7">
      <v>20340</v>
    </nc>
  </rcc>
  <rcc rId="588" sId="4">
    <nc r="K7">
      <v>4035</v>
    </nc>
  </rcc>
  <rcc rId="589" sId="4" numFmtId="4">
    <nc r="O7">
      <v>3780</v>
    </nc>
  </rcc>
  <rcc rId="590" sId="4">
    <nc r="C7">
      <v>45</v>
    </nc>
  </rcc>
  <rcc rId="591" sId="4">
    <nc r="F7">
      <v>24</v>
    </nc>
  </rcc>
  <rcc rId="592" sId="4">
    <nc r="I7">
      <v>33</v>
    </nc>
  </rcc>
  <rcc rId="593" sId="4">
    <nc r="R7" t="inlineStr">
      <is>
        <t xml:space="preserve">عميد سعد 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4" sId="4">
    <nc r="H31">
      <v>62242</v>
    </nc>
  </rcc>
  <rcc rId="595" sId="4">
    <nc r="K31">
      <v>15603</v>
    </nc>
  </rcc>
  <rcc rId="596" sId="4" numFmtId="4">
    <nc r="O31">
      <v>6400</v>
    </nc>
  </rcc>
  <rcc rId="597" sId="4">
    <nc r="F31">
      <v>130</v>
    </nc>
  </rcc>
  <rcc rId="598" sId="4">
    <nc r="I31">
      <v>45</v>
    </nc>
  </rcc>
  <rcc rId="599" sId="4">
    <nc r="R31" t="inlineStr">
      <is>
        <t>محاسب / ماركو</t>
      </is>
    </nc>
  </rcc>
  <rcc rId="600" sId="4">
    <nc r="H12">
      <v>32691</v>
    </nc>
  </rcc>
  <rcc rId="601" sId="4">
    <nc r="K12">
      <v>10539</v>
    </nc>
  </rcc>
  <rcc rId="602" sId="4" numFmtId="4">
    <nc r="O12">
      <v>3000</v>
    </nc>
  </rcc>
  <rcc rId="603" sId="4">
    <nc r="F12">
      <v>129</v>
    </nc>
  </rcc>
  <rcc rId="604" sId="4">
    <nc r="R12" t="inlineStr">
      <is>
        <t>رائد / محمد</t>
      </is>
    </nc>
  </rcc>
  <rcc rId="605" sId="4">
    <nc r="I12">
      <v>44</v>
    </nc>
  </rcc>
  <rcc rId="606" sId="4">
    <nc r="R22" t="inlineStr">
      <is>
        <t xml:space="preserve">جندي صبحي </t>
      </is>
    </nc>
  </rcc>
  <rcc rId="607" sId="4">
    <nc r="H22">
      <v>14165</v>
    </nc>
  </rcc>
  <rcc rId="608" sId="4">
    <nc r="F22">
      <v>76</v>
    </nc>
  </rcc>
  <rcc rId="609" sId="4">
    <nc r="K22">
      <v>2237</v>
    </nc>
  </rcc>
  <rcc rId="610" sId="4">
    <nc r="I22">
      <v>20</v>
    </nc>
  </rcc>
  <rcc rId="611" sId="4">
    <nc r="N22">
      <v>54522</v>
    </nc>
  </rcc>
  <rcc rId="612" sId="4">
    <nc r="L22">
      <v>159</v>
    </nc>
  </rcc>
  <rcc rId="613" sId="4" numFmtId="4">
    <nc r="O22">
      <v>1530</v>
    </nc>
  </rcc>
  <rcc rId="614" sId="4">
    <nc r="P22">
      <v>4100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4">
    <nc r="E10">
      <v>2721</v>
    </nc>
  </rcc>
  <rcc rId="616" sId="4">
    <nc r="H10">
      <v>21980</v>
    </nc>
  </rcc>
  <rcc rId="617" sId="4">
    <nc r="N10">
      <v>6595</v>
    </nc>
  </rcc>
  <rcc rId="618" sId="4" numFmtId="4">
    <nc r="O10">
      <v>1401</v>
    </nc>
  </rcc>
  <rcc rId="619" sId="4">
    <nc r="C10">
      <v>22</v>
    </nc>
  </rcc>
  <rcc rId="620" sId="4">
    <nc r="F10">
      <v>64</v>
    </nc>
  </rcc>
  <rcc rId="621" sId="4">
    <nc r="L10">
      <v>168</v>
    </nc>
  </rcc>
  <rcc rId="622" sId="4" numFmtId="4">
    <oc r="Q10">
      <f>P10+O10</f>
    </oc>
    <nc r="Q10">
      <v>2401</v>
    </nc>
  </rcc>
  <rcc rId="623" sId="4">
    <nc r="R10" t="inlineStr">
      <is>
        <t>عقيد / فتحي</t>
      </is>
    </nc>
  </rcc>
  <rcc rId="624" sId="4">
    <nc r="H21">
      <v>1383</v>
    </nc>
  </rcc>
  <rcc rId="625" sId="4">
    <nc r="N21">
      <v>5826</v>
    </nc>
  </rcc>
  <rcc rId="626" sId="4" numFmtId="4">
    <nc r="O21">
      <v>450</v>
    </nc>
  </rcc>
  <rcc rId="627" sId="4">
    <nc r="F21">
      <v>55</v>
    </nc>
  </rcc>
  <rcc rId="628" sId="4">
    <nc r="L21">
      <v>95</v>
    </nc>
  </rcc>
  <rcc rId="629" sId="4">
    <nc r="R21" t="inlineStr">
      <is>
        <t xml:space="preserve">عقيد علاء 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4">
    <nc r="H14">
      <v>7085</v>
    </nc>
  </rcc>
  <rcc rId="631" sId="4">
    <nc r="K14">
      <v>3745</v>
    </nc>
  </rcc>
  <rcc rId="632" sId="4">
    <nc r="N14">
      <v>67446</v>
    </nc>
  </rcc>
  <rcc rId="633" sId="4" numFmtId="4">
    <nc r="O14">
      <v>8372</v>
    </nc>
  </rcc>
  <rcc rId="634" sId="4">
    <nc r="I14">
      <v>12</v>
    </nc>
  </rcc>
  <rcc rId="635" sId="4">
    <nc r="F14">
      <v>78</v>
    </nc>
  </rcc>
  <rcc rId="636" sId="4">
    <nc r="L14">
      <v>100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4">
    <nc r="R14" t="inlineStr">
      <is>
        <t xml:space="preserve">جندي حاتم 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4">
    <nc r="R20" t="inlineStr">
      <is>
        <t xml:space="preserve">محاسب احمد 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6">
    <oc r="B6" t="inlineStr">
      <is>
        <t xml:space="preserve">معدل البيع اليومى لمحطات وقود شل اوت التي يديرها الوكلاء (المتحدة  - ماستر اكسبريس - اينوتك) 2019/9/22 </t>
      </is>
    </oc>
    <nc r="B6" t="inlineStr">
      <is>
        <t xml:space="preserve">معدل البيع اليومى لمحطات وقود شل اوت التي يديرها الوكلاء (المتحدة  - ماستر اكسبريس - اينوتك) 2019/9/25 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4">
    <nc r="K24">
      <v>1483</v>
    </nc>
  </rcc>
  <rcc rId="641" sId="4">
    <nc r="H24">
      <v>10893</v>
    </nc>
  </rcc>
  <rcc rId="642" sId="4">
    <nc r="N24">
      <v>29551</v>
    </nc>
  </rcc>
  <rcc rId="643" sId="4" numFmtId="4">
    <nc r="O24">
      <v>1005</v>
    </nc>
  </rcc>
  <rcc rId="644" sId="4">
    <nc r="P24">
      <v>2125</v>
    </nc>
  </rcc>
  <rcc rId="645" sId="4">
    <nc r="I24">
      <v>27</v>
    </nc>
  </rcc>
  <rcc rId="646" sId="4">
    <nc r="F24">
      <v>80</v>
    </nc>
  </rcc>
  <rcc rId="647" sId="4">
    <nc r="L24">
      <v>160</v>
    </nc>
  </rcc>
  <rcc rId="648" sId="4">
    <nc r="R24" t="inlineStr">
      <is>
        <t xml:space="preserve">عقيد / محمد فاروق 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4">
    <nc r="H30">
      <v>37039</v>
    </nc>
  </rcc>
  <rcc rId="39" sId="4">
    <nc r="K30">
      <v>9840</v>
    </nc>
  </rcc>
  <rcc rId="40" sId="4">
    <nc r="F30">
      <v>150</v>
    </nc>
  </rcc>
  <rcc rId="41" sId="4">
    <nc r="I30">
      <v>78</v>
    </nc>
  </rcc>
  <rcc rId="42" sId="4">
    <nc r="R30" t="inlineStr">
      <is>
        <t xml:space="preserve">النقيب صلاح 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" sId="4">
    <nc r="J9">
      <v>17</v>
    </nc>
  </rcc>
  <rcc rId="650" sId="4">
    <nc r="G22">
      <v>34</v>
    </nc>
  </rcc>
  <rcc rId="651" sId="4">
    <nc r="G11">
      <v>34</v>
    </nc>
  </rcc>
  <rcc rId="652" sId="4">
    <nc r="M11">
      <v>17</v>
    </nc>
  </rcc>
  <rcc rId="653" sId="4">
    <nc r="G24">
      <v>34</v>
    </nc>
  </rcc>
  <rcc rId="654" sId="4">
    <nc r="J24">
      <v>17</v>
    </nc>
  </rcc>
  <rcc rId="655" sId="4">
    <nc r="M24">
      <v>17</v>
    </nc>
  </rcc>
  <rcc rId="656" sId="4">
    <nc r="M25">
      <v>34</v>
    </nc>
  </rcc>
  <rcc rId="657" sId="4">
    <nc r="G13">
      <v>34</v>
    </nc>
  </rcc>
  <rcc rId="658" sId="4">
    <nc r="J13">
      <v>17</v>
    </nc>
  </rcc>
  <rcc rId="659" sId="4">
    <nc r="G6">
      <v>34</v>
    </nc>
  </rcc>
  <rcc rId="660" sId="4">
    <nc r="J6">
      <v>17</v>
    </nc>
  </rcc>
  <rcc rId="661" sId="4">
    <nc r="M22">
      <v>17</v>
    </nc>
  </rcc>
  <rcc rId="662" sId="4">
    <nc r="J23">
      <v>17</v>
    </nc>
  </rcc>
  <rcc rId="663" sId="4">
    <nc r="G23">
      <v>34</v>
    </nc>
  </rcc>
  <rcc rId="664" sId="4">
    <nc r="G12">
      <v>51</v>
    </nc>
  </rcc>
  <rcc rId="665" sId="4">
    <nc r="M23">
      <v>51</v>
    </nc>
  </rcc>
  <rcc rId="666" sId="4">
    <nc r="G30">
      <v>51</v>
    </nc>
  </rcc>
  <rcc rId="667" sId="4">
    <nc r="G28">
      <v>51</v>
    </nc>
  </rcc>
  <rcc rId="668" sId="4">
    <nc r="G9">
      <v>68</v>
    </nc>
  </rcc>
  <rcc rId="669" sId="4">
    <nc r="G7">
      <v>17</v>
    </nc>
  </rcc>
  <rcc rId="670" sId="4">
    <nc r="D7">
      <v>68</v>
    </nc>
  </rcc>
  <rcc rId="671" sId="4">
    <nc r="J7">
      <v>17</v>
    </nc>
  </rcc>
  <rcc rId="672" sId="4">
    <nc r="G8">
      <v>17</v>
    </nc>
  </rcc>
  <rcc rId="673" sId="4">
    <nc r="G31">
      <v>51</v>
    </nc>
  </rcc>
  <rcc rId="674" sId="4">
    <nc r="J14">
      <v>17</v>
    </nc>
  </rcc>
  <rcc rId="675" sId="4">
    <nc r="M14">
      <v>85</v>
    </nc>
  </rcc>
  <rcc rId="676" sId="4">
    <nc r="D11">
      <v>17</v>
    </nc>
  </rcc>
  <rcc rId="677" sId="4">
    <nc r="G10">
      <v>34</v>
    </nc>
  </rcc>
  <rcc rId="678" sId="7">
    <nc r="D10">
      <v>17</v>
    </nc>
  </rcc>
  <rcc rId="679" sId="7">
    <nc r="E40">
      <v>34</v>
    </nc>
  </rcc>
  <rcc rId="680" sId="7">
    <nc r="E42">
      <v>34</v>
    </nc>
  </rcc>
  <rcc rId="681" sId="7">
    <nc r="F42">
      <v>17</v>
    </nc>
  </rcc>
  <rcc rId="682" sId="7">
    <nc r="H8">
      <v>17</v>
    </nc>
  </rcc>
  <rcc rId="683" sId="7">
    <nc r="G8">
      <v>68</v>
    </nc>
  </rcc>
  <rcc rId="684" sId="7">
    <nc r="I8">
      <v>17</v>
    </nc>
  </rcc>
  <rcc rId="685" sId="7">
    <nc r="H7">
      <v>34</v>
    </nc>
  </rcc>
  <rcc rId="686" sId="7">
    <nc r="I7">
      <v>17</v>
    </nc>
  </rcc>
  <rcc rId="687" sId="7">
    <nc r="G40">
      <v>17</v>
    </nc>
  </rcc>
  <rcc rId="688" sId="7">
    <nc r="F41">
      <v>17</v>
    </nc>
  </rcc>
  <rcc rId="689" sId="7">
    <nc r="E41">
      <v>34</v>
    </nc>
  </rcc>
  <rcc rId="690" sId="7">
    <nc r="T5">
      <v>85</v>
    </nc>
  </rcc>
  <rcc rId="691" sId="7">
    <nc r="I28">
      <v>34</v>
    </nc>
  </rcc>
  <rcc rId="692" sId="7">
    <nc r="F28">
      <v>17</v>
    </nc>
  </rcc>
  <rcc rId="693" sId="7">
    <nc r="C15">
      <v>51</v>
    </nc>
  </rcc>
  <rcc rId="694" sId="7">
    <nc r="C16">
      <v>51</v>
    </nc>
  </rcc>
  <rcc rId="695" sId="7">
    <nc r="C17">
      <v>51</v>
    </nc>
  </rcc>
  <rcc rId="696" sId="7">
    <nc r="C10">
      <v>68</v>
    </nc>
  </rcc>
  <rcc rId="697" sId="7">
    <nc r="C9">
      <v>17</v>
    </nc>
  </rcc>
  <rcc rId="698" sId="7">
    <nc r="H11">
      <v>34</v>
    </nc>
  </rcc>
  <rcc rId="699" sId="7">
    <nc r="G12">
      <v>17</v>
    </nc>
  </rcc>
  <rcc rId="700" sId="7">
    <nc r="D41">
      <v>51</v>
    </nc>
  </rcc>
  <rcc rId="701" sId="7">
    <nc r="D43">
      <v>34</v>
    </nc>
  </rcc>
  <rcc rId="702" sId="7">
    <nc r="D42">
      <v>17</v>
    </nc>
  </rcc>
  <rcc rId="703" sId="7">
    <nc r="S5">
      <v>17</v>
    </nc>
  </rcc>
  <rcc rId="704" sId="4">
    <nc r="G19">
      <v>51</v>
    </nc>
  </rcc>
  <rcc rId="705" sId="7">
    <nc r="D29">
      <v>51</v>
    </nc>
  </rcc>
  <rcc rId="706" sId="4">
    <nc r="G18">
      <v>17</v>
    </nc>
  </rcc>
  <rcc rId="707" sId="4">
    <nc r="M18">
      <v>34</v>
    </nc>
  </rcc>
  <rcc rId="708" sId="7">
    <nc r="C12">
      <v>34</v>
    </nc>
  </rcc>
  <rcc rId="709" sId="7">
    <nc r="E12">
      <v>17</v>
    </nc>
  </rcc>
  <rcc rId="710" sId="7">
    <nc r="C13">
      <v>51</v>
    </nc>
  </rcc>
  <rcc rId="711" sId="7">
    <nc r="C14">
      <v>34</v>
    </nc>
  </rcc>
  <rcc rId="712" sId="7">
    <nc r="D14">
      <v>17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" sId="7">
    <nc r="C18">
      <v>51</v>
    </nc>
  </rcc>
  <rcc rId="714" sId="7">
    <oc r="C13">
      <v>51</v>
    </oc>
    <nc r="C13">
      <v>85</v>
    </nc>
  </rcc>
  <rcc rId="715" sId="7">
    <nc r="D13">
      <v>17</v>
    </nc>
  </rcc>
  <rcc rId="716" sId="4">
    <nc r="G29">
      <v>51</v>
    </nc>
  </rcc>
  <rcc rId="717" sId="4">
    <oc r="G12">
      <v>51</v>
    </oc>
    <nc r="G12">
      <v>85</v>
    </nc>
  </rcc>
  <rcc rId="718" sId="4">
    <nc r="J12">
      <v>17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720" sId="3">
    <oc r="D11">
      <f>'التمام الصباحي'!F39*1000</f>
    </oc>
    <nc r="D11">
      <f>'التمام الصباحي'!F39*1000</f>
    </nc>
  </rcc>
  <rcc rId="721" sId="3">
    <oc r="E11">
      <f>D11/C11</f>
    </oc>
    <nc r="E11">
      <f>D11/C11</f>
    </nc>
  </rcc>
  <rcc rId="722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723" sId="3">
    <oc r="G11">
      <f>'التمام الصباحي'!L39*1000</f>
    </oc>
    <nc r="G11">
      <f>'التمام الصباحي'!L39*1000</f>
    </nc>
  </rcc>
  <rcc rId="724" sId="3">
    <oc r="H11">
      <f>G11/F11</f>
    </oc>
    <nc r="H11">
      <f>G11/F11</f>
    </nc>
  </rcc>
  <rcc rId="725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726" sId="3">
    <oc r="J11">
      <f>'التمام الصباحي'!R39*1000</f>
    </oc>
    <nc r="J11">
      <f>'التمام الصباحي'!R39*1000</f>
    </nc>
  </rcc>
  <rcc rId="727" sId="3">
    <oc r="K11">
      <f>J11/I11</f>
    </oc>
    <nc r="K11">
      <f>J11/I11</f>
    </nc>
  </rcc>
  <rcc rId="728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729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730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731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732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733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734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735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736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737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738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739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740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741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742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743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744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745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746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747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748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749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750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751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752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753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754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755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756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757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758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759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  <rcc rId="760" sId="7">
    <oc r="C13">
      <v>85</v>
    </oc>
    <nc r="C13">
      <v>51</v>
    </nc>
  </rcc>
  <rcc rId="761" sId="7">
    <oc r="D13">
      <v>17</v>
    </oc>
    <nc r="D13"/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" sId="4">
    <oc r="G12">
      <v>85</v>
    </oc>
    <nc r="G12">
      <v>51</v>
    </nc>
  </rcc>
  <rcc rId="763" sId="4">
    <oc r="J12">
      <v>17</v>
    </oc>
    <nc r="J12"/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765" sId="3">
    <oc r="D11">
      <f>'التمام الصباحي'!F39*1000</f>
    </oc>
    <nc r="D11">
      <f>'التمام الصباحي'!F39*1000</f>
    </nc>
  </rcc>
  <rcc rId="766" sId="3">
    <oc r="E11">
      <f>D11/C11</f>
    </oc>
    <nc r="E11">
      <f>D11/C11</f>
    </nc>
  </rcc>
  <rcc rId="767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768" sId="3">
    <oc r="G11">
      <f>'التمام الصباحي'!L39*1000</f>
    </oc>
    <nc r="G11">
      <f>'التمام الصباحي'!L39*1000</f>
    </nc>
  </rcc>
  <rcc rId="769" sId="3">
    <oc r="H11">
      <f>G11/F11</f>
    </oc>
    <nc r="H11">
      <f>G11/F11</f>
    </nc>
  </rcc>
  <rcc rId="770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771" sId="3">
    <oc r="J11">
      <f>'التمام الصباحي'!R39*1000</f>
    </oc>
    <nc r="J11">
      <f>'التمام الصباحي'!R39*1000</f>
    </nc>
  </rcc>
  <rcc rId="772" sId="3">
    <oc r="K11">
      <f>J11/I11</f>
    </oc>
    <nc r="K11">
      <f>J11/I11</f>
    </nc>
  </rcc>
  <rcc rId="773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774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775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776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777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778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779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780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781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782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783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784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785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786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787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788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789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790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791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792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793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794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795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796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797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798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799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800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801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802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803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804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4">
    <oc r="D7">
      <v>68</v>
    </oc>
    <nc r="D7">
      <v>34</v>
    </nc>
  </rcc>
  <rcc rId="806" sId="4">
    <oc r="J7">
      <v>17</v>
    </oc>
    <nc r="J7"/>
  </rcc>
  <rcc rId="807" sId="4">
    <nc r="J32">
      <v>17</v>
    </nc>
  </rcc>
  <rcc rId="808" sId="4">
    <nc r="D32">
      <v>34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4">
    <nc r="H5">
      <v>21483</v>
    </nc>
  </rcc>
  <rcc rId="44" sId="4">
    <nc r="K5">
      <v>5759</v>
    </nc>
  </rcc>
  <rcc rId="45" sId="4" numFmtId="4">
    <nc r="O5">
      <v>1800</v>
    </nc>
  </rcc>
  <rcc rId="46" sId="4">
    <nc r="F5">
      <v>75</v>
    </nc>
  </rcc>
  <rcc rId="47" sId="4">
    <nc r="I5">
      <v>24</v>
    </nc>
  </rcc>
  <rcc rId="48" sId="4">
    <nc r="R5" t="inlineStr">
      <is>
        <t xml:space="preserve">المقدم محمد 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4">
    <nc r="K13">
      <v>11900</v>
    </nc>
  </rcc>
  <rcc rId="50" sId="4">
    <nc r="H13">
      <v>41500</v>
    </nc>
  </rcc>
  <rcc rId="51" sId="4">
    <nc r="N13">
      <v>38500</v>
    </nc>
  </rcc>
  <rcc rId="52" sId="4">
    <nc r="F13">
      <v>170</v>
    </nc>
  </rcc>
  <rcc rId="53" sId="4">
    <nc r="I13">
      <v>42</v>
    </nc>
  </rcc>
  <rcc rId="54" sId="4">
    <nc r="L13">
      <v>65</v>
    </nc>
  </rcc>
  <rcc rId="55" sId="4">
    <nc r="R13" t="inlineStr">
      <is>
        <t xml:space="preserve">محاسب محمد 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4">
    <nc r="H20">
      <v>815</v>
    </nc>
  </rcc>
  <rcc rId="57" sId="4">
    <nc r="E20">
      <v>551</v>
    </nc>
  </rcc>
  <rcc rId="58" sId="4">
    <nc r="N20">
      <v>4996</v>
    </nc>
  </rcc>
  <rcc rId="59" sId="4" numFmtId="4">
    <nc r="O20">
      <v>112</v>
    </nc>
  </rcc>
  <rcc rId="60" sId="4">
    <nc r="P20">
      <v>388</v>
    </nc>
  </rcc>
  <rcc rId="61" sId="4">
    <nc r="F20">
      <v>57</v>
    </nc>
  </rcc>
  <rcc rId="62" sId="4">
    <nc r="C20">
      <v>14</v>
    </nc>
  </rcc>
  <rcc rId="63" sId="4">
    <nc r="L20">
      <v>95</v>
    </nc>
  </rcc>
  <rcc rId="64" sId="4">
    <nc r="R20" t="inlineStr">
      <is>
        <t xml:space="preserve">جندي عبدالله 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4">
    <nc r="E11">
      <v>5472</v>
    </nc>
  </rcc>
  <rcc rId="66" sId="4">
    <nc r="H11">
      <v>14198</v>
    </nc>
  </rcc>
  <rcc rId="67" sId="4">
    <nc r="N11">
      <v>18303</v>
    </nc>
  </rcc>
  <rcc rId="68" sId="4">
    <nc r="C11">
      <v>10</v>
    </nc>
  </rcc>
  <rcc rId="69" sId="4">
    <nc r="F11">
      <v>81</v>
    </nc>
  </rcc>
  <rcc rId="70" sId="4">
    <nc r="L11">
      <v>167</v>
    </nc>
  </rcc>
  <rcc rId="71" sId="4" numFmtId="4">
    <nc r="O11">
      <v>2500</v>
    </nc>
  </rcc>
  <rcc rId="72" sId="4">
    <nc r="R11" t="inlineStr">
      <is>
        <t>عميد هشام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T38" sqref="T38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0" t="s">
        <v>0</v>
      </c>
      <c r="B1" s="390"/>
      <c r="C1" s="390"/>
      <c r="D1" s="390"/>
      <c r="E1" s="390"/>
      <c r="X1" s="386"/>
      <c r="Y1" s="386"/>
    </row>
    <row r="2" spans="1:26" ht="15.75" x14ac:dyDescent="0.25">
      <c r="A2" s="390" t="s">
        <v>1</v>
      </c>
      <c r="B2" s="390"/>
      <c r="C2" s="390"/>
      <c r="D2" s="390"/>
      <c r="E2" s="390"/>
    </row>
    <row r="3" spans="1:26" ht="15.75" x14ac:dyDescent="0.25">
      <c r="A3" s="390" t="s">
        <v>2</v>
      </c>
      <c r="B3" s="390"/>
      <c r="C3" s="390"/>
      <c r="D3" s="390"/>
      <c r="E3" s="390"/>
    </row>
    <row r="5" spans="1:26" ht="18.75" thickBot="1" x14ac:dyDescent="0.3">
      <c r="G5" s="199"/>
      <c r="I5" s="389" t="s">
        <v>229</v>
      </c>
      <c r="J5" s="389"/>
      <c r="K5" s="389"/>
      <c r="L5" s="389"/>
      <c r="M5" s="389"/>
      <c r="N5" s="389"/>
      <c r="V5" s="200" t="s">
        <v>41</v>
      </c>
    </row>
    <row r="6" spans="1:26" ht="20.100000000000001" customHeight="1" thickBot="1" x14ac:dyDescent="0.25">
      <c r="A6" s="388" t="s">
        <v>14</v>
      </c>
      <c r="B6" s="388" t="s">
        <v>3</v>
      </c>
      <c r="C6" s="388" t="s">
        <v>4</v>
      </c>
      <c r="D6" s="388" t="s">
        <v>5</v>
      </c>
      <c r="E6" s="388"/>
      <c r="F6" s="388"/>
      <c r="G6" s="388"/>
      <c r="H6" s="388"/>
      <c r="I6" s="388" t="s">
        <v>4</v>
      </c>
      <c r="J6" s="388" t="s">
        <v>11</v>
      </c>
      <c r="K6" s="388"/>
      <c r="L6" s="388"/>
      <c r="M6" s="388"/>
      <c r="N6" s="388"/>
      <c r="O6" s="388" t="s">
        <v>4</v>
      </c>
      <c r="P6" s="388" t="s">
        <v>12</v>
      </c>
      <c r="Q6" s="388"/>
      <c r="R6" s="388"/>
      <c r="S6" s="388"/>
      <c r="T6" s="388"/>
      <c r="U6" s="388" t="s">
        <v>4</v>
      </c>
      <c r="V6" s="388" t="s">
        <v>13</v>
      </c>
      <c r="W6" s="388"/>
      <c r="X6" s="388"/>
      <c r="Y6" s="388"/>
      <c r="Z6" s="388"/>
    </row>
    <row r="7" spans="1:26" ht="20.100000000000001" customHeight="1" thickBot="1" x14ac:dyDescent="0.25">
      <c r="A7" s="388"/>
      <c r="B7" s="388"/>
      <c r="C7" s="388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88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88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88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78</v>
      </c>
      <c r="K8" s="221">
        <f>I8-J8</f>
        <v>12</v>
      </c>
      <c r="L8" s="335">
        <f>'أخذ التمام الصباحي'!G5</f>
        <v>0</v>
      </c>
      <c r="M8" s="335">
        <v>25</v>
      </c>
      <c r="N8" s="203">
        <f>J8/M8</f>
        <v>3.12</v>
      </c>
      <c r="O8" s="336">
        <v>30</v>
      </c>
      <c r="P8" s="335">
        <f>'أخذ التمام الصباحي'!I5</f>
        <v>22</v>
      </c>
      <c r="Q8" s="221">
        <f>O8-P8</f>
        <v>8</v>
      </c>
      <c r="R8" s="335">
        <f>'أخذ التمام الصباحي'!J5</f>
        <v>0</v>
      </c>
      <c r="S8" s="335">
        <v>8</v>
      </c>
      <c r="T8" s="203">
        <f>P8/S8</f>
        <v>2.75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52</v>
      </c>
      <c r="K9" s="221">
        <f>I9-J9</f>
        <v>38</v>
      </c>
      <c r="L9" s="355">
        <f>'أخذ التمام الصباحي'!G6</f>
        <v>34</v>
      </c>
      <c r="M9" s="335">
        <v>29</v>
      </c>
      <c r="N9" s="203">
        <f>J9/M9</f>
        <v>1.7931034482758621</v>
      </c>
      <c r="O9" s="336">
        <v>30</v>
      </c>
      <c r="P9" s="338">
        <f>'أخذ التمام الصباحي'!I6</f>
        <v>15</v>
      </c>
      <c r="Q9" s="221">
        <f>O9-P9</f>
        <v>15</v>
      </c>
      <c r="R9" s="338">
        <f>'أخذ التمام الصباحي'!J6</f>
        <v>17</v>
      </c>
      <c r="S9" s="335">
        <v>9</v>
      </c>
      <c r="T9" s="203">
        <f>P9/S9</f>
        <v>1.6666666666666667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45</v>
      </c>
      <c r="E10" s="221">
        <f t="shared" ref="E10:E23" si="0">C10-D10</f>
        <v>45</v>
      </c>
      <c r="F10" s="335">
        <f>'أخذ التمام الصباحي'!D7</f>
        <v>34</v>
      </c>
      <c r="G10" s="335">
        <v>36</v>
      </c>
      <c r="H10" s="204">
        <f t="shared" ref="H10:H23" si="1">D10/G10</f>
        <v>1.25</v>
      </c>
      <c r="I10" s="336">
        <v>45</v>
      </c>
      <c r="J10" s="338">
        <f>'أخذ التمام الصباحي'!F7</f>
        <v>24</v>
      </c>
      <c r="K10" s="221">
        <f t="shared" ref="K10:K34" si="2">I10-J10</f>
        <v>21</v>
      </c>
      <c r="L10" s="355">
        <f>'أخذ التمام الصباحي'!G7</f>
        <v>17</v>
      </c>
      <c r="M10" s="335">
        <v>24</v>
      </c>
      <c r="N10" s="203">
        <f t="shared" ref="N10:N34" si="3">J10/M10</f>
        <v>1</v>
      </c>
      <c r="O10" s="336">
        <v>45</v>
      </c>
      <c r="P10" s="338">
        <f>'أخذ التمام الصباحي'!I7</f>
        <v>33</v>
      </c>
      <c r="Q10" s="221">
        <f t="shared" ref="Q10:Q34" si="4">O10-P10</f>
        <v>12</v>
      </c>
      <c r="R10" s="338">
        <f>'أخذ التمام الصباحي'!J7</f>
        <v>0</v>
      </c>
      <c r="S10" s="335">
        <v>4</v>
      </c>
      <c r="T10" s="203">
        <f t="shared" ref="T10:T34" si="5">P10/S10</f>
        <v>8.25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17</v>
      </c>
      <c r="E11" s="221">
        <f t="shared" si="0"/>
        <v>13</v>
      </c>
      <c r="F11" s="338">
        <f>'أخذ التمام الصباحي'!D8</f>
        <v>0</v>
      </c>
      <c r="G11" s="335">
        <v>5</v>
      </c>
      <c r="H11" s="204">
        <f t="shared" si="1"/>
        <v>3.4</v>
      </c>
      <c r="I11" s="336">
        <v>60</v>
      </c>
      <c r="J11" s="338">
        <f>'أخذ التمام الصباحي'!F8</f>
        <v>42</v>
      </c>
      <c r="K11" s="221">
        <f t="shared" si="2"/>
        <v>18</v>
      </c>
      <c r="L11" s="355">
        <f>'أخذ التمام الصباحي'!G8</f>
        <v>17</v>
      </c>
      <c r="M11" s="335">
        <v>25</v>
      </c>
      <c r="N11" s="203">
        <f t="shared" si="3"/>
        <v>1.68</v>
      </c>
      <c r="O11" s="336">
        <v>30</v>
      </c>
      <c r="P11" s="338">
        <f>'أخذ التمام الصباحي'!I8</f>
        <v>21</v>
      </c>
      <c r="Q11" s="221">
        <f t="shared" si="4"/>
        <v>9</v>
      </c>
      <c r="R11" s="338">
        <f>'أخذ التمام الصباحي'!J8</f>
        <v>0</v>
      </c>
      <c r="S11" s="335">
        <v>8</v>
      </c>
      <c r="T11" s="203">
        <f t="shared" si="5"/>
        <v>2.625</v>
      </c>
      <c r="U11" s="336">
        <v>180</v>
      </c>
      <c r="V11" s="335">
        <f>'أخذ التمام الصباحي'!L8</f>
        <v>170</v>
      </c>
      <c r="W11" s="221">
        <f t="shared" ref="W11:W29" si="6">U11-V11</f>
        <v>10</v>
      </c>
      <c r="X11" s="335">
        <f>'أخذ التمام الصباحي'!M8</f>
        <v>0</v>
      </c>
      <c r="Y11" s="335">
        <v>6</v>
      </c>
      <c r="Z11" s="203">
        <f>V11/Y11</f>
        <v>28.333333333333332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73</v>
      </c>
      <c r="K12" s="221">
        <f t="shared" si="2"/>
        <v>17</v>
      </c>
      <c r="L12" s="355">
        <f>'أخذ التمام الصباحي'!G9</f>
        <v>68</v>
      </c>
      <c r="M12" s="335">
        <v>42</v>
      </c>
      <c r="N12" s="203">
        <f t="shared" si="3"/>
        <v>1.7380952380952381</v>
      </c>
      <c r="O12" s="336">
        <v>30</v>
      </c>
      <c r="P12" s="338">
        <f>'أخذ التمام الصباحي'!I9</f>
        <v>28</v>
      </c>
      <c r="Q12" s="221">
        <f t="shared" si="4"/>
        <v>2</v>
      </c>
      <c r="R12" s="338">
        <f>'أخذ التمام الصباحي'!J9</f>
        <v>17</v>
      </c>
      <c r="S12" s="335">
        <v>12</v>
      </c>
      <c r="T12" s="203">
        <f t="shared" si="5"/>
        <v>2.3333333333333335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22</v>
      </c>
      <c r="E13" s="221">
        <f t="shared" si="0"/>
        <v>8</v>
      </c>
      <c r="F13" s="338">
        <f>'أخذ التمام الصباحي'!D10</f>
        <v>0</v>
      </c>
      <c r="G13" s="335">
        <v>4</v>
      </c>
      <c r="H13" s="204">
        <f t="shared" si="1"/>
        <v>5.5</v>
      </c>
      <c r="I13" s="336">
        <v>90</v>
      </c>
      <c r="J13" s="338">
        <f>'أخذ التمام الصباحي'!F10</f>
        <v>64</v>
      </c>
      <c r="K13" s="221">
        <f t="shared" si="2"/>
        <v>26</v>
      </c>
      <c r="L13" s="355">
        <f>'أخذ التمام الصباحي'!G10</f>
        <v>34</v>
      </c>
      <c r="M13" s="335">
        <v>27</v>
      </c>
      <c r="N13" s="203">
        <f t="shared" si="3"/>
        <v>2.3703703703703702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168</v>
      </c>
      <c r="W13" s="221">
        <f t="shared" si="6"/>
        <v>12</v>
      </c>
      <c r="X13" s="335">
        <f>'أخذ التمام الصباحي'!M10</f>
        <v>0</v>
      </c>
      <c r="Y13" s="335">
        <v>8</v>
      </c>
      <c r="Z13" s="203">
        <f t="shared" ref="Z13:Z29" si="7">V13/Y13</f>
        <v>21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9</v>
      </c>
      <c r="E14" s="221">
        <f t="shared" si="0"/>
        <v>21</v>
      </c>
      <c r="F14" s="338">
        <f>'أخذ التمام الصباحي'!D11</f>
        <v>17</v>
      </c>
      <c r="G14" s="335">
        <v>7</v>
      </c>
      <c r="H14" s="204">
        <f t="shared" si="1"/>
        <v>1.2857142857142858</v>
      </c>
      <c r="I14" s="336">
        <v>90</v>
      </c>
      <c r="J14" s="338">
        <f>'أخذ التمام الصباحي'!F11</f>
        <v>81</v>
      </c>
      <c r="K14" s="221">
        <f t="shared" si="2"/>
        <v>9</v>
      </c>
      <c r="L14" s="355">
        <f>'أخذ التمام الصباحي'!G11</f>
        <v>34</v>
      </c>
      <c r="M14" s="335">
        <v>22</v>
      </c>
      <c r="N14" s="203">
        <f t="shared" si="3"/>
        <v>3.6818181818181817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156</v>
      </c>
      <c r="W14" s="221">
        <f t="shared" si="6"/>
        <v>24</v>
      </c>
      <c r="X14" s="338">
        <f>'أخذ التمام الصباحي'!M11</f>
        <v>17</v>
      </c>
      <c r="Y14" s="335">
        <v>20</v>
      </c>
      <c r="Z14" s="203">
        <f t="shared" si="7"/>
        <v>7.8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129</v>
      </c>
      <c r="K15" s="221">
        <f t="shared" si="2"/>
        <v>51</v>
      </c>
      <c r="L15" s="355">
        <f>'أخذ التمام الصباحي'!G12</f>
        <v>51</v>
      </c>
      <c r="M15" s="335">
        <v>52</v>
      </c>
      <c r="N15" s="203">
        <f t="shared" si="3"/>
        <v>2.4807692307692308</v>
      </c>
      <c r="O15" s="336">
        <v>60</v>
      </c>
      <c r="P15" s="335">
        <f>'أخذ التمام الصباحي'!I12</f>
        <v>44</v>
      </c>
      <c r="Q15" s="221">
        <f t="shared" si="4"/>
        <v>16</v>
      </c>
      <c r="R15" s="335">
        <f>'أخذ التمام الصباحي'!J12</f>
        <v>0</v>
      </c>
      <c r="S15" s="335">
        <v>15</v>
      </c>
      <c r="T15" s="203">
        <f t="shared" si="5"/>
        <v>2.9333333333333331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140</v>
      </c>
      <c r="K16" s="221">
        <f t="shared" si="2"/>
        <v>40</v>
      </c>
      <c r="L16" s="355">
        <f>'أخذ التمام الصباحي'!G13</f>
        <v>34</v>
      </c>
      <c r="M16" s="335">
        <v>35</v>
      </c>
      <c r="N16" s="203">
        <f t="shared" si="3"/>
        <v>4</v>
      </c>
      <c r="O16" s="336">
        <v>45</v>
      </c>
      <c r="P16" s="338">
        <f>'أخذ التمام الصباحي'!I13</f>
        <v>25</v>
      </c>
      <c r="Q16" s="221">
        <f t="shared" si="4"/>
        <v>20</v>
      </c>
      <c r="R16" s="338">
        <f>'أخذ التمام الصباحي'!J13</f>
        <v>17</v>
      </c>
      <c r="S16" s="335">
        <v>11</v>
      </c>
      <c r="T16" s="203">
        <f t="shared" si="5"/>
        <v>2.2727272727272729</v>
      </c>
      <c r="U16" s="336">
        <v>120</v>
      </c>
      <c r="V16" s="335">
        <f>'أخذ التمام الصباحي'!L13</f>
        <v>110</v>
      </c>
      <c r="W16" s="221">
        <f t="shared" si="6"/>
        <v>10</v>
      </c>
      <c r="X16" s="335">
        <f>'أخذ التمام الصباحي'!M13</f>
        <v>0</v>
      </c>
      <c r="Y16" s="335">
        <v>25</v>
      </c>
      <c r="Z16" s="203">
        <f t="shared" si="7"/>
        <v>4.4000000000000004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78</v>
      </c>
      <c r="K17" s="221">
        <f t="shared" si="2"/>
        <v>12</v>
      </c>
      <c r="L17" s="355">
        <f>'أخذ التمام الصباحي'!G14</f>
        <v>0</v>
      </c>
      <c r="M17" s="335">
        <v>12</v>
      </c>
      <c r="N17" s="203">
        <f t="shared" si="3"/>
        <v>6.5</v>
      </c>
      <c r="O17" s="336">
        <v>30</v>
      </c>
      <c r="P17" s="338">
        <f>'أخذ التمام الصباحي'!I14</f>
        <v>12</v>
      </c>
      <c r="Q17" s="221">
        <f t="shared" si="4"/>
        <v>18</v>
      </c>
      <c r="R17" s="338">
        <f>'أخذ التمام الصباحي'!J14</f>
        <v>17</v>
      </c>
      <c r="S17" s="335">
        <v>6</v>
      </c>
      <c r="T17" s="203">
        <f>P17/S17</f>
        <v>2</v>
      </c>
      <c r="U17" s="336">
        <v>180</v>
      </c>
      <c r="V17" s="338">
        <f>'أخذ التمام الصباحي'!L14</f>
        <v>100</v>
      </c>
      <c r="W17" s="221">
        <f t="shared" si="6"/>
        <v>80</v>
      </c>
      <c r="X17" s="338">
        <f>'أخذ التمام الصباحي'!M14</f>
        <v>85</v>
      </c>
      <c r="Y17" s="335">
        <v>31</v>
      </c>
      <c r="Z17" s="203">
        <f t="shared" si="7"/>
        <v>3.225806451612903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75</v>
      </c>
      <c r="K18" s="221">
        <f t="shared" si="2"/>
        <v>15</v>
      </c>
      <c r="L18" s="355">
        <f>'أخذ التمام الصباحي'!G15</f>
        <v>0</v>
      </c>
      <c r="M18" s="335">
        <v>12</v>
      </c>
      <c r="N18" s="203">
        <f t="shared" si="3"/>
        <v>6.25</v>
      </c>
      <c r="O18" s="336">
        <v>30</v>
      </c>
      <c r="P18" s="338">
        <f>'أخذ التمام الصباحي'!I15</f>
        <v>24</v>
      </c>
      <c r="Q18" s="221">
        <f t="shared" si="4"/>
        <v>6</v>
      </c>
      <c r="R18" s="338">
        <f>'أخذ التمام الصباحي'!J15</f>
        <v>0</v>
      </c>
      <c r="S18" s="335">
        <v>4</v>
      </c>
      <c r="T18" s="203">
        <f t="shared" si="5"/>
        <v>6</v>
      </c>
      <c r="U18" s="336">
        <v>60</v>
      </c>
      <c r="V18" s="338">
        <f>'أخذ التمام الصباحي'!L15</f>
        <v>55</v>
      </c>
      <c r="W18" s="194">
        <f t="shared" si="6"/>
        <v>5</v>
      </c>
      <c r="X18" s="338">
        <f>'أخذ التمام الصباحي'!M15</f>
        <v>0</v>
      </c>
      <c r="Y18" s="335">
        <v>5</v>
      </c>
      <c r="Z18" s="335">
        <f t="shared" si="7"/>
        <v>11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47</v>
      </c>
      <c r="K19" s="221">
        <f t="shared" si="2"/>
        <v>13</v>
      </c>
      <c r="L19" s="355">
        <f>'أخذ التمام الصباحي'!G16</f>
        <v>0</v>
      </c>
      <c r="M19" s="335">
        <v>5</v>
      </c>
      <c r="N19" s="203">
        <f t="shared" si="3"/>
        <v>9.4</v>
      </c>
      <c r="O19" s="336">
        <v>30</v>
      </c>
      <c r="P19" s="338">
        <f>'أخذ التمام الصباحي'!I16</f>
        <v>16</v>
      </c>
      <c r="Q19" s="221">
        <f t="shared" si="4"/>
        <v>14</v>
      </c>
      <c r="R19" s="338">
        <f>'أخذ التمام الصباحي'!J16</f>
        <v>0</v>
      </c>
      <c r="S19" s="335">
        <v>2</v>
      </c>
      <c r="T19" s="203">
        <f t="shared" si="5"/>
        <v>8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81</v>
      </c>
      <c r="K20" s="221">
        <f t="shared" si="2"/>
        <v>9</v>
      </c>
      <c r="L20" s="355">
        <f>'أخذ التمام الصباحي'!G17</f>
        <v>0</v>
      </c>
      <c r="M20" s="335">
        <v>4</v>
      </c>
      <c r="N20" s="203">
        <f t="shared" si="3"/>
        <v>20.25</v>
      </c>
      <c r="O20" s="336">
        <v>30</v>
      </c>
      <c r="P20" s="338">
        <f>'أخذ التمام الصباحي'!I17</f>
        <v>16</v>
      </c>
      <c r="Q20" s="221">
        <f t="shared" si="4"/>
        <v>14</v>
      </c>
      <c r="R20" s="338">
        <f>'أخذ التمام الصباحي'!J17</f>
        <v>0</v>
      </c>
      <c r="S20" s="335">
        <v>2</v>
      </c>
      <c r="T20" s="203">
        <f t="shared" si="5"/>
        <v>8</v>
      </c>
      <c r="U20" s="336">
        <v>180</v>
      </c>
      <c r="V20" s="335">
        <f>'أخذ التمام الصباحي'!L17</f>
        <v>154</v>
      </c>
      <c r="W20" s="221">
        <f t="shared" si="6"/>
        <v>26</v>
      </c>
      <c r="X20" s="335">
        <f>'أخذ التمام الصباحي'!M17</f>
        <v>0</v>
      </c>
      <c r="Y20" s="335">
        <v>7</v>
      </c>
      <c r="Z20" s="203">
        <f t="shared" si="7"/>
        <v>22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70</v>
      </c>
      <c r="K21" s="221">
        <f t="shared" si="2"/>
        <v>20</v>
      </c>
      <c r="L21" s="355">
        <f>'أخذ التمام الصباحي'!G18</f>
        <v>17</v>
      </c>
      <c r="M21" s="335">
        <v>34</v>
      </c>
      <c r="N21" s="203">
        <f t="shared" si="3"/>
        <v>2.0588235294117645</v>
      </c>
      <c r="O21" s="336">
        <v>30</v>
      </c>
      <c r="P21" s="338">
        <f>'أخذ التمام الصباحي'!I18</f>
        <v>18</v>
      </c>
      <c r="Q21" s="221">
        <f t="shared" si="4"/>
        <v>12</v>
      </c>
      <c r="R21" s="338">
        <f>'أخذ التمام الصباحي'!J18</f>
        <v>0</v>
      </c>
      <c r="S21" s="335">
        <v>13</v>
      </c>
      <c r="T21" s="203">
        <f t="shared" si="5"/>
        <v>1.3846153846153846</v>
      </c>
      <c r="U21" s="336">
        <v>180</v>
      </c>
      <c r="V21" s="338">
        <f>'أخذ التمام الصباحي'!L18</f>
        <v>152</v>
      </c>
      <c r="W21" s="221">
        <f t="shared" si="6"/>
        <v>28</v>
      </c>
      <c r="X21" s="338">
        <f>'أخذ التمام الصباحي'!M18</f>
        <v>34</v>
      </c>
      <c r="Y21" s="335">
        <v>22</v>
      </c>
      <c r="Z21" s="203">
        <f t="shared" si="7"/>
        <v>6.9090909090909092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37</v>
      </c>
      <c r="K22" s="221">
        <f t="shared" si="2"/>
        <v>53</v>
      </c>
      <c r="L22" s="355">
        <f>'أخذ التمام الصباحي'!G19</f>
        <v>51</v>
      </c>
      <c r="M22" s="335">
        <v>8</v>
      </c>
      <c r="N22" s="203">
        <f t="shared" si="3"/>
        <v>4.625</v>
      </c>
      <c r="O22" s="336">
        <v>30</v>
      </c>
      <c r="P22" s="338">
        <f>'أخذ التمام الصباحي'!I19</f>
        <v>20</v>
      </c>
      <c r="Q22" s="221">
        <f t="shared" si="4"/>
        <v>10</v>
      </c>
      <c r="R22" s="338">
        <f>'أخذ التمام الصباحي'!J19</f>
        <v>0</v>
      </c>
      <c r="S22" s="335">
        <v>2</v>
      </c>
      <c r="T22" s="203">
        <f t="shared" si="5"/>
        <v>10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13</v>
      </c>
      <c r="E23" s="194">
        <f t="shared" si="0"/>
        <v>17</v>
      </c>
      <c r="F23" s="194">
        <f>'أخذ التمام الصباحي'!D20</f>
        <v>0</v>
      </c>
      <c r="G23" s="194">
        <v>0.6</v>
      </c>
      <c r="H23" s="194">
        <f t="shared" si="1"/>
        <v>21.666666666666668</v>
      </c>
      <c r="I23" s="336">
        <v>60</v>
      </c>
      <c r="J23" s="338">
        <f>'أخذ التمام الصباحي'!F20</f>
        <v>54</v>
      </c>
      <c r="K23" s="221">
        <f t="shared" si="2"/>
        <v>6</v>
      </c>
      <c r="L23" s="355">
        <f>'أخذ التمام الصباحي'!G20</f>
        <v>0</v>
      </c>
      <c r="M23" s="335">
        <v>3</v>
      </c>
      <c r="N23" s="203">
        <f t="shared" si="3"/>
        <v>18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107</v>
      </c>
      <c r="W23" s="221">
        <f t="shared" si="6"/>
        <v>13</v>
      </c>
      <c r="X23" s="335">
        <f>'أخذ التمام الصباحي'!M20</f>
        <v>0</v>
      </c>
      <c r="Y23" s="335">
        <v>7</v>
      </c>
      <c r="Z23" s="203">
        <f t="shared" si="7"/>
        <v>15.285714285714286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55</v>
      </c>
      <c r="K24" s="221">
        <f t="shared" si="2"/>
        <v>5</v>
      </c>
      <c r="L24" s="355">
        <f>'أخذ التمام الصباحي'!G21</f>
        <v>0</v>
      </c>
      <c r="M24" s="335">
        <v>6</v>
      </c>
      <c r="N24" s="203">
        <f t="shared" si="3"/>
        <v>9.1666666666666661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95</v>
      </c>
      <c r="W24" s="221">
        <f t="shared" si="6"/>
        <v>25</v>
      </c>
      <c r="X24" s="338">
        <f>'أخذ التمام الصباحي'!M21</f>
        <v>0</v>
      </c>
      <c r="Y24" s="335">
        <v>5</v>
      </c>
      <c r="Z24" s="203">
        <f t="shared" si="7"/>
        <v>19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76</v>
      </c>
      <c r="K25" s="221">
        <f t="shared" si="2"/>
        <v>14</v>
      </c>
      <c r="L25" s="355">
        <f>'أخذ التمام الصباحي'!G22</f>
        <v>34</v>
      </c>
      <c r="M25" s="335">
        <v>15</v>
      </c>
      <c r="N25" s="203">
        <f t="shared" si="3"/>
        <v>5.0666666666666664</v>
      </c>
      <c r="O25" s="336">
        <v>30</v>
      </c>
      <c r="P25" s="335">
        <f>'أخذ التمام الصباحي'!I22</f>
        <v>20</v>
      </c>
      <c r="Q25" s="221">
        <f t="shared" si="4"/>
        <v>10</v>
      </c>
      <c r="R25" s="335">
        <f>'أخذ التمام الصباحي'!J22</f>
        <v>0</v>
      </c>
      <c r="S25" s="335">
        <v>3</v>
      </c>
      <c r="T25" s="203">
        <f t="shared" si="5"/>
        <v>6.666666666666667</v>
      </c>
      <c r="U25" s="336">
        <v>180</v>
      </c>
      <c r="V25" s="338">
        <f>'أخذ التمام الصباحي'!L22</f>
        <v>159</v>
      </c>
      <c r="W25" s="221">
        <f t="shared" si="6"/>
        <v>21</v>
      </c>
      <c r="X25" s="338">
        <f>'أخذ التمام الصباحي'!M22</f>
        <v>17</v>
      </c>
      <c r="Y25" s="335">
        <v>43</v>
      </c>
      <c r="Z25" s="203">
        <f t="shared" si="7"/>
        <v>3.6976744186046511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65</v>
      </c>
      <c r="K26" s="221">
        <f t="shared" si="2"/>
        <v>25</v>
      </c>
      <c r="L26" s="355">
        <f>'أخذ التمام الصباحي'!G23</f>
        <v>34</v>
      </c>
      <c r="M26" s="335">
        <v>17</v>
      </c>
      <c r="N26" s="203">
        <f t="shared" si="3"/>
        <v>3.8235294117647061</v>
      </c>
      <c r="O26" s="336">
        <v>30</v>
      </c>
      <c r="P26" s="338">
        <f>'أخذ التمام الصباحي'!I23</f>
        <v>10</v>
      </c>
      <c r="Q26" s="221">
        <f t="shared" si="4"/>
        <v>20</v>
      </c>
      <c r="R26" s="338">
        <f>'أخذ التمام الصباحي'!J23</f>
        <v>17</v>
      </c>
      <c r="S26" s="335">
        <v>4</v>
      </c>
      <c r="T26" s="203">
        <f t="shared" si="5"/>
        <v>2.5</v>
      </c>
      <c r="U26" s="336">
        <v>180</v>
      </c>
      <c r="V26" s="338">
        <f>'أخذ التمام الصباحي'!L23</f>
        <v>125</v>
      </c>
      <c r="W26" s="221">
        <f t="shared" si="6"/>
        <v>55</v>
      </c>
      <c r="X26" s="338">
        <f>'أخذ التمام الصباحي'!M23</f>
        <v>51</v>
      </c>
      <c r="Y26" s="335">
        <v>40</v>
      </c>
      <c r="Z26" s="203">
        <f t="shared" si="7"/>
        <v>3.125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80</v>
      </c>
      <c r="K27" s="221">
        <f t="shared" si="2"/>
        <v>10</v>
      </c>
      <c r="L27" s="355">
        <f>'أخذ التمام الصباحي'!G24</f>
        <v>34</v>
      </c>
      <c r="M27" s="335">
        <v>12</v>
      </c>
      <c r="N27" s="203">
        <f t="shared" si="3"/>
        <v>6.666666666666667</v>
      </c>
      <c r="O27" s="336">
        <v>30</v>
      </c>
      <c r="P27" s="338">
        <f>'أخذ التمام الصباحي'!I24</f>
        <v>27</v>
      </c>
      <c r="Q27" s="221">
        <f t="shared" si="4"/>
        <v>3</v>
      </c>
      <c r="R27" s="338">
        <f>'أخذ التمام الصباحي'!J24</f>
        <v>17</v>
      </c>
      <c r="S27" s="335">
        <v>2</v>
      </c>
      <c r="T27" s="203">
        <f t="shared" si="5"/>
        <v>13.5</v>
      </c>
      <c r="U27" s="336">
        <v>180</v>
      </c>
      <c r="V27" s="338">
        <f>'أخذ التمام الصباحي'!L24</f>
        <v>160</v>
      </c>
      <c r="W27" s="221">
        <f t="shared" si="6"/>
        <v>20</v>
      </c>
      <c r="X27" s="338">
        <f>'أخذ التمام الصباحي'!M24</f>
        <v>17</v>
      </c>
      <c r="Y27" s="335">
        <v>22</v>
      </c>
      <c r="Z27" s="203">
        <f t="shared" si="7"/>
        <v>7.2727272727272725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67</v>
      </c>
      <c r="K28" s="221">
        <f t="shared" si="2"/>
        <v>23</v>
      </c>
      <c r="L28" s="355">
        <f>'أخذ التمام الصباحي'!G25</f>
        <v>0</v>
      </c>
      <c r="M28" s="335">
        <v>9</v>
      </c>
      <c r="N28" s="203">
        <f t="shared" si="3"/>
        <v>7.4444444444444446</v>
      </c>
      <c r="O28" s="336">
        <v>30</v>
      </c>
      <c r="P28" s="338">
        <f>'أخذ التمام الصباحي'!I25</f>
        <v>18</v>
      </c>
      <c r="Q28" s="221">
        <f t="shared" si="4"/>
        <v>12</v>
      </c>
      <c r="R28" s="338">
        <f>'أخذ التمام الصباحي'!J25</f>
        <v>0</v>
      </c>
      <c r="S28" s="335">
        <v>2</v>
      </c>
      <c r="T28" s="203">
        <f t="shared" si="5"/>
        <v>9</v>
      </c>
      <c r="U28" s="336">
        <v>180</v>
      </c>
      <c r="V28" s="338">
        <f>'أخذ التمام الصباحي'!L25</f>
        <v>146</v>
      </c>
      <c r="W28" s="221">
        <f t="shared" si="6"/>
        <v>34</v>
      </c>
      <c r="X28" s="338">
        <f>'أخذ التمام الصباحي'!M25</f>
        <v>34</v>
      </c>
      <c r="Y28" s="335">
        <v>19</v>
      </c>
      <c r="Z28" s="203">
        <f t="shared" si="7"/>
        <v>7.6842105263157894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79</v>
      </c>
      <c r="E29" s="194">
        <f t="shared" ref="E29:E35" si="8">C29-D29</f>
        <v>11</v>
      </c>
      <c r="F29" s="194">
        <f>'أخذ التمام الصباحي'!D26</f>
        <v>0</v>
      </c>
      <c r="G29" s="194">
        <v>5</v>
      </c>
      <c r="H29" s="194">
        <f t="shared" ref="H29:H35" si="9">D29/G29</f>
        <v>15.8</v>
      </c>
      <c r="I29" s="336">
        <v>45</v>
      </c>
      <c r="J29" s="338">
        <f>'أخذ التمام الصباحي'!F26</f>
        <v>38</v>
      </c>
      <c r="K29" s="221">
        <f t="shared" si="2"/>
        <v>7</v>
      </c>
      <c r="L29" s="355">
        <f>'أخذ التمام الصباحي'!G26</f>
        <v>0</v>
      </c>
      <c r="M29" s="335">
        <v>9</v>
      </c>
      <c r="N29" s="203">
        <f t="shared" si="3"/>
        <v>4.2222222222222223</v>
      </c>
      <c r="O29" s="336">
        <v>45</v>
      </c>
      <c r="P29" s="338">
        <f>'أخذ التمام الصباحي'!I26</f>
        <v>42</v>
      </c>
      <c r="Q29" s="221">
        <f t="shared" si="4"/>
        <v>3</v>
      </c>
      <c r="R29" s="338">
        <f>'أخذ التمام الصباحي'!J26</f>
        <v>0</v>
      </c>
      <c r="S29" s="335">
        <v>2</v>
      </c>
      <c r="T29" s="203">
        <f t="shared" si="5"/>
        <v>21</v>
      </c>
      <c r="U29" s="336">
        <v>180</v>
      </c>
      <c r="V29" s="338">
        <f>'أخذ التمام الصباحي'!L26</f>
        <v>175</v>
      </c>
      <c r="W29" s="221">
        <f t="shared" si="6"/>
        <v>5</v>
      </c>
      <c r="X29" s="338">
        <f>'أخذ التمام الصباحي'!M26</f>
        <v>0</v>
      </c>
      <c r="Y29" s="335">
        <v>16</v>
      </c>
      <c r="Z29" s="203">
        <f t="shared" si="7"/>
        <v>10.9375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85"/>
      <c r="E30" s="385"/>
      <c r="F30" s="385"/>
      <c r="G30" s="385"/>
      <c r="H30" s="385"/>
      <c r="I30" s="336">
        <v>135</v>
      </c>
      <c r="J30" s="338">
        <f>'أخذ التمام الصباحي'!F27</f>
        <v>107</v>
      </c>
      <c r="K30" s="221">
        <f t="shared" si="2"/>
        <v>28</v>
      </c>
      <c r="L30" s="355">
        <f>'أخذ التمام الصباحي'!G27</f>
        <v>0</v>
      </c>
      <c r="M30" s="335">
        <v>6</v>
      </c>
      <c r="N30" s="203">
        <f t="shared" si="3"/>
        <v>17.833333333333332</v>
      </c>
      <c r="O30" s="336">
        <v>45</v>
      </c>
      <c r="P30" s="338">
        <f>'أخذ التمام الصباحي'!I27</f>
        <v>38</v>
      </c>
      <c r="Q30" s="221">
        <f t="shared" si="4"/>
        <v>7</v>
      </c>
      <c r="R30" s="338">
        <f>'أخذ التمام الصباحي'!J27</f>
        <v>0</v>
      </c>
      <c r="S30" s="335">
        <v>2</v>
      </c>
      <c r="T30" s="203">
        <f t="shared" si="5"/>
        <v>19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85"/>
      <c r="E31" s="385"/>
      <c r="F31" s="385"/>
      <c r="G31" s="385"/>
      <c r="H31" s="385"/>
      <c r="I31" s="336">
        <v>180</v>
      </c>
      <c r="J31" s="338">
        <f>'أخذ التمام الصباحي'!F28</f>
        <v>120</v>
      </c>
      <c r="K31" s="221">
        <f t="shared" si="2"/>
        <v>60</v>
      </c>
      <c r="L31" s="355">
        <f>'أخذ التمام الصباحي'!G28</f>
        <v>51</v>
      </c>
      <c r="M31" s="339">
        <v>27</v>
      </c>
      <c r="N31" s="203">
        <f t="shared" si="3"/>
        <v>4.4444444444444446</v>
      </c>
      <c r="O31" s="336">
        <v>90</v>
      </c>
      <c r="P31" s="338">
        <f>'أخذ التمام الصباحي'!I28</f>
        <v>69</v>
      </c>
      <c r="Q31" s="221">
        <f t="shared" si="4"/>
        <v>21</v>
      </c>
      <c r="R31" s="338">
        <f>'أخذ التمام الصباحي'!J28</f>
        <v>0</v>
      </c>
      <c r="S31" s="339">
        <v>10</v>
      </c>
      <c r="T31" s="203">
        <f t="shared" si="5"/>
        <v>6.9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85"/>
      <c r="E32" s="385"/>
      <c r="F32" s="385"/>
      <c r="G32" s="385"/>
      <c r="H32" s="385"/>
      <c r="I32" s="336">
        <v>180</v>
      </c>
      <c r="J32" s="338">
        <f>'أخذ التمام الصباحي'!F29</f>
        <v>145</v>
      </c>
      <c r="K32" s="221">
        <f t="shared" si="2"/>
        <v>35</v>
      </c>
      <c r="L32" s="355">
        <f>'أخذ التمام الصباحي'!G29</f>
        <v>51</v>
      </c>
      <c r="M32" s="339">
        <v>27</v>
      </c>
      <c r="N32" s="203">
        <f t="shared" si="3"/>
        <v>5.3703703703703702</v>
      </c>
      <c r="O32" s="336">
        <v>90</v>
      </c>
      <c r="P32" s="338">
        <f>'أخذ التمام الصباحي'!I29</f>
        <v>48</v>
      </c>
      <c r="Q32" s="221">
        <f t="shared" si="4"/>
        <v>42</v>
      </c>
      <c r="R32" s="338">
        <f>'أخذ التمام الصباحي'!J29</f>
        <v>0</v>
      </c>
      <c r="S32" s="339">
        <v>9</v>
      </c>
      <c r="T32" s="203">
        <f t="shared" si="5"/>
        <v>5.333333333333333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85"/>
      <c r="E33" s="385"/>
      <c r="F33" s="385"/>
      <c r="G33" s="385"/>
      <c r="H33" s="385"/>
      <c r="I33" s="336">
        <v>180</v>
      </c>
      <c r="J33" s="338">
        <f>'أخذ التمام الصباحي'!F30</f>
        <v>120</v>
      </c>
      <c r="K33" s="221">
        <f t="shared" si="2"/>
        <v>60</v>
      </c>
      <c r="L33" s="355">
        <f>'أخذ التمام الصباحي'!G30</f>
        <v>51</v>
      </c>
      <c r="M33" s="339">
        <v>33</v>
      </c>
      <c r="N33" s="203">
        <f t="shared" si="3"/>
        <v>3.6363636363636362</v>
      </c>
      <c r="O33" s="336">
        <v>90</v>
      </c>
      <c r="P33" s="338">
        <f>'أخذ التمام الصباحي'!I30</f>
        <v>75</v>
      </c>
      <c r="Q33" s="221">
        <f t="shared" si="4"/>
        <v>15</v>
      </c>
      <c r="R33" s="338">
        <f>'أخذ التمام الصباحي'!J30</f>
        <v>0</v>
      </c>
      <c r="S33" s="339">
        <v>8</v>
      </c>
      <c r="T33" s="203">
        <f t="shared" si="5"/>
        <v>9.375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85"/>
      <c r="E34" s="385"/>
      <c r="F34" s="385"/>
      <c r="G34" s="385"/>
      <c r="H34" s="385"/>
      <c r="I34" s="336">
        <v>180</v>
      </c>
      <c r="J34" s="338">
        <f>'أخذ التمام الصباحي'!F31</f>
        <v>130</v>
      </c>
      <c r="K34" s="221">
        <f t="shared" si="2"/>
        <v>50</v>
      </c>
      <c r="L34" s="355">
        <f>'أخذ التمام الصباحي'!G31</f>
        <v>51</v>
      </c>
      <c r="M34" s="339">
        <v>52</v>
      </c>
      <c r="N34" s="203">
        <f t="shared" si="3"/>
        <v>2.5</v>
      </c>
      <c r="O34" s="336">
        <v>90</v>
      </c>
      <c r="P34" s="338">
        <f>'أخذ التمام الصباحي'!I31</f>
        <v>45</v>
      </c>
      <c r="Q34" s="221">
        <f t="shared" si="4"/>
        <v>45</v>
      </c>
      <c r="R34" s="338">
        <f>'أخذ التمام الصباحي'!J31</f>
        <v>0</v>
      </c>
      <c r="S34" s="339">
        <v>11</v>
      </c>
      <c r="T34" s="203">
        <f t="shared" si="5"/>
        <v>4.0909090909090908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84">
        <v>90</v>
      </c>
      <c r="D35" s="194">
        <f>'أخذ التمام الصباحي'!C32</f>
        <v>0</v>
      </c>
      <c r="E35" s="194">
        <f t="shared" si="8"/>
        <v>90</v>
      </c>
      <c r="F35" s="194">
        <f>'أخذ التمام الصباحي'!D32</f>
        <v>34</v>
      </c>
      <c r="G35" s="194">
        <v>20</v>
      </c>
      <c r="H35" s="194">
        <f t="shared" si="9"/>
        <v>0</v>
      </c>
      <c r="I35" s="357">
        <v>135</v>
      </c>
      <c r="J35" s="356">
        <f>'أخذ التمام الصباحي'!F32</f>
        <v>0</v>
      </c>
      <c r="K35" s="221">
        <f t="shared" ref="K35:K38" si="10">I35-J35</f>
        <v>135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45</v>
      </c>
      <c r="P35" s="356">
        <f>'أخذ التمام الصباحي'!I32</f>
        <v>0</v>
      </c>
      <c r="Q35" s="221">
        <f t="shared" ref="Q35:Q38" si="12">O35-P35</f>
        <v>45</v>
      </c>
      <c r="R35" s="356">
        <f>'أخذ التمام الصباحي'!J32</f>
        <v>17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120</v>
      </c>
      <c r="V38" s="356">
        <f>'أخذ التمام الصباحي'!L35</f>
        <v>0</v>
      </c>
      <c r="W38" s="221">
        <f t="shared" ref="W38" si="14">U38-V38</f>
        <v>120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400" t="s">
        <v>34</v>
      </c>
      <c r="B39" s="400"/>
      <c r="C39" s="206">
        <f>SUM(C8:C38)</f>
        <v>390</v>
      </c>
      <c r="D39" s="206">
        <f t="shared" ref="D39:Z39" si="16">SUM(D8:D38)</f>
        <v>185</v>
      </c>
      <c r="E39" s="206">
        <f t="shared" si="16"/>
        <v>205</v>
      </c>
      <c r="F39" s="206">
        <f t="shared" si="16"/>
        <v>85</v>
      </c>
      <c r="G39" s="206">
        <f t="shared" si="16"/>
        <v>77.599999999999994</v>
      </c>
      <c r="H39" s="206">
        <f t="shared" si="16"/>
        <v>48.902380952380952</v>
      </c>
      <c r="I39" s="206">
        <f t="shared" si="16"/>
        <v>3480</v>
      </c>
      <c r="J39" s="206">
        <f t="shared" si="16"/>
        <v>2128</v>
      </c>
      <c r="K39" s="206">
        <f t="shared" si="16"/>
        <v>1352</v>
      </c>
      <c r="L39" s="206">
        <f t="shared" si="16"/>
        <v>663</v>
      </c>
      <c r="M39" s="206">
        <f t="shared" si="16"/>
        <v>684</v>
      </c>
      <c r="N39" s="206">
        <f t="shared" si="16"/>
        <v>159.12268786168383</v>
      </c>
      <c r="O39" s="206">
        <f t="shared" si="16"/>
        <v>1335</v>
      </c>
      <c r="P39" s="206">
        <f t="shared" si="16"/>
        <v>686</v>
      </c>
      <c r="Q39" s="206">
        <f t="shared" si="16"/>
        <v>649</v>
      </c>
      <c r="R39" s="206">
        <f t="shared" si="16"/>
        <v>119</v>
      </c>
      <c r="S39" s="206">
        <f t="shared" si="16"/>
        <v>174</v>
      </c>
      <c r="T39" s="206">
        <f t="shared" si="16"/>
        <v>155.5815850815851</v>
      </c>
      <c r="U39" s="206">
        <f t="shared" si="16"/>
        <v>2520</v>
      </c>
      <c r="V39" s="206">
        <f t="shared" si="16"/>
        <v>2032</v>
      </c>
      <c r="W39" s="206">
        <f t="shared" si="16"/>
        <v>488</v>
      </c>
      <c r="X39" s="206">
        <f t="shared" si="16"/>
        <v>255</v>
      </c>
      <c r="Y39" s="206">
        <f t="shared" si="16"/>
        <v>306</v>
      </c>
      <c r="Z39" s="206">
        <f t="shared" si="16"/>
        <v>171.67105719739916</v>
      </c>
    </row>
    <row r="40" spans="1:26" ht="20.100000000000001" customHeight="1" thickBot="1" x14ac:dyDescent="0.25">
      <c r="A40" s="387" t="s">
        <v>35</v>
      </c>
      <c r="B40" s="387"/>
      <c r="C40" s="391">
        <f>C39+I39+O39+U39</f>
        <v>7725</v>
      </c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3"/>
    </row>
    <row r="41" spans="1:26" ht="20.100000000000001" customHeight="1" thickBot="1" x14ac:dyDescent="0.25">
      <c r="A41" s="387" t="s">
        <v>36</v>
      </c>
      <c r="B41" s="387"/>
      <c r="C41" s="391">
        <f>D39+J39+P39+V39</f>
        <v>5031</v>
      </c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2"/>
      <c r="O41" s="392"/>
      <c r="P41" s="392"/>
      <c r="Q41" s="392"/>
      <c r="R41" s="392"/>
      <c r="S41" s="392"/>
      <c r="T41" s="392"/>
      <c r="U41" s="392"/>
      <c r="V41" s="392"/>
      <c r="W41" s="392"/>
      <c r="X41" s="392"/>
      <c r="Y41" s="392"/>
      <c r="Z41" s="393"/>
    </row>
    <row r="42" spans="1:26" ht="20.100000000000001" customHeight="1" thickBot="1" x14ac:dyDescent="0.25">
      <c r="A42" s="387" t="s">
        <v>37</v>
      </c>
      <c r="B42" s="387"/>
      <c r="C42" s="391">
        <f>E39+K39+Q39+W39</f>
        <v>2694</v>
      </c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93"/>
    </row>
    <row r="43" spans="1:26" ht="20.100000000000001" customHeight="1" thickBot="1" x14ac:dyDescent="0.25">
      <c r="A43" s="387" t="s">
        <v>38</v>
      </c>
      <c r="B43" s="387"/>
      <c r="C43" s="394">
        <f>C41/C40</f>
        <v>0.65126213592233007</v>
      </c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5"/>
      <c r="P43" s="395"/>
      <c r="Q43" s="395"/>
      <c r="R43" s="395"/>
      <c r="S43" s="395"/>
      <c r="T43" s="395"/>
      <c r="U43" s="395"/>
      <c r="V43" s="395"/>
      <c r="W43" s="395"/>
      <c r="X43" s="395"/>
      <c r="Y43" s="395"/>
      <c r="Z43" s="396"/>
    </row>
    <row r="44" spans="1:26" ht="20.100000000000001" customHeight="1" thickBot="1" x14ac:dyDescent="0.25">
      <c r="A44" s="387" t="s">
        <v>39</v>
      </c>
      <c r="B44" s="387"/>
      <c r="C44" s="391">
        <f>F39+L39+R39+X39</f>
        <v>1122</v>
      </c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3"/>
    </row>
    <row r="45" spans="1:26" ht="15.75" thickBot="1" x14ac:dyDescent="0.25">
      <c r="A45" s="387" t="s">
        <v>40</v>
      </c>
      <c r="B45" s="387"/>
      <c r="C45" s="397">
        <f>C44/'التمام الصباحي'!$C$41:$Z$41</f>
        <v>0.22301729278473464</v>
      </c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  <c r="X45" s="398"/>
      <c r="Y45" s="398"/>
      <c r="Z45" s="399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8" activePane="bottomRight" state="frozen"/>
      <selection pane="bottomRight" activeCell="T38" sqref="T38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0" t="s">
        <v>0</v>
      </c>
      <c r="B1" s="390"/>
      <c r="C1" s="390"/>
      <c r="D1" s="390"/>
      <c r="E1" s="390"/>
      <c r="X1" s="386"/>
      <c r="Y1" s="386"/>
    </row>
    <row r="2" spans="1:25" ht="15.75" x14ac:dyDescent="0.25">
      <c r="A2" s="390" t="s">
        <v>1</v>
      </c>
      <c r="B2" s="390"/>
      <c r="C2" s="390"/>
      <c r="D2" s="390"/>
      <c r="E2" s="390"/>
    </row>
    <row r="3" spans="1:25" ht="15.75" x14ac:dyDescent="0.25">
      <c r="A3" s="390" t="s">
        <v>2</v>
      </c>
      <c r="B3" s="390"/>
      <c r="C3" s="390"/>
      <c r="D3" s="390"/>
      <c r="E3" s="390"/>
    </row>
    <row r="5" spans="1:25" ht="36.75" customHeight="1" thickBot="1" x14ac:dyDescent="0.3">
      <c r="G5" s="199"/>
      <c r="H5" s="389" t="s">
        <v>161</v>
      </c>
      <c r="I5" s="389"/>
      <c r="J5" s="389"/>
      <c r="K5" s="389"/>
      <c r="L5" s="389"/>
      <c r="M5" s="389"/>
      <c r="N5" s="389"/>
      <c r="O5" s="389"/>
      <c r="T5" s="200" t="s">
        <v>41</v>
      </c>
    </row>
    <row r="6" spans="1:25" ht="20.100000000000001" customHeight="1" thickBot="1" x14ac:dyDescent="0.25">
      <c r="A6" s="388" t="s">
        <v>14</v>
      </c>
      <c r="B6" s="388" t="s">
        <v>3</v>
      </c>
      <c r="C6" s="388" t="s">
        <v>4</v>
      </c>
      <c r="D6" s="533" t="s">
        <v>5</v>
      </c>
      <c r="E6" s="534"/>
      <c r="F6" s="534"/>
      <c r="G6" s="535"/>
      <c r="H6" s="388" t="s">
        <v>4</v>
      </c>
      <c r="I6" s="533" t="s">
        <v>11</v>
      </c>
      <c r="J6" s="534"/>
      <c r="K6" s="534"/>
      <c r="L6" s="535"/>
      <c r="M6" s="388" t="s">
        <v>4</v>
      </c>
      <c r="N6" s="533" t="s">
        <v>12</v>
      </c>
      <c r="O6" s="534"/>
      <c r="P6" s="534"/>
      <c r="Q6" s="535"/>
      <c r="R6" s="388" t="s">
        <v>4</v>
      </c>
      <c r="S6" s="533" t="s">
        <v>13</v>
      </c>
      <c r="T6" s="534"/>
      <c r="U6" s="534"/>
      <c r="V6" s="535"/>
    </row>
    <row r="7" spans="1:25" ht="20.100000000000001" customHeight="1" thickBot="1" x14ac:dyDescent="0.25">
      <c r="A7" s="388"/>
      <c r="B7" s="388"/>
      <c r="C7" s="388"/>
      <c r="D7" s="201" t="s">
        <v>6</v>
      </c>
      <c r="E7" s="201" t="s">
        <v>7</v>
      </c>
      <c r="F7" s="201" t="s">
        <v>9</v>
      </c>
      <c r="G7" s="201" t="s">
        <v>10</v>
      </c>
      <c r="H7" s="388"/>
      <c r="I7" s="201" t="s">
        <v>6</v>
      </c>
      <c r="J7" s="201" t="s">
        <v>7</v>
      </c>
      <c r="K7" s="201" t="s">
        <v>9</v>
      </c>
      <c r="L7" s="201" t="s">
        <v>10</v>
      </c>
      <c r="M7" s="388"/>
      <c r="N7" s="201" t="s">
        <v>6</v>
      </c>
      <c r="O7" s="201" t="s">
        <v>7</v>
      </c>
      <c r="P7" s="201" t="s">
        <v>9</v>
      </c>
      <c r="Q7" s="201" t="s">
        <v>10</v>
      </c>
      <c r="R7" s="388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400" t="s">
        <v>34</v>
      </c>
      <c r="B28" s="400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7" t="s">
        <v>35</v>
      </c>
      <c r="B29" s="387"/>
      <c r="C29" s="391">
        <f>C28+H28+M28+R28</f>
        <v>4605</v>
      </c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2"/>
      <c r="R29" s="392"/>
      <c r="S29" s="392"/>
      <c r="T29" s="392"/>
      <c r="U29" s="392"/>
      <c r="V29" s="393"/>
    </row>
    <row r="30" spans="1:26" ht="20.100000000000001" customHeight="1" thickBot="1" x14ac:dyDescent="0.25">
      <c r="A30" s="387" t="s">
        <v>36</v>
      </c>
      <c r="B30" s="387"/>
      <c r="C30" s="391">
        <f>D28+I28+N28+S28</f>
        <v>4605</v>
      </c>
      <c r="D30" s="392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2"/>
      <c r="S30" s="392"/>
      <c r="T30" s="392"/>
      <c r="U30" s="392"/>
      <c r="V30" s="393"/>
    </row>
    <row r="31" spans="1:26" ht="20.100000000000001" customHeight="1" thickBot="1" x14ac:dyDescent="0.25">
      <c r="A31" s="387" t="s">
        <v>37</v>
      </c>
      <c r="B31" s="387"/>
      <c r="C31" s="391">
        <f>E28+J28+O28+T28</f>
        <v>0</v>
      </c>
      <c r="D31" s="392"/>
      <c r="E31" s="392"/>
      <c r="F31" s="392"/>
      <c r="G31" s="392"/>
      <c r="H31" s="392"/>
      <c r="I31" s="392"/>
      <c r="J31" s="392"/>
      <c r="K31" s="392"/>
      <c r="L31" s="392"/>
      <c r="M31" s="392"/>
      <c r="N31" s="392"/>
      <c r="O31" s="392"/>
      <c r="P31" s="392"/>
      <c r="Q31" s="392"/>
      <c r="R31" s="392"/>
      <c r="S31" s="392"/>
      <c r="T31" s="392"/>
      <c r="U31" s="392"/>
      <c r="V31" s="393"/>
    </row>
    <row r="32" spans="1:26" ht="15.75" thickBot="1" x14ac:dyDescent="0.25">
      <c r="A32" s="387" t="s">
        <v>38</v>
      </c>
      <c r="B32" s="387"/>
      <c r="C32" s="394">
        <f>C30/C29</f>
        <v>1</v>
      </c>
      <c r="D32" s="395"/>
      <c r="E32" s="395"/>
      <c r="F32" s="395"/>
      <c r="G32" s="395"/>
      <c r="H32" s="395"/>
      <c r="I32" s="395"/>
      <c r="J32" s="395"/>
      <c r="K32" s="395"/>
      <c r="L32" s="395"/>
      <c r="M32" s="395"/>
      <c r="N32" s="395"/>
      <c r="O32" s="395"/>
      <c r="P32" s="395"/>
      <c r="Q32" s="395"/>
      <c r="R32" s="395"/>
      <c r="S32" s="395"/>
      <c r="T32" s="395"/>
      <c r="U32" s="395"/>
      <c r="V32" s="396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0" t="s">
        <v>0</v>
      </c>
      <c r="B1" s="390"/>
      <c r="C1" s="390"/>
      <c r="D1" s="390"/>
      <c r="E1" s="390"/>
      <c r="X1" s="386"/>
      <c r="Y1" s="386"/>
    </row>
    <row r="2" spans="1:25" ht="15.75" x14ac:dyDescent="0.25">
      <c r="A2" s="390" t="s">
        <v>1</v>
      </c>
      <c r="B2" s="390"/>
      <c r="C2" s="390"/>
      <c r="D2" s="390"/>
      <c r="E2" s="390"/>
    </row>
    <row r="3" spans="1:25" ht="15.75" x14ac:dyDescent="0.25">
      <c r="A3" s="390" t="s">
        <v>2</v>
      </c>
      <c r="B3" s="390"/>
      <c r="C3" s="390"/>
      <c r="D3" s="390"/>
      <c r="E3" s="390"/>
    </row>
    <row r="5" spans="1:25" ht="32.25" customHeight="1" thickBot="1" x14ac:dyDescent="0.3">
      <c r="G5" s="199"/>
      <c r="H5" s="389" t="s">
        <v>162</v>
      </c>
      <c r="I5" s="389"/>
      <c r="J5" s="389"/>
      <c r="K5" s="389"/>
      <c r="L5" s="389"/>
      <c r="M5" s="389"/>
      <c r="N5" s="389"/>
      <c r="O5" s="389"/>
      <c r="T5" s="200" t="s">
        <v>41</v>
      </c>
    </row>
    <row r="6" spans="1:25" ht="20.100000000000001" customHeight="1" thickBot="1" x14ac:dyDescent="0.25">
      <c r="A6" s="388" t="s">
        <v>14</v>
      </c>
      <c r="B6" s="388" t="s">
        <v>3</v>
      </c>
      <c r="C6" s="388" t="s">
        <v>4</v>
      </c>
      <c r="D6" s="533" t="s">
        <v>5</v>
      </c>
      <c r="E6" s="534"/>
      <c r="F6" s="534"/>
      <c r="G6" s="535"/>
      <c r="H6" s="388" t="s">
        <v>4</v>
      </c>
      <c r="I6" s="533" t="s">
        <v>11</v>
      </c>
      <c r="J6" s="534"/>
      <c r="K6" s="534"/>
      <c r="L6" s="535"/>
      <c r="M6" s="388" t="s">
        <v>4</v>
      </c>
      <c r="N6" s="533" t="s">
        <v>12</v>
      </c>
      <c r="O6" s="534"/>
      <c r="P6" s="534"/>
      <c r="Q6" s="535"/>
      <c r="R6" s="388" t="s">
        <v>4</v>
      </c>
      <c r="S6" s="533" t="s">
        <v>13</v>
      </c>
      <c r="T6" s="534"/>
      <c r="U6" s="534"/>
      <c r="V6" s="535"/>
    </row>
    <row r="7" spans="1:25" ht="20.100000000000001" customHeight="1" thickBot="1" x14ac:dyDescent="0.25">
      <c r="A7" s="388"/>
      <c r="B7" s="388"/>
      <c r="C7" s="388"/>
      <c r="D7" s="201" t="s">
        <v>6</v>
      </c>
      <c r="E7" s="201" t="s">
        <v>7</v>
      </c>
      <c r="F7" s="201" t="s">
        <v>9</v>
      </c>
      <c r="G7" s="201" t="s">
        <v>10</v>
      </c>
      <c r="H7" s="388"/>
      <c r="I7" s="201" t="s">
        <v>6</v>
      </c>
      <c r="J7" s="201" t="s">
        <v>7</v>
      </c>
      <c r="K7" s="201" t="s">
        <v>9</v>
      </c>
      <c r="L7" s="201" t="s">
        <v>10</v>
      </c>
      <c r="M7" s="388"/>
      <c r="N7" s="201" t="s">
        <v>6</v>
      </c>
      <c r="O7" s="201" t="s">
        <v>7</v>
      </c>
      <c r="P7" s="201" t="s">
        <v>9</v>
      </c>
      <c r="Q7" s="201" t="s">
        <v>10</v>
      </c>
      <c r="R7" s="388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53</v>
      </c>
      <c r="J8" s="221">
        <f>'خطة الإمداد'!F32</f>
        <v>37</v>
      </c>
      <c r="K8" s="261">
        <v>19</v>
      </c>
      <c r="L8" s="203">
        <f>I8/K8</f>
        <v>2.7894736842105261</v>
      </c>
      <c r="M8" s="262">
        <v>30</v>
      </c>
      <c r="N8" s="261">
        <f>M8-O8</f>
        <v>14</v>
      </c>
      <c r="O8" s="221">
        <f>'خطة الإمداد'!G32</f>
        <v>16</v>
      </c>
      <c r="P8" s="261">
        <v>5</v>
      </c>
      <c r="Q8" s="203">
        <f>N8/P8</f>
        <v>2.8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12</v>
      </c>
      <c r="E10" s="261">
        <f>'خطة الإمداد'!E35</f>
        <v>18</v>
      </c>
      <c r="F10" s="261">
        <v>4</v>
      </c>
      <c r="G10" s="204">
        <f>D10/F10</f>
        <v>3</v>
      </c>
      <c r="H10" s="262">
        <v>60</v>
      </c>
      <c r="I10" s="261">
        <f t="shared" ref="I10:I27" si="1">H10-J10</f>
        <v>17</v>
      </c>
      <c r="J10" s="221">
        <f>'خطة الإمداد'!F35</f>
        <v>43</v>
      </c>
      <c r="K10" s="261">
        <v>21</v>
      </c>
      <c r="L10" s="203">
        <f t="shared" ref="L10:L21" si="2">I10/K10</f>
        <v>0.80952380952380953</v>
      </c>
      <c r="M10" s="262">
        <v>30</v>
      </c>
      <c r="N10" s="261">
        <f t="shared" ref="N10:N27" si="3">M10-O10</f>
        <v>13</v>
      </c>
      <c r="O10" s="221">
        <f>'خطة الإمداد'!G35</f>
        <v>17</v>
      </c>
      <c r="P10" s="261">
        <v>5</v>
      </c>
      <c r="Q10" s="203">
        <f>N10/P10</f>
        <v>2.6</v>
      </c>
      <c r="R10" s="262">
        <v>180</v>
      </c>
      <c r="S10" s="221">
        <f t="shared" ref="S10:S27" si="4">R10-T10</f>
        <v>164</v>
      </c>
      <c r="T10" s="261">
        <f>'خطة الإمداد'!H35</f>
        <v>16</v>
      </c>
      <c r="U10" s="261">
        <v>3</v>
      </c>
      <c r="V10" s="203">
        <f>S10/U10</f>
        <v>54.666666666666664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1</v>
      </c>
      <c r="J11" s="221">
        <f>'خطة الإمداد'!F36</f>
        <v>59</v>
      </c>
      <c r="K11" s="261">
        <v>34</v>
      </c>
      <c r="L11" s="203">
        <f t="shared" si="2"/>
        <v>2.9411764705882353E-2</v>
      </c>
      <c r="M11" s="262">
        <v>30</v>
      </c>
      <c r="N11" s="261">
        <f t="shared" si="3"/>
        <v>16</v>
      </c>
      <c r="O11" s="221">
        <f>'خطة الإمداد'!G36</f>
        <v>14</v>
      </c>
      <c r="P11" s="261">
        <v>8</v>
      </c>
      <c r="Q11" s="203">
        <f>N11/P11</f>
        <v>2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18</v>
      </c>
      <c r="E12" s="261">
        <f>'خطة الإمداد'!E37</f>
        <v>12</v>
      </c>
      <c r="F12" s="261">
        <v>4</v>
      </c>
      <c r="G12" s="204">
        <f>D12/F12</f>
        <v>4.5</v>
      </c>
      <c r="H12" s="262">
        <v>90</v>
      </c>
      <c r="I12" s="261">
        <f t="shared" si="1"/>
        <v>37</v>
      </c>
      <c r="J12" s="221">
        <f>'خطة الإمداد'!F37</f>
        <v>53</v>
      </c>
      <c r="K12" s="261">
        <v>19</v>
      </c>
      <c r="L12" s="203">
        <f t="shared" si="2"/>
        <v>1.9473684210526316</v>
      </c>
      <c r="M12" s="263"/>
      <c r="N12" s="263"/>
      <c r="O12" s="263"/>
      <c r="P12" s="263"/>
      <c r="Q12" s="205"/>
      <c r="R12" s="262">
        <v>180</v>
      </c>
      <c r="S12" s="221">
        <f t="shared" si="4"/>
        <v>160</v>
      </c>
      <c r="T12" s="261">
        <f>'خطة الإمداد'!H37</f>
        <v>20</v>
      </c>
      <c r="U12" s="261">
        <v>8</v>
      </c>
      <c r="V12" s="203">
        <f>S12/U12</f>
        <v>20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2</v>
      </c>
      <c r="E13" s="261">
        <f>'خطة الإمداد'!E38</f>
        <v>28</v>
      </c>
      <c r="F13" s="261">
        <v>4</v>
      </c>
      <c r="G13" s="204">
        <f>D13/F13</f>
        <v>0.5</v>
      </c>
      <c r="H13" s="262">
        <v>90</v>
      </c>
      <c r="I13" s="261">
        <f t="shared" si="1"/>
        <v>59</v>
      </c>
      <c r="J13" s="221">
        <f>'خطة الإمداد'!F38</f>
        <v>31</v>
      </c>
      <c r="K13" s="261">
        <v>16</v>
      </c>
      <c r="L13" s="203">
        <f t="shared" si="2"/>
        <v>3.6875</v>
      </c>
      <c r="M13" s="263"/>
      <c r="N13" s="263"/>
      <c r="O13" s="263"/>
      <c r="P13" s="263"/>
      <c r="Q13" s="205"/>
      <c r="R13" s="262">
        <v>180</v>
      </c>
      <c r="S13" s="221">
        <f t="shared" si="4"/>
        <v>136</v>
      </c>
      <c r="T13" s="261">
        <f>'خطة الإمداد'!H38</f>
        <v>44</v>
      </c>
      <c r="U13" s="261">
        <v>19</v>
      </c>
      <c r="V13" s="203">
        <f>S13/U13</f>
        <v>7.1578947368421053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77</v>
      </c>
      <c r="J14" s="221">
        <f>'خطة الإمداد'!F39</f>
        <v>103</v>
      </c>
      <c r="K14" s="261">
        <v>39</v>
      </c>
      <c r="L14" s="203">
        <f t="shared" si="2"/>
        <v>1.9743589743589745</v>
      </c>
      <c r="M14" s="262">
        <v>60</v>
      </c>
      <c r="N14" s="261">
        <f t="shared" si="3"/>
        <v>29</v>
      </c>
      <c r="O14" s="221">
        <f>'خطة الإمداد'!G39</f>
        <v>31</v>
      </c>
      <c r="P14" s="261">
        <v>7</v>
      </c>
      <c r="Q14" s="203">
        <f t="shared" ref="Q14:Q21" si="5">N14/P14</f>
        <v>4.1428571428571432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105</v>
      </c>
      <c r="J15" s="221">
        <f>'خطة الإمداد'!F40</f>
        <v>75</v>
      </c>
      <c r="K15" s="261">
        <v>36</v>
      </c>
      <c r="L15" s="203">
        <f t="shared" si="2"/>
        <v>2.9166666666666665</v>
      </c>
      <c r="M15" s="262">
        <v>45</v>
      </c>
      <c r="N15" s="261">
        <f t="shared" si="3"/>
        <v>14</v>
      </c>
      <c r="O15" s="221">
        <f>'خطة الإمداد'!G40</f>
        <v>31</v>
      </c>
      <c r="P15" s="261">
        <v>8</v>
      </c>
      <c r="Q15" s="203">
        <f t="shared" si="5"/>
        <v>1.75</v>
      </c>
      <c r="R15" s="262">
        <v>120</v>
      </c>
      <c r="S15" s="221">
        <f t="shared" si="4"/>
        <v>85</v>
      </c>
      <c r="T15" s="261">
        <f>'خطة الإمداد'!H40</f>
        <v>35</v>
      </c>
      <c r="U15" s="261">
        <v>26</v>
      </c>
      <c r="V15" s="203">
        <f>S15/U15</f>
        <v>3.2692307692307692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66</v>
      </c>
      <c r="J16" s="221">
        <f>'خطة الإمداد'!F41</f>
        <v>24</v>
      </c>
      <c r="K16" s="261">
        <v>6</v>
      </c>
      <c r="L16" s="203">
        <f t="shared" si="2"/>
        <v>11</v>
      </c>
      <c r="M16" s="262">
        <v>30</v>
      </c>
      <c r="N16" s="261">
        <f t="shared" si="3"/>
        <v>6</v>
      </c>
      <c r="O16" s="221">
        <f>'خطة الإمداد'!G41</f>
        <v>24</v>
      </c>
      <c r="P16" s="261">
        <v>2</v>
      </c>
      <c r="Q16" s="203">
        <f t="shared" si="5"/>
        <v>3</v>
      </c>
      <c r="R16" s="262">
        <v>180</v>
      </c>
      <c r="S16" s="221">
        <f t="shared" si="4"/>
        <v>69</v>
      </c>
      <c r="T16" s="261">
        <f>'خطة الإمداد'!H41</f>
        <v>111</v>
      </c>
      <c r="U16" s="261">
        <v>56</v>
      </c>
      <c r="V16" s="203">
        <f>S16/U16</f>
        <v>1.2321428571428572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63</v>
      </c>
      <c r="J17" s="221">
        <f>'خطة الإمداد'!F42</f>
        <v>27</v>
      </c>
      <c r="K17" s="261">
        <v>5</v>
      </c>
      <c r="L17" s="203">
        <f t="shared" si="2"/>
        <v>12.6</v>
      </c>
      <c r="M17" s="262">
        <v>30</v>
      </c>
      <c r="N17" s="261">
        <f t="shared" si="3"/>
        <v>20</v>
      </c>
      <c r="O17" s="221">
        <f>'خطة الإمداد'!G42</f>
        <v>10</v>
      </c>
      <c r="P17" s="261">
        <v>1</v>
      </c>
      <c r="Q17" s="203">
        <f t="shared" si="5"/>
        <v>20</v>
      </c>
      <c r="R17" s="262">
        <v>60</v>
      </c>
      <c r="S17" s="194">
        <f t="shared" si="4"/>
        <v>50</v>
      </c>
      <c r="T17" s="261">
        <f>'خطة الإمداد'!H42</f>
        <v>10</v>
      </c>
      <c r="U17" s="261">
        <v>2</v>
      </c>
      <c r="V17" s="261">
        <f>S17/U17</f>
        <v>25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42</v>
      </c>
      <c r="J18" s="221">
        <f>'خطة الإمداد'!F43</f>
        <v>18</v>
      </c>
      <c r="K18" s="261">
        <v>2</v>
      </c>
      <c r="L18" s="203">
        <f t="shared" si="2"/>
        <v>21</v>
      </c>
      <c r="M18" s="262">
        <v>30</v>
      </c>
      <c r="N18" s="261">
        <f t="shared" si="3"/>
        <v>14</v>
      </c>
      <c r="O18" s="221">
        <f>'خطة الإمداد'!G43</f>
        <v>16</v>
      </c>
      <c r="P18" s="261">
        <v>5</v>
      </c>
      <c r="Q18" s="203">
        <f t="shared" si="5"/>
        <v>2.8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77</v>
      </c>
      <c r="J19" s="221">
        <f>'خطة الإمداد'!F44</f>
        <v>13</v>
      </c>
      <c r="K19" s="261">
        <v>6</v>
      </c>
      <c r="L19" s="203">
        <f t="shared" si="2"/>
        <v>12.833333333333334</v>
      </c>
      <c r="M19" s="262">
        <v>30</v>
      </c>
      <c r="N19" s="261">
        <f t="shared" si="3"/>
        <v>14</v>
      </c>
      <c r="O19" s="221">
        <f>'خطة الإمداد'!G44</f>
        <v>16</v>
      </c>
      <c r="P19" s="261">
        <v>2</v>
      </c>
      <c r="Q19" s="203">
        <f t="shared" si="5"/>
        <v>7</v>
      </c>
      <c r="R19" s="262">
        <v>180</v>
      </c>
      <c r="S19" s="221">
        <f t="shared" si="4"/>
        <v>147</v>
      </c>
      <c r="T19" s="261">
        <f>'خطة الإمداد'!H44</f>
        <v>33</v>
      </c>
      <c r="U19" s="261">
        <v>16</v>
      </c>
      <c r="V19" s="203">
        <f>S19/U19</f>
        <v>9.1875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36</v>
      </c>
      <c r="J20" s="221">
        <f>'خطة الإمداد'!F45</f>
        <v>54</v>
      </c>
      <c r="K20" s="261">
        <v>7</v>
      </c>
      <c r="L20" s="203">
        <f t="shared" si="2"/>
        <v>5.1428571428571432</v>
      </c>
      <c r="M20" s="262">
        <v>30</v>
      </c>
      <c r="N20" s="261">
        <f t="shared" si="3"/>
        <v>5</v>
      </c>
      <c r="O20" s="221">
        <f>'خطة الإمداد'!G45</f>
        <v>25</v>
      </c>
      <c r="P20" s="261">
        <v>1</v>
      </c>
      <c r="Q20" s="203">
        <f t="shared" si="5"/>
        <v>5</v>
      </c>
      <c r="R20" s="262">
        <v>180</v>
      </c>
      <c r="S20" s="221">
        <f t="shared" si="4"/>
        <v>130</v>
      </c>
      <c r="T20" s="261">
        <f>'خطة الإمداد'!H45</f>
        <v>50</v>
      </c>
      <c r="U20" s="261">
        <v>18</v>
      </c>
      <c r="V20" s="203">
        <f>S20/U20</f>
        <v>7.2222222222222223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29</v>
      </c>
      <c r="J21" s="221">
        <f>'خطة الإمداد'!F46</f>
        <v>61</v>
      </c>
      <c r="K21" s="261">
        <v>5</v>
      </c>
      <c r="L21" s="203">
        <f t="shared" si="2"/>
        <v>5.8</v>
      </c>
      <c r="M21" s="262">
        <v>30</v>
      </c>
      <c r="N21" s="261">
        <f t="shared" si="3"/>
        <v>18</v>
      </c>
      <c r="O21" s="221">
        <f>'خطة الإمداد'!G46</f>
        <v>12</v>
      </c>
      <c r="P21" s="261">
        <v>1</v>
      </c>
      <c r="Q21" s="203">
        <f t="shared" si="5"/>
        <v>18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12.399999999999999</v>
      </c>
      <c r="E22" s="194">
        <f>'خطة الإمداد'!E47</f>
        <v>17.600000000000001</v>
      </c>
      <c r="F22" s="194">
        <v>0.2</v>
      </c>
      <c r="G22" s="194">
        <f>D22/F22</f>
        <v>61.999999999999993</v>
      </c>
      <c r="H22" s="262">
        <v>60</v>
      </c>
      <c r="I22" s="261">
        <f t="shared" si="1"/>
        <v>51</v>
      </c>
      <c r="J22" s="221">
        <f>'خطة الإمداد'!F47</f>
        <v>9</v>
      </c>
      <c r="K22" s="261">
        <v>1</v>
      </c>
      <c r="L22" s="203">
        <f t="shared" ref="L22:L27" si="6">I22/K22</f>
        <v>51</v>
      </c>
      <c r="M22" s="263"/>
      <c r="N22" s="263"/>
      <c r="O22" s="263"/>
      <c r="P22" s="263"/>
      <c r="Q22" s="205"/>
      <c r="R22" s="262">
        <v>120</v>
      </c>
      <c r="S22" s="221">
        <f t="shared" si="4"/>
        <v>100</v>
      </c>
      <c r="T22" s="261">
        <f>'خطة الإمداد'!H47</f>
        <v>20</v>
      </c>
      <c r="U22" s="261">
        <v>14</v>
      </c>
      <c r="V22" s="203">
        <f t="shared" ref="V22:V27" si="7">S22/U22</f>
        <v>7.1428571428571432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49</v>
      </c>
      <c r="J23" s="221">
        <f>'خطة الإمداد'!F48</f>
        <v>11</v>
      </c>
      <c r="K23" s="261">
        <v>1</v>
      </c>
      <c r="L23" s="203">
        <f t="shared" si="6"/>
        <v>49</v>
      </c>
      <c r="M23" s="263"/>
      <c r="N23" s="263"/>
      <c r="O23" s="263"/>
      <c r="P23" s="263"/>
      <c r="Q23" s="205"/>
      <c r="R23" s="262">
        <v>120</v>
      </c>
      <c r="S23" s="221">
        <f t="shared" si="4"/>
        <v>90</v>
      </c>
      <c r="T23" s="261">
        <f>'خطة الإمداد'!H48</f>
        <v>30</v>
      </c>
      <c r="U23" s="261">
        <v>7</v>
      </c>
      <c r="V23" s="203">
        <f t="shared" si="7"/>
        <v>12.857142857142858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61</v>
      </c>
      <c r="J24" s="221">
        <f>'خطة الإمداد'!F49</f>
        <v>29</v>
      </c>
      <c r="K24" s="261">
        <v>11</v>
      </c>
      <c r="L24" s="203">
        <f t="shared" si="6"/>
        <v>5.5454545454545459</v>
      </c>
      <c r="M24" s="262">
        <v>30</v>
      </c>
      <c r="N24" s="261">
        <f t="shared" si="3"/>
        <v>17</v>
      </c>
      <c r="O24" s="221">
        <f>'خطة الإمداد'!G49</f>
        <v>13</v>
      </c>
      <c r="P24" s="261">
        <v>1</v>
      </c>
      <c r="Q24" s="203">
        <f>N24/P24</f>
        <v>17</v>
      </c>
      <c r="R24" s="262">
        <v>180</v>
      </c>
      <c r="S24" s="221">
        <f t="shared" si="4"/>
        <v>116</v>
      </c>
      <c r="T24" s="261">
        <f>'خطة الإمداد'!H49</f>
        <v>64</v>
      </c>
      <c r="U24" s="261">
        <v>42</v>
      </c>
      <c r="V24" s="203">
        <f t="shared" si="7"/>
        <v>2.7619047619047619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48</v>
      </c>
      <c r="J25" s="221">
        <f>'خطة الإمداد'!F50</f>
        <v>42</v>
      </c>
      <c r="K25" s="261">
        <v>14</v>
      </c>
      <c r="L25" s="203">
        <f t="shared" si="6"/>
        <v>3.4285714285714284</v>
      </c>
      <c r="M25" s="262">
        <v>30</v>
      </c>
      <c r="N25" s="261">
        <f t="shared" si="3"/>
        <v>6</v>
      </c>
      <c r="O25" s="221">
        <f>'خطة الإمداد'!G50</f>
        <v>24</v>
      </c>
      <c r="P25" s="261">
        <v>2</v>
      </c>
      <c r="Q25" s="203">
        <f>N25/P25</f>
        <v>3</v>
      </c>
      <c r="R25" s="262">
        <v>180</v>
      </c>
      <c r="S25" s="221">
        <f t="shared" si="4"/>
        <v>85</v>
      </c>
      <c r="T25" s="261">
        <f>'خطة الإمداد'!H50</f>
        <v>95</v>
      </c>
      <c r="U25" s="261">
        <v>35</v>
      </c>
      <c r="V25" s="203">
        <f t="shared" si="7"/>
        <v>2.4285714285714284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68</v>
      </c>
      <c r="J26" s="221">
        <f>'خطة الإمداد'!F51</f>
        <v>22</v>
      </c>
      <c r="K26" s="261">
        <v>6</v>
      </c>
      <c r="L26" s="203">
        <f t="shared" si="6"/>
        <v>11.333333333333334</v>
      </c>
      <c r="M26" s="262">
        <v>30</v>
      </c>
      <c r="N26" s="261">
        <f t="shared" si="3"/>
        <v>25</v>
      </c>
      <c r="O26" s="221">
        <f>'خطة الإمداد'!G51</f>
        <v>5</v>
      </c>
      <c r="P26" s="261">
        <v>1</v>
      </c>
      <c r="Q26" s="203">
        <f>N26/P26</f>
        <v>25</v>
      </c>
      <c r="R26" s="262">
        <v>180</v>
      </c>
      <c r="S26" s="221">
        <f t="shared" si="4"/>
        <v>138</v>
      </c>
      <c r="T26" s="261">
        <f>'خطة الإمداد'!H51</f>
        <v>42</v>
      </c>
      <c r="U26" s="261">
        <v>21</v>
      </c>
      <c r="V26" s="203">
        <f t="shared" si="7"/>
        <v>6.5714285714285712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58</v>
      </c>
      <c r="J27" s="221">
        <f>'خطة الإمداد'!F52</f>
        <v>32</v>
      </c>
      <c r="K27" s="261">
        <v>7</v>
      </c>
      <c r="L27" s="203">
        <f t="shared" si="6"/>
        <v>8.2857142857142865</v>
      </c>
      <c r="M27" s="262">
        <v>30</v>
      </c>
      <c r="N27" s="261">
        <f t="shared" si="3"/>
        <v>16</v>
      </c>
      <c r="O27" s="221">
        <f>'خطة الإمداد'!G52</f>
        <v>14</v>
      </c>
      <c r="P27" s="261">
        <v>1</v>
      </c>
      <c r="Q27" s="203">
        <f>N27/P27</f>
        <v>16</v>
      </c>
      <c r="R27" s="262">
        <v>180</v>
      </c>
      <c r="S27" s="221">
        <f t="shared" si="4"/>
        <v>127</v>
      </c>
      <c r="T27" s="261">
        <f>'خطة الإمداد'!H52</f>
        <v>53</v>
      </c>
      <c r="U27" s="261">
        <v>22</v>
      </c>
      <c r="V27" s="203">
        <f t="shared" si="7"/>
        <v>5.7727272727272725</v>
      </c>
    </row>
    <row r="28" spans="1:23" ht="24.75" customHeight="1" thickBot="1" x14ac:dyDescent="0.25">
      <c r="A28" s="400" t="s">
        <v>34</v>
      </c>
      <c r="B28" s="400"/>
      <c r="C28" s="206">
        <f>SUM(C8:C27)</f>
        <v>150</v>
      </c>
      <c r="D28" s="206">
        <f>SUM(D8:D27)</f>
        <v>74.400000000000006</v>
      </c>
      <c r="E28" s="206">
        <f t="shared" ref="E28:V28" si="8">SUM(E8:E27)</f>
        <v>75.599999999999994</v>
      </c>
      <c r="F28" s="206">
        <f t="shared" si="8"/>
        <v>21.2</v>
      </c>
      <c r="G28" s="206">
        <f t="shared" si="8"/>
        <v>73.333333333333329</v>
      </c>
      <c r="H28" s="262">
        <f t="shared" si="8"/>
        <v>1740</v>
      </c>
      <c r="I28" s="206">
        <f t="shared" si="8"/>
        <v>997</v>
      </c>
      <c r="J28" s="206">
        <f t="shared" si="8"/>
        <v>743</v>
      </c>
      <c r="K28" s="206">
        <f t="shared" si="8"/>
        <v>255</v>
      </c>
      <c r="L28" s="207">
        <f t="shared" si="8"/>
        <v>211.12356738978252</v>
      </c>
      <c r="M28" s="262">
        <f t="shared" si="8"/>
        <v>495</v>
      </c>
      <c r="N28" s="206">
        <f t="shared" si="8"/>
        <v>227</v>
      </c>
      <c r="O28" s="206">
        <f t="shared" si="8"/>
        <v>268</v>
      </c>
      <c r="P28" s="206">
        <f t="shared" si="8"/>
        <v>50</v>
      </c>
      <c r="Q28" s="207">
        <f t="shared" si="8"/>
        <v>130.09285714285716</v>
      </c>
      <c r="R28" s="262">
        <f t="shared" si="8"/>
        <v>2220</v>
      </c>
      <c r="S28" s="206">
        <f t="shared" si="8"/>
        <v>1597</v>
      </c>
      <c r="T28" s="206">
        <f t="shared" si="8"/>
        <v>623</v>
      </c>
      <c r="U28" s="206">
        <f t="shared" si="8"/>
        <v>289</v>
      </c>
      <c r="V28" s="207">
        <f t="shared" si="8"/>
        <v>165.27028928673667</v>
      </c>
    </row>
    <row r="29" spans="1:23" ht="20.100000000000001" customHeight="1" thickBot="1" x14ac:dyDescent="0.25">
      <c r="A29" s="387" t="s">
        <v>35</v>
      </c>
      <c r="B29" s="387"/>
      <c r="C29" s="391">
        <f>C28+H28+M28+R28</f>
        <v>4605</v>
      </c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2"/>
      <c r="R29" s="392"/>
      <c r="S29" s="392"/>
      <c r="T29" s="392"/>
      <c r="U29" s="392"/>
      <c r="V29" s="393"/>
    </row>
    <row r="30" spans="1:23" ht="20.100000000000001" customHeight="1" thickBot="1" x14ac:dyDescent="0.25">
      <c r="A30" s="387" t="s">
        <v>36</v>
      </c>
      <c r="B30" s="387"/>
      <c r="C30" s="391">
        <f>D28+I28+N28+S28</f>
        <v>2895.4</v>
      </c>
      <c r="D30" s="392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2"/>
      <c r="S30" s="392"/>
      <c r="T30" s="392"/>
      <c r="U30" s="392"/>
      <c r="V30" s="393"/>
    </row>
    <row r="31" spans="1:23" ht="20.100000000000001" customHeight="1" thickBot="1" x14ac:dyDescent="0.25">
      <c r="A31" s="387" t="s">
        <v>37</v>
      </c>
      <c r="B31" s="387"/>
      <c r="C31" s="391">
        <f>E28+J28+O28+T28</f>
        <v>1709.6</v>
      </c>
      <c r="D31" s="392"/>
      <c r="E31" s="392"/>
      <c r="F31" s="392"/>
      <c r="G31" s="392"/>
      <c r="H31" s="392"/>
      <c r="I31" s="392"/>
      <c r="J31" s="392"/>
      <c r="K31" s="392"/>
      <c r="L31" s="392"/>
      <c r="M31" s="392"/>
      <c r="N31" s="392"/>
      <c r="O31" s="392"/>
      <c r="P31" s="392"/>
      <c r="Q31" s="392"/>
      <c r="R31" s="392"/>
      <c r="S31" s="392"/>
      <c r="T31" s="392"/>
      <c r="U31" s="392"/>
      <c r="V31" s="393"/>
    </row>
    <row r="32" spans="1:23" ht="20.100000000000001" customHeight="1" thickBot="1" x14ac:dyDescent="0.25">
      <c r="A32" s="387" t="s">
        <v>38</v>
      </c>
      <c r="B32" s="387"/>
      <c r="C32" s="394">
        <f>C30/C29</f>
        <v>0.62875135722041264</v>
      </c>
      <c r="D32" s="395"/>
      <c r="E32" s="395"/>
      <c r="F32" s="395"/>
      <c r="G32" s="395"/>
      <c r="H32" s="395"/>
      <c r="I32" s="395"/>
      <c r="J32" s="395"/>
      <c r="K32" s="395"/>
      <c r="L32" s="395"/>
      <c r="M32" s="395"/>
      <c r="N32" s="395"/>
      <c r="O32" s="395"/>
      <c r="P32" s="395"/>
      <c r="Q32" s="395"/>
      <c r="R32" s="395"/>
      <c r="S32" s="395"/>
      <c r="T32" s="395"/>
      <c r="U32" s="395"/>
      <c r="V32" s="396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0" t="s">
        <v>94</v>
      </c>
      <c r="R5" s="410"/>
      <c r="S5" s="410"/>
      <c r="T5" s="410"/>
      <c r="U5" s="410"/>
    </row>
    <row r="6" spans="1:21" ht="15.75" customHeight="1" thickBot="1" x14ac:dyDescent="0.25">
      <c r="A6" s="503" t="s">
        <v>3</v>
      </c>
      <c r="B6" s="542">
        <v>80</v>
      </c>
      <c r="C6" s="543"/>
      <c r="D6" s="542">
        <v>92</v>
      </c>
      <c r="E6" s="543"/>
      <c r="F6" s="542">
        <v>95</v>
      </c>
      <c r="G6" s="543"/>
      <c r="H6" s="542" t="s">
        <v>50</v>
      </c>
      <c r="I6" s="543"/>
      <c r="K6" s="503" t="s">
        <v>3</v>
      </c>
      <c r="L6" s="73">
        <v>80</v>
      </c>
      <c r="M6" s="73">
        <v>92</v>
      </c>
      <c r="N6" s="73">
        <v>95</v>
      </c>
      <c r="O6" s="73" t="s">
        <v>50</v>
      </c>
      <c r="Q6" s="544" t="s">
        <v>3</v>
      </c>
      <c r="R6" s="545" t="s">
        <v>95</v>
      </c>
      <c r="S6" s="545" t="s">
        <v>96</v>
      </c>
      <c r="T6" s="545" t="s">
        <v>97</v>
      </c>
      <c r="U6" s="547" t="s">
        <v>98</v>
      </c>
    </row>
    <row r="7" spans="1:21" ht="15.75" thickBot="1" x14ac:dyDescent="0.25">
      <c r="A7" s="505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505"/>
      <c r="L7" s="74" t="s">
        <v>7</v>
      </c>
      <c r="M7" s="74" t="s">
        <v>7</v>
      </c>
      <c r="N7" s="74" t="s">
        <v>7</v>
      </c>
      <c r="O7" s="74" t="s">
        <v>7</v>
      </c>
      <c r="Q7" s="544"/>
      <c r="R7" s="546"/>
      <c r="S7" s="546"/>
      <c r="T7" s="546"/>
      <c r="U7" s="547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12</v>
      </c>
      <c r="E8" s="10">
        <f>'التمام الصباحي'!N8</f>
        <v>3.12</v>
      </c>
      <c r="F8" s="72">
        <f>'التمام الصباحي'!Q8</f>
        <v>8</v>
      </c>
      <c r="G8" s="10">
        <f>'التمام الصباحي'!T8</f>
        <v>2.75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0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13</v>
      </c>
      <c r="C9" s="9">
        <f>'التمام الصباحي'!H11</f>
        <v>3.4</v>
      </c>
      <c r="D9" s="72">
        <f>'التمام الصباحي'!K11</f>
        <v>18</v>
      </c>
      <c r="E9" s="10">
        <f>'التمام الصباحي'!N11</f>
        <v>1.68</v>
      </c>
      <c r="F9" s="72">
        <f>'التمام الصباحي'!Q11</f>
        <v>9</v>
      </c>
      <c r="G9" s="10">
        <f>'التمام الصباحي'!T11</f>
        <v>2.625</v>
      </c>
      <c r="H9" s="5">
        <f>'التمام الصباحي'!W11</f>
        <v>10</v>
      </c>
      <c r="I9" s="10">
        <f>'التمام الصباحي'!Z11</f>
        <v>28.333333333333332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0">
        <f>IF((ROUNDDOWN((SUM(M9:M10)/51)-(R9+R10),0.9))&lt;0,0,(ROUNDDOWN((SUM(M9:M10)/51)-(R9+R10),0.9)))</f>
        <v>0</v>
      </c>
      <c r="T9" s="540">
        <f>IF((ROUNDDOWN((SUM(O9:O10)/51)-(R9+R10),0.9))&lt;0,0,(ROUNDDOWN((SUM(O9:O10)/51)-(R9+R10),0.9)))</f>
        <v>0</v>
      </c>
      <c r="U9" s="54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17</v>
      </c>
      <c r="E10" s="10">
        <f>'التمام الصباحي'!N12</f>
        <v>1.7380952380952381</v>
      </c>
      <c r="F10" s="72">
        <f>'التمام الصباحي'!Q12</f>
        <v>2</v>
      </c>
      <c r="G10" s="10">
        <f>'التمام الصباحي'!T12</f>
        <v>2.3333333333333335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1"/>
      <c r="T10" s="541"/>
      <c r="U10" s="541"/>
    </row>
    <row r="11" spans="1:21" ht="17.25" thickTop="1" thickBot="1" x14ac:dyDescent="0.3">
      <c r="A11" s="77" t="s">
        <v>18</v>
      </c>
      <c r="B11" s="5">
        <f>'التمام الصباحي'!E13</f>
        <v>8</v>
      </c>
      <c r="C11" s="9">
        <f>'التمام الصباحي'!H13</f>
        <v>5.5</v>
      </c>
      <c r="D11" s="72">
        <f>'التمام الصباحي'!K13</f>
        <v>26</v>
      </c>
      <c r="E11" s="10">
        <f>'التمام الصباحي'!N13</f>
        <v>2.3703703703703702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12</v>
      </c>
      <c r="I11" s="10">
        <f>'التمام الصباحي'!Z13</f>
        <v>21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36">
        <f>IF((ROUNDDOWN((SUM(M11:M12)/51)-(R11+R12),0.9))&lt;0,0,(ROUNDDOWN((SUM(M11:M12)/51)-(R11+R12),0.9)))</f>
        <v>0</v>
      </c>
      <c r="T11" s="536">
        <f t="shared" ref="T11" si="5">IF((ROUNDDOWN((SUM(O11:O12)/51)-(R11+R12),0.9))&lt;0,0,(ROUNDDOWN((SUM(O11:O12)/51)-(R11+R12),0.9)))</f>
        <v>0</v>
      </c>
      <c r="U11" s="536">
        <f t="shared" ref="U11" si="6">IF((ROUNDDOWN((SUM(L11:O12)/51)-(R11+R12+S11+T11),0.9))&lt;0,0,ROUNDDOWN((SUM(L11:O12)/51)-(R11+R12+S11+T11),0.9))</f>
        <v>1</v>
      </c>
    </row>
    <row r="12" spans="1:21" ht="16.5" thickBot="1" x14ac:dyDescent="0.3">
      <c r="A12" s="77" t="s">
        <v>19</v>
      </c>
      <c r="B12" s="5">
        <f>'التمام الصباحي'!E14</f>
        <v>21</v>
      </c>
      <c r="C12" s="9">
        <f>'التمام الصباحي'!H14</f>
        <v>1.2857142857142858</v>
      </c>
      <c r="D12" s="72">
        <f>'التمام الصباحي'!K14</f>
        <v>9</v>
      </c>
      <c r="E12" s="10">
        <f>'التمام الصباحي'!N14</f>
        <v>3.6818181818181817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24</v>
      </c>
      <c r="I12" s="10">
        <f>'التمام الصباحي'!Z14</f>
        <v>7.8</v>
      </c>
      <c r="K12" s="79" t="s">
        <v>19</v>
      </c>
      <c r="L12" s="41">
        <f t="shared" si="3"/>
        <v>17</v>
      </c>
      <c r="M12" s="41">
        <f t="shared" si="1"/>
        <v>0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536"/>
      <c r="T12" s="536"/>
      <c r="U12" s="536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51</v>
      </c>
      <c r="E13" s="10">
        <f>'التمام الصباحي'!N15</f>
        <v>2.4807692307692308</v>
      </c>
      <c r="F13" s="72">
        <f>'التمام الصباحي'!Q15</f>
        <v>16</v>
      </c>
      <c r="G13" s="10">
        <f>'التمام الصباحي'!T15</f>
        <v>2.9333333333333331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51</v>
      </c>
      <c r="N13" s="41">
        <f t="shared" si="2"/>
        <v>0</v>
      </c>
      <c r="O13" s="80"/>
      <c r="P13" s="81"/>
      <c r="Q13" s="86" t="s">
        <v>20</v>
      </c>
      <c r="R13" s="87">
        <f t="shared" si="0"/>
        <v>1</v>
      </c>
      <c r="S13" s="540">
        <f>IF((ROUNDDOWN((SUM(M13:M14)/51)-(R13+R14),0.9))&lt;0,0,(ROUNDDOWN((SUM(M13:M14)/51)-(R13+R14),0.9)))</f>
        <v>0</v>
      </c>
      <c r="T13" s="540">
        <f t="shared" ref="T13" si="7">IF((ROUNDDOWN((SUM(O13:O14)/51)-(R13+R14),0.9))&lt;0,0,(ROUNDDOWN((SUM(O13:O14)/51)-(R13+R14),0.9)))</f>
        <v>0</v>
      </c>
      <c r="U13" s="54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40</v>
      </c>
      <c r="E14" s="10">
        <f>'التمام الصباحي'!N16</f>
        <v>4</v>
      </c>
      <c r="F14" s="72">
        <f>'التمام الصباحي'!Q16</f>
        <v>20</v>
      </c>
      <c r="G14" s="10">
        <f>'التمام الصباحي'!T16</f>
        <v>2.2727272727272729</v>
      </c>
      <c r="H14" s="5">
        <f>'التمام الصباحي'!W16</f>
        <v>10</v>
      </c>
      <c r="I14" s="10">
        <f>'التمام الصباحي'!Z16</f>
        <v>4.4000000000000004</v>
      </c>
      <c r="K14" s="88" t="s">
        <v>21</v>
      </c>
      <c r="L14" s="80"/>
      <c r="M14" s="41">
        <f t="shared" si="1"/>
        <v>34</v>
      </c>
      <c r="N14" s="41">
        <f t="shared" si="2"/>
        <v>17</v>
      </c>
      <c r="O14" s="41">
        <f t="shared" si="4"/>
        <v>0</v>
      </c>
      <c r="P14" s="81"/>
      <c r="Q14" s="89" t="s">
        <v>21</v>
      </c>
      <c r="R14" s="90">
        <f t="shared" si="0"/>
        <v>1</v>
      </c>
      <c r="S14" s="541"/>
      <c r="T14" s="541"/>
      <c r="U14" s="54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12</v>
      </c>
      <c r="E15" s="10">
        <f>'التمام الصباحي'!N17</f>
        <v>6.5</v>
      </c>
      <c r="F15" s="72">
        <f>'التمام الصباحي'!Q17</f>
        <v>18</v>
      </c>
      <c r="G15" s="10">
        <f>'التمام الصباحي'!T17</f>
        <v>2</v>
      </c>
      <c r="H15" s="5">
        <f>'التمام الصباحي'!W17</f>
        <v>80</v>
      </c>
      <c r="I15" s="10">
        <f>'التمام الصباحي'!Z17</f>
        <v>3.225806451612903</v>
      </c>
      <c r="K15" s="96" t="s">
        <v>22</v>
      </c>
      <c r="L15" s="80"/>
      <c r="M15" s="41">
        <f t="shared" si="1"/>
        <v>0</v>
      </c>
      <c r="N15" s="41">
        <f t="shared" si="2"/>
        <v>17</v>
      </c>
      <c r="O15" s="41">
        <f t="shared" si="4"/>
        <v>68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15</v>
      </c>
      <c r="E16" s="10">
        <f>'التمام الصباحي'!N18</f>
        <v>6.25</v>
      </c>
      <c r="F16" s="72">
        <f>'التمام الصباحي'!Q18</f>
        <v>6</v>
      </c>
      <c r="G16" s="10">
        <f>'التمام الصباحي'!T18</f>
        <v>6</v>
      </c>
      <c r="H16" s="5">
        <f>'التمام الصباحي'!W18</f>
        <v>5</v>
      </c>
      <c r="I16" s="10">
        <f>'التمام الصباحي'!Z18</f>
        <v>11</v>
      </c>
      <c r="K16" s="85" t="s">
        <v>23</v>
      </c>
      <c r="L16" s="80"/>
      <c r="M16" s="41">
        <f t="shared" si="1"/>
        <v>0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38">
        <f>IF((ROUNDDOWN((SUM(M16:M17)/51)-(R16+R17),0.9))&lt;0,0,(ROUNDDOWN((SUM(M16:M17)/51)-(R16+R17),0.9)))</f>
        <v>0</v>
      </c>
      <c r="T16" s="538">
        <f>IF((ROUNDDOWN((SUM(O16:O17)/51)-(R16+R17),0.9))&lt;0,0,(ROUNDDOWN((SUM(O16:O17)/51)-(R16+R17),0.9)))</f>
        <v>0</v>
      </c>
      <c r="U16" s="538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13</v>
      </c>
      <c r="E17" s="10">
        <f>'التمام الصباحي'!N19</f>
        <v>9.4</v>
      </c>
      <c r="F17" s="72">
        <f>'التمام الصباحي'!Q19</f>
        <v>14</v>
      </c>
      <c r="G17" s="10">
        <f>'التمام الصباحي'!T19</f>
        <v>8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39"/>
      <c r="T17" s="539"/>
      <c r="U17" s="539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9</v>
      </c>
      <c r="E18" s="10">
        <f>'التمام الصباحي'!N20</f>
        <v>20.25</v>
      </c>
      <c r="F18" s="72">
        <f>'التمام الصباحي'!Q20</f>
        <v>14</v>
      </c>
      <c r="G18" s="10">
        <f>'التمام الصباحي'!T20</f>
        <v>8</v>
      </c>
      <c r="H18" s="5">
        <f>'التمام الصباحي'!W20</f>
        <v>26</v>
      </c>
      <c r="I18" s="10">
        <f>'التمام الصباحي'!Z20</f>
        <v>22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20</v>
      </c>
      <c r="E19" s="10">
        <f>'التمام الصباحي'!N21</f>
        <v>2.0588235294117645</v>
      </c>
      <c r="F19" s="72">
        <f>'التمام الصباحي'!Q21</f>
        <v>12</v>
      </c>
      <c r="G19" s="10">
        <f>'التمام الصباحي'!T21</f>
        <v>1.3846153846153846</v>
      </c>
      <c r="H19" s="5">
        <f>'التمام الصباحي'!W21</f>
        <v>28</v>
      </c>
      <c r="I19" s="10">
        <f>'التمام الصباحي'!Z21</f>
        <v>6.9090909090909092</v>
      </c>
      <c r="K19" s="85" t="s">
        <v>25</v>
      </c>
      <c r="L19" s="80"/>
      <c r="M19" s="41">
        <f t="shared" si="1"/>
        <v>17</v>
      </c>
      <c r="N19" s="41">
        <f t="shared" si="2"/>
        <v>0</v>
      </c>
      <c r="O19" s="41">
        <f t="shared" si="4"/>
        <v>17</v>
      </c>
      <c r="P19" s="81"/>
      <c r="Q19" s="86" t="s">
        <v>25</v>
      </c>
      <c r="R19" s="87">
        <f t="shared" si="0"/>
        <v>0</v>
      </c>
      <c r="S19" s="540">
        <f>IF((ROUNDDOWN((SUM(M19:M20)/51)-(R19+R20),0.9))&lt;0,0,(ROUNDDOWN((SUM(M19:M20)/51)-(R19+R20),0.9)))</f>
        <v>0</v>
      </c>
      <c r="T19" s="540">
        <f>IF((ROUNDDOWN((SUM(O19:O20)/51)-(R19+R20),0.9))&lt;0,0,(ROUNDDOWN((SUM(O19:O20)/51)-(R19+R20),0.9)))</f>
        <v>0</v>
      </c>
      <c r="U19" s="540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53</v>
      </c>
      <c r="E20" s="10">
        <f>'التمام الصباحي'!N22</f>
        <v>4.625</v>
      </c>
      <c r="F20" s="72">
        <f>'التمام الصباحي'!Q22</f>
        <v>10</v>
      </c>
      <c r="G20" s="10">
        <f>'التمام الصباحي'!T22</f>
        <v>10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51</v>
      </c>
      <c r="N20" s="41">
        <f t="shared" si="2"/>
        <v>0</v>
      </c>
      <c r="O20" s="80"/>
      <c r="P20" s="81"/>
      <c r="Q20" s="89" t="s">
        <v>27</v>
      </c>
      <c r="R20" s="90">
        <f t="shared" si="0"/>
        <v>1</v>
      </c>
      <c r="S20" s="541"/>
      <c r="T20" s="541"/>
      <c r="U20" s="541"/>
    </row>
    <row r="21" spans="1:21" ht="17.25" thickTop="1" thickBot="1" x14ac:dyDescent="0.3">
      <c r="A21" s="77" t="s">
        <v>28</v>
      </c>
      <c r="B21" s="5">
        <f>'التمام الصباحي'!E23</f>
        <v>17</v>
      </c>
      <c r="C21" s="9">
        <f>'التمام الصباحي'!H23</f>
        <v>21.666666666666668</v>
      </c>
      <c r="D21" s="72">
        <f>'التمام الصباحي'!K23</f>
        <v>6</v>
      </c>
      <c r="E21" s="10">
        <f>'التمام الصباحي'!N23</f>
        <v>18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13</v>
      </c>
      <c r="I21" s="10">
        <f>'التمام الصباحي'!Z23</f>
        <v>15.285714285714286</v>
      </c>
      <c r="K21" s="91" t="s">
        <v>28</v>
      </c>
      <c r="L21" s="41">
        <f t="shared" si="3"/>
        <v>17</v>
      </c>
      <c r="M21" s="41">
        <f t="shared" si="1"/>
        <v>0</v>
      </c>
      <c r="N21" s="80"/>
      <c r="O21" s="41">
        <f t="shared" si="4"/>
        <v>0</v>
      </c>
      <c r="P21" s="81"/>
      <c r="Q21" s="92" t="s">
        <v>28</v>
      </c>
      <c r="R21" s="93">
        <f t="shared" si="0"/>
        <v>0</v>
      </c>
      <c r="S21" s="536">
        <f>IF((ROUNDDOWN((SUM(M21:M22)/51)-(R21+R22),0.9))&lt;0,0,(ROUNDDOWN((SUM(M21:M22)/51)-(R21+R22),0.9)))</f>
        <v>0</v>
      </c>
      <c r="T21" s="538">
        <f>IF((ROUNDDOWN((SUM(O21:O22)/51)-(R21+R22),0.9))&lt;0,0,(ROUNDDOWN((SUM(O21:O22)/51)-(R21+R22),0.9)))</f>
        <v>0</v>
      </c>
      <c r="U21" s="538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5</v>
      </c>
      <c r="E22" s="10">
        <f>'التمام الصباحي'!N24</f>
        <v>9.1666666666666661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25</v>
      </c>
      <c r="I22" s="10">
        <f>'التمام الصباحي'!Z24</f>
        <v>19</v>
      </c>
      <c r="K22" s="79" t="s">
        <v>29</v>
      </c>
      <c r="L22" s="80"/>
      <c r="M22" s="41">
        <f t="shared" si="1"/>
        <v>0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536"/>
      <c r="T22" s="539"/>
      <c r="U22" s="539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14</v>
      </c>
      <c r="E23" s="10">
        <f>'التمام الصباحي'!N25</f>
        <v>5.0666666666666664</v>
      </c>
      <c r="F23" s="72">
        <f>'التمام الصباحي'!Q25</f>
        <v>10</v>
      </c>
      <c r="G23" s="10">
        <f>'التمام الصباحي'!T25</f>
        <v>6.666666666666667</v>
      </c>
      <c r="H23" s="5">
        <f>'التمام الصباحي'!W25</f>
        <v>21</v>
      </c>
      <c r="I23" s="10">
        <f>'التمام الصباحي'!Z25</f>
        <v>3.6976744186046511</v>
      </c>
      <c r="K23" s="85" t="s">
        <v>30</v>
      </c>
      <c r="L23" s="80"/>
      <c r="M23" s="41">
        <f t="shared" si="1"/>
        <v>0</v>
      </c>
      <c r="N23" s="41">
        <f t="shared" si="2"/>
        <v>0</v>
      </c>
      <c r="O23" s="41">
        <f t="shared" si="4"/>
        <v>17</v>
      </c>
      <c r="P23" s="81"/>
      <c r="Q23" s="86" t="s">
        <v>30</v>
      </c>
      <c r="R23" s="87">
        <f t="shared" si="0"/>
        <v>0</v>
      </c>
      <c r="S23" s="540">
        <f>IF((ROUNDDOWN((SUM(M23:M24)/51)-(R23+R24),0.9))&lt;0,0,(ROUNDDOWN((SUM(M23:M24)/51)-(R23+R24),0.9)))</f>
        <v>0</v>
      </c>
      <c r="T23" s="540">
        <f>IF((ROUNDDOWN((SUM(O23:O24)/51)-(R23+R24),0.9))&lt;0,0,(ROUNDDOWN((SUM(O23:O24)/51)-(R23+R24),0.9)))</f>
        <v>0</v>
      </c>
      <c r="U23" s="540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25</v>
      </c>
      <c r="E24" s="10">
        <f>'التمام الصباحي'!N26</f>
        <v>3.8235294117647061</v>
      </c>
      <c r="F24" s="72">
        <f>'التمام الصباحي'!Q26</f>
        <v>20</v>
      </c>
      <c r="G24" s="10">
        <f>'التمام الصباحي'!T26</f>
        <v>2.5</v>
      </c>
      <c r="H24" s="5">
        <f>'التمام الصباحي'!W26</f>
        <v>55</v>
      </c>
      <c r="I24" s="10">
        <f>'التمام الصباحي'!Z26</f>
        <v>3.125</v>
      </c>
      <c r="K24" s="88" t="s">
        <v>31</v>
      </c>
      <c r="L24" s="80"/>
      <c r="M24" s="41">
        <f t="shared" si="1"/>
        <v>17</v>
      </c>
      <c r="N24" s="41">
        <f t="shared" si="2"/>
        <v>17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541"/>
      <c r="T24" s="541"/>
      <c r="U24" s="54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10</v>
      </c>
      <c r="E25" s="10">
        <f>'التمام الصباحي'!N27</f>
        <v>6.666666666666667</v>
      </c>
      <c r="F25" s="72">
        <f>'التمام الصباحي'!Q27</f>
        <v>3</v>
      </c>
      <c r="G25" s="10">
        <f>'التمام الصباحي'!T27</f>
        <v>13.5</v>
      </c>
      <c r="H25" s="5">
        <f>'التمام الصباحي'!W27</f>
        <v>20</v>
      </c>
      <c r="I25" s="10">
        <f>'التمام الصباحي'!Z27</f>
        <v>7.2727272727272725</v>
      </c>
      <c r="K25" s="91" t="s">
        <v>32</v>
      </c>
      <c r="L25" s="80"/>
      <c r="M25" s="41">
        <f t="shared" si="1"/>
        <v>0</v>
      </c>
      <c r="N25" s="41">
        <f t="shared" si="2"/>
        <v>0</v>
      </c>
      <c r="O25" s="41">
        <f t="shared" si="4"/>
        <v>17</v>
      </c>
      <c r="P25" s="81"/>
      <c r="Q25" s="92" t="s">
        <v>32</v>
      </c>
      <c r="R25" s="93">
        <f t="shared" si="0"/>
        <v>0</v>
      </c>
      <c r="S25" s="536">
        <f>IF((ROUNDDOWN((SUM(M25:M26)/51)-(R25+R26),0.9))&lt;0,0,(ROUNDDOWN((SUM(M25:M26)/51)-(R25+R26),0.9)))</f>
        <v>0</v>
      </c>
      <c r="T25" s="536">
        <f>IF((ROUNDDOWN((SUM(O25:O26)/51)-(R25+R26),0.9))&lt;0,0,(ROUNDDOWN((SUM(O25:O26)/51)-(R25+R26),0.9)))</f>
        <v>0</v>
      </c>
      <c r="U25" s="536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23</v>
      </c>
      <c r="E26" s="10">
        <f>'التمام الصباحي'!N28</f>
        <v>7.4444444444444446</v>
      </c>
      <c r="F26" s="72">
        <f>'التمام الصباحي'!Q28</f>
        <v>12</v>
      </c>
      <c r="G26" s="10">
        <f>'التمام الصباحي'!T28</f>
        <v>9</v>
      </c>
      <c r="H26" s="5">
        <f>'التمام الصباحي'!W28</f>
        <v>34</v>
      </c>
      <c r="I26" s="10">
        <f>'التمام الصباحي'!Z28</f>
        <v>7.6842105263157894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34</v>
      </c>
      <c r="P26" s="81"/>
      <c r="Q26" s="51" t="s">
        <v>33</v>
      </c>
      <c r="R26" s="103">
        <f t="shared" si="0"/>
        <v>1</v>
      </c>
      <c r="S26" s="537"/>
      <c r="T26" s="537"/>
      <c r="U26" s="537"/>
    </row>
    <row r="29" spans="1:21" ht="15.75" x14ac:dyDescent="0.2">
      <c r="K29" s="159" t="s">
        <v>117</v>
      </c>
      <c r="M29">
        <f>SUM(L8:O26)</f>
        <v>578</v>
      </c>
      <c r="U29" s="138">
        <f>SUM(R8:U26)</f>
        <v>8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50" t="s">
        <v>123</v>
      </c>
      <c r="C3" s="550"/>
      <c r="D3" s="550"/>
      <c r="F3" s="550" t="s">
        <v>124</v>
      </c>
      <c r="G3" s="550"/>
      <c r="H3" s="550"/>
      <c r="J3" s="428" t="s">
        <v>125</v>
      </c>
      <c r="K3" s="428"/>
      <c r="M3" s="428" t="s">
        <v>127</v>
      </c>
      <c r="N3" s="428"/>
      <c r="P3" s="428" t="s">
        <v>126</v>
      </c>
      <c r="Q3" s="428"/>
    </row>
    <row r="4" spans="2:20" ht="15.75" thickBot="1" x14ac:dyDescent="0.25">
      <c r="B4" s="503" t="s">
        <v>3</v>
      </c>
      <c r="C4" s="420" t="s">
        <v>84</v>
      </c>
      <c r="D4" s="420" t="s">
        <v>88</v>
      </c>
      <c r="F4" s="503" t="s">
        <v>3</v>
      </c>
      <c r="G4" s="420" t="s">
        <v>84</v>
      </c>
      <c r="H4" s="420" t="s">
        <v>88</v>
      </c>
      <c r="J4" s="503" t="s">
        <v>3</v>
      </c>
      <c r="K4" s="420" t="s">
        <v>85</v>
      </c>
      <c r="L4" s="562"/>
      <c r="M4" s="503" t="s">
        <v>3</v>
      </c>
      <c r="N4" s="420" t="s">
        <v>109</v>
      </c>
      <c r="P4" s="503" t="s">
        <v>3</v>
      </c>
      <c r="Q4" s="420" t="s">
        <v>90</v>
      </c>
    </row>
    <row r="5" spans="2:20" ht="15.75" thickBot="1" x14ac:dyDescent="0.25">
      <c r="B5" s="505"/>
      <c r="C5" s="420"/>
      <c r="D5" s="420"/>
      <c r="F5" s="505"/>
      <c r="G5" s="420"/>
      <c r="H5" s="420"/>
      <c r="J5" s="505"/>
      <c r="K5" s="420"/>
      <c r="L5" s="562"/>
      <c r="M5" s="505"/>
      <c r="N5" s="420"/>
      <c r="P5" s="505"/>
      <c r="Q5" s="420"/>
    </row>
    <row r="6" spans="2:20" ht="16.5" thickBot="1" x14ac:dyDescent="0.25">
      <c r="B6" s="165" t="s">
        <v>120</v>
      </c>
      <c r="C6" s="545">
        <f>IF(G20&gt;H20,$C$21*2*$K$21,IF(G20=H20,$C$21*2*$K$21,0))</f>
        <v>0</v>
      </c>
      <c r="D6" s="545">
        <f>IF(G20&gt;H20,$D$21*2*$L$21,IF(G20=H20,$D$21*2*$L$21,0))</f>
        <v>0</v>
      </c>
      <c r="F6" s="165" t="s">
        <v>120</v>
      </c>
      <c r="G6" s="545">
        <f>IF(H20&gt;G20,$C$21*2*$K$21,0)</f>
        <v>0</v>
      </c>
      <c r="H6" s="545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45">
        <f>C36*2*P25</f>
        <v>0</v>
      </c>
      <c r="P6" s="165" t="s">
        <v>30</v>
      </c>
      <c r="Q6" s="545">
        <f>C42*2*O28</f>
        <v>0</v>
      </c>
    </row>
    <row r="7" spans="2:20" ht="16.5" thickBot="1" x14ac:dyDescent="0.25">
      <c r="B7" s="165" t="s">
        <v>121</v>
      </c>
      <c r="C7" s="546"/>
      <c r="D7" s="546"/>
      <c r="F7" s="165" t="s">
        <v>121</v>
      </c>
      <c r="G7" s="546"/>
      <c r="H7" s="546"/>
      <c r="J7" s="165" t="s">
        <v>23</v>
      </c>
      <c r="K7" s="545">
        <f>C32*2*N23</f>
        <v>0</v>
      </c>
      <c r="M7" s="165" t="s">
        <v>27</v>
      </c>
      <c r="N7" s="546"/>
      <c r="P7" s="165" t="s">
        <v>31</v>
      </c>
      <c r="Q7" s="546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46"/>
      <c r="M8" s="165" t="s">
        <v>112</v>
      </c>
      <c r="N8" s="164"/>
      <c r="P8" s="165" t="s">
        <v>32</v>
      </c>
      <c r="Q8" s="545">
        <f>C44*2*O29</f>
        <v>0</v>
      </c>
    </row>
    <row r="9" spans="2:20" ht="16.5" thickBot="1" x14ac:dyDescent="0.25">
      <c r="B9" s="165" t="s">
        <v>16</v>
      </c>
      <c r="C9" s="545">
        <f>IF(G20&gt;H20,$C$24*2*$K$18,IF(G20=H20,$C$24*2*$K$18,0))</f>
        <v>64</v>
      </c>
      <c r="D9" s="545">
        <f>IF(G20&gt;H20,$D$24*2*$L$18,IF(G20=H20,$D$24*2*$L$18,0))</f>
        <v>0</v>
      </c>
      <c r="F9" s="165" t="s">
        <v>16</v>
      </c>
      <c r="G9" s="545">
        <f>IF(H20&gt;G20,$C$24*2*$K$18,0)</f>
        <v>0</v>
      </c>
      <c r="H9" s="545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45">
        <f>C39*2*P27</f>
        <v>608</v>
      </c>
      <c r="P9" s="165" t="s">
        <v>33</v>
      </c>
      <c r="Q9" s="546"/>
    </row>
    <row r="10" spans="2:20" ht="16.5" thickBot="1" x14ac:dyDescent="0.25">
      <c r="B10" s="165" t="s">
        <v>17</v>
      </c>
      <c r="C10" s="546"/>
      <c r="D10" s="546"/>
      <c r="F10" s="165" t="s">
        <v>17</v>
      </c>
      <c r="G10" s="546"/>
      <c r="H10" s="546"/>
      <c r="M10" s="165" t="s">
        <v>29</v>
      </c>
      <c r="N10" s="546"/>
    </row>
    <row r="11" spans="2:20" ht="16.5" thickBot="1" x14ac:dyDescent="0.25">
      <c r="B11" s="165" t="s">
        <v>18</v>
      </c>
      <c r="C11" s="545">
        <f>IF(G20&gt;H20,$C$26*2*$K$19,IF(G20=H20,$C$26*2*$K$19,0))</f>
        <v>64</v>
      </c>
      <c r="D11" s="545">
        <f>IF(G20&gt;H20,$D$26*2*$L$19,IF(G20=H20,$D$26*2*$L$19,0))</f>
        <v>96</v>
      </c>
      <c r="F11" s="165" t="s">
        <v>18</v>
      </c>
      <c r="G11" s="545">
        <f>IF(H20&gt;G20,$C$26*2*$K$19,0)</f>
        <v>0</v>
      </c>
      <c r="H11" s="545">
        <f>IF(H20&gt;G20,$D$26*2*$L$19,0)</f>
        <v>0</v>
      </c>
    </row>
    <row r="12" spans="2:20" ht="16.5" thickBot="1" x14ac:dyDescent="0.25">
      <c r="B12" s="165" t="s">
        <v>19</v>
      </c>
      <c r="C12" s="546"/>
      <c r="D12" s="546"/>
      <c r="F12" s="165" t="s">
        <v>19</v>
      </c>
      <c r="G12" s="546"/>
      <c r="H12" s="546"/>
      <c r="J12" s="551" t="s">
        <v>154</v>
      </c>
      <c r="K12" s="182">
        <f>K6+K7+K9</f>
        <v>0</v>
      </c>
      <c r="M12" s="551" t="s">
        <v>154</v>
      </c>
      <c r="N12" s="182">
        <f>SUM(N6:N10)</f>
        <v>608</v>
      </c>
      <c r="P12" s="551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45">
        <f>IF(G20&gt;H20,$C$28*2*$K$20,IF(G20=H20,$C$28*2*$K$20,0))</f>
        <v>156</v>
      </c>
      <c r="D13" s="545">
        <f>IF(G20&gt;H20,$D$28*2*$L$20,IF(G20=H20,$D$28*2*$L$20,0))</f>
        <v>0</v>
      </c>
      <c r="F13" s="165" t="s">
        <v>20</v>
      </c>
      <c r="G13" s="545">
        <f>IF(H20&gt;G20,$C$28*2*$K$20,0)</f>
        <v>0</v>
      </c>
      <c r="H13" s="545">
        <f>IF(H20&gt;G20,$D$28*2*$L$20,0)</f>
        <v>0</v>
      </c>
      <c r="J13" s="551"/>
      <c r="K13" s="182"/>
      <c r="M13" s="551"/>
      <c r="N13" s="182"/>
      <c r="P13" s="551"/>
      <c r="Q13" s="182"/>
    </row>
    <row r="14" spans="2:20" ht="16.5" thickBot="1" x14ac:dyDescent="0.25">
      <c r="B14" s="165" t="s">
        <v>21</v>
      </c>
      <c r="C14" s="546"/>
      <c r="D14" s="546"/>
      <c r="F14" s="165" t="s">
        <v>21</v>
      </c>
      <c r="G14" s="546"/>
      <c r="H14" s="546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380</v>
      </c>
      <c r="H16" s="166">
        <f>SUM(G6:H14)</f>
        <v>0</v>
      </c>
      <c r="J16" s="558" t="s">
        <v>130</v>
      </c>
      <c r="K16" s="552" t="s">
        <v>131</v>
      </c>
      <c r="L16" s="552"/>
      <c r="M16" s="552"/>
      <c r="N16" s="552" t="s">
        <v>85</v>
      </c>
      <c r="O16" s="552" t="s">
        <v>132</v>
      </c>
      <c r="P16" s="552" t="s">
        <v>86</v>
      </c>
      <c r="Q16" s="552" t="s">
        <v>119</v>
      </c>
      <c r="R16" s="548" t="s">
        <v>133</v>
      </c>
      <c r="S16" s="548" t="s">
        <v>134</v>
      </c>
      <c r="T16" s="548" t="s">
        <v>135</v>
      </c>
    </row>
    <row r="17" spans="2:20" ht="18" x14ac:dyDescent="0.2">
      <c r="B17" s="181"/>
      <c r="J17" s="559"/>
      <c r="K17" s="169" t="s">
        <v>136</v>
      </c>
      <c r="L17" s="169" t="s">
        <v>137</v>
      </c>
      <c r="M17" s="169" t="s">
        <v>138</v>
      </c>
      <c r="N17" s="553"/>
      <c r="O17" s="553"/>
      <c r="P17" s="553"/>
      <c r="Q17" s="553"/>
      <c r="R17" s="549"/>
      <c r="S17" s="549"/>
      <c r="T17" s="549"/>
    </row>
    <row r="18" spans="2:20" ht="16.5" thickBot="1" x14ac:dyDescent="0.25">
      <c r="B18" s="550" t="s">
        <v>129</v>
      </c>
      <c r="C18" s="550"/>
      <c r="D18" s="550"/>
      <c r="F18" s="550"/>
      <c r="G18" s="550"/>
      <c r="H18" s="550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503" t="s">
        <v>3</v>
      </c>
      <c r="C19" s="509" t="s">
        <v>84</v>
      </c>
      <c r="D19" s="509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505"/>
      <c r="C20" s="509"/>
      <c r="D20" s="509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45">
        <f>ROUNDDOWN(SUM(المستودعات!C5:F5)/51,0.9)</f>
        <v>0</v>
      </c>
      <c r="D21" s="545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46"/>
      <c r="D22" s="546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45">
        <f>ROUNDDOWN(SUM(المستودعات!C9:F10)/51,0.9)</f>
        <v>2</v>
      </c>
      <c r="D24" s="545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46"/>
      <c r="D25" s="546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45">
        <f>ROUNDDOWN(SUM(المستودعات!C11:F12)/51,0.9)</f>
        <v>1</v>
      </c>
      <c r="D26" s="545">
        <f>ROUNDDOWN(SUM(المستودعات!G11:I12)/51,0.9)</f>
        <v>1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46"/>
      <c r="D27" s="546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45">
        <f>ROUNDDOWN(SUM(المستودعات!C13:F14)/51,0.9)</f>
        <v>2</v>
      </c>
      <c r="D28" s="545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46"/>
      <c r="D29" s="546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6" t="s">
        <v>85</v>
      </c>
      <c r="C30" s="507"/>
      <c r="D30" s="508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60">
        <f>ROUNDDOWN(SUM(المستودعات!O5:Q5)/51,0.9)</f>
        <v>0</v>
      </c>
      <c r="D31" s="561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4">
        <f>ROUNDDOWN(SUM(المستودعات!O6:Q7)/51,0.9)</f>
        <v>0</v>
      </c>
      <c r="D32" s="555"/>
    </row>
    <row r="33" spans="2:4" ht="16.5" thickBot="1" x14ac:dyDescent="0.25">
      <c r="B33" s="165" t="s">
        <v>24</v>
      </c>
      <c r="C33" s="556"/>
      <c r="D33" s="557"/>
    </row>
    <row r="34" spans="2:4" ht="16.5" thickBot="1" x14ac:dyDescent="0.25">
      <c r="B34" s="165" t="s">
        <v>26</v>
      </c>
      <c r="C34" s="560">
        <f>ROUNDDOWN(SUM(المستودعات!O8:Q8)/51,0.9)</f>
        <v>0</v>
      </c>
      <c r="D34" s="561"/>
    </row>
    <row r="35" spans="2:4" ht="22.5" customHeight="1" thickBot="1" x14ac:dyDescent="0.25">
      <c r="B35" s="506" t="s">
        <v>128</v>
      </c>
      <c r="C35" s="507"/>
      <c r="D35" s="508"/>
    </row>
    <row r="36" spans="2:4" ht="16.5" thickBot="1" x14ac:dyDescent="0.25">
      <c r="B36" s="165" t="s">
        <v>25</v>
      </c>
      <c r="C36" s="554">
        <f>ROUNDDOWN(SUM(المستودعات!J23:K24)/51,0.9)</f>
        <v>0</v>
      </c>
      <c r="D36" s="555"/>
    </row>
    <row r="37" spans="2:4" ht="16.5" thickBot="1" x14ac:dyDescent="0.25">
      <c r="B37" s="165" t="s">
        <v>27</v>
      </c>
      <c r="C37" s="556"/>
      <c r="D37" s="557"/>
    </row>
    <row r="38" spans="2:4" ht="16.5" thickBot="1" x14ac:dyDescent="0.25">
      <c r="B38" s="96" t="s">
        <v>112</v>
      </c>
      <c r="C38" s="560"/>
      <c r="D38" s="561"/>
    </row>
    <row r="39" spans="2:4" ht="16.5" thickBot="1" x14ac:dyDescent="0.25">
      <c r="B39" s="165" t="s">
        <v>28</v>
      </c>
      <c r="C39" s="554">
        <f>ROUNDDOWN(SUM(المستودعات!C28:I29)/51,0.9)</f>
        <v>2</v>
      </c>
      <c r="D39" s="555"/>
    </row>
    <row r="40" spans="2:4" ht="16.5" thickBot="1" x14ac:dyDescent="0.25">
      <c r="B40" s="165" t="s">
        <v>29</v>
      </c>
      <c r="C40" s="556"/>
      <c r="D40" s="557"/>
    </row>
    <row r="41" spans="2:4" ht="21.75" customHeight="1" thickBot="1" x14ac:dyDescent="0.25">
      <c r="B41" s="506" t="s">
        <v>90</v>
      </c>
      <c r="C41" s="507"/>
      <c r="D41" s="508"/>
    </row>
    <row r="42" spans="2:4" ht="16.5" thickBot="1" x14ac:dyDescent="0.25">
      <c r="B42" s="165" t="s">
        <v>30</v>
      </c>
      <c r="C42" s="554">
        <f>ROUNDDOWN(SUM(المستودعات!Q15:Q16)/51,0.9)</f>
        <v>0</v>
      </c>
      <c r="D42" s="555"/>
    </row>
    <row r="43" spans="2:4" ht="16.5" thickBot="1" x14ac:dyDescent="0.25">
      <c r="B43" s="165" t="s">
        <v>31</v>
      </c>
      <c r="C43" s="556"/>
      <c r="D43" s="557"/>
    </row>
    <row r="44" spans="2:4" ht="16.5" thickBot="1" x14ac:dyDescent="0.25">
      <c r="B44" s="165" t="s">
        <v>32</v>
      </c>
      <c r="C44" s="554">
        <f>ROUNDDOWN(SUM(المستودعات!Q17:Q18)/51,0.9)</f>
        <v>0</v>
      </c>
      <c r="D44" s="555"/>
    </row>
    <row r="45" spans="2:4" ht="16.5" thickBot="1" x14ac:dyDescent="0.25">
      <c r="B45" s="165" t="s">
        <v>33</v>
      </c>
      <c r="C45" s="556"/>
      <c r="D45" s="557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3" t="s">
        <v>103</v>
      </c>
      <c r="D2" s="563"/>
      <c r="E2" s="563"/>
      <c r="F2" s="563"/>
    </row>
    <row r="3" spans="1:15" ht="15" thickBot="1" x14ac:dyDescent="0.25"/>
    <row r="4" spans="1:15" ht="15.75" thickBot="1" x14ac:dyDescent="0.25">
      <c r="A4" s="451" t="s">
        <v>3</v>
      </c>
      <c r="B4" s="401" t="s">
        <v>104</v>
      </c>
      <c r="C4" s="401"/>
      <c r="D4" s="452"/>
      <c r="E4" s="564" t="s">
        <v>84</v>
      </c>
      <c r="F4" s="565"/>
      <c r="G4" s="565"/>
      <c r="H4" s="409"/>
    </row>
    <row r="5" spans="1:15" ht="15.75" thickBot="1" x14ac:dyDescent="0.25">
      <c r="A5" s="451"/>
      <c r="B5" s="408" t="s">
        <v>81</v>
      </c>
      <c r="C5" s="565"/>
      <c r="D5" s="566"/>
      <c r="E5" s="112" t="s">
        <v>81</v>
      </c>
      <c r="F5" s="408" t="s">
        <v>87</v>
      </c>
      <c r="G5" s="565"/>
      <c r="H5" s="409"/>
      <c r="K5" s="503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51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505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0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51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68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68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17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17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0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51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17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102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253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448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1634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52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68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17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3" t="s">
        <v>105</v>
      </c>
      <c r="D2" s="563"/>
      <c r="E2" s="563"/>
      <c r="F2" s="563"/>
    </row>
    <row r="3" spans="1:15" ht="15" thickBot="1" x14ac:dyDescent="0.25"/>
    <row r="4" spans="1:15" ht="15.75" thickBot="1" x14ac:dyDescent="0.25">
      <c r="A4" s="451" t="s">
        <v>3</v>
      </c>
      <c r="B4" s="408" t="s">
        <v>85</v>
      </c>
      <c r="C4" s="565"/>
      <c r="D4" s="565"/>
      <c r="E4" s="565"/>
      <c r="F4" s="565"/>
      <c r="G4" s="565"/>
      <c r="H4" s="409"/>
      <c r="I4" s="278" t="s">
        <v>119</v>
      </c>
    </row>
    <row r="5" spans="1:15" ht="15.75" thickBot="1" x14ac:dyDescent="0.25">
      <c r="A5" s="451"/>
      <c r="B5" s="120" t="s">
        <v>81</v>
      </c>
      <c r="C5" s="572" t="s">
        <v>87</v>
      </c>
      <c r="D5" s="542"/>
      <c r="E5" s="573"/>
      <c r="F5" s="542" t="s">
        <v>83</v>
      </c>
      <c r="G5" s="542"/>
      <c r="H5" s="543"/>
      <c r="I5" s="279" t="s">
        <v>83</v>
      </c>
      <c r="K5" s="503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1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505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17</v>
      </c>
      <c r="O7" s="41">
        <f>'خطة الإمداد'!O40</f>
        <v>34</v>
      </c>
    </row>
    <row r="8" spans="1:15" ht="16.5" thickBot="1" x14ac:dyDescent="0.3">
      <c r="A8" s="110" t="s">
        <v>23</v>
      </c>
      <c r="B8" s="37">
        <f t="shared" ref="B8:B10" si="0">IF(O8&gt;50,O8,0)</f>
        <v>102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17</v>
      </c>
      <c r="O8" s="41">
        <f>'خطة الإمداد'!O41</f>
        <v>102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17</v>
      </c>
      <c r="N9" s="41">
        <f>'خطة الإمداد'!N42</f>
        <v>0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70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71"/>
      <c r="C16" s="52" t="s">
        <v>93</v>
      </c>
      <c r="D16" s="53">
        <f>[1]التعاون.ملخص!$D$6</f>
        <v>0</v>
      </c>
    </row>
    <row r="17" spans="2:4" ht="16.5" thickBot="1" x14ac:dyDescent="0.25">
      <c r="B17" s="571"/>
      <c r="C17" s="59" t="s">
        <v>87</v>
      </c>
      <c r="D17" s="60" t="e">
        <f>[1]موبيل.ملخص!$D$5</f>
        <v>#REF!</v>
      </c>
    </row>
    <row r="18" spans="2:4" ht="16.5" thickBot="1" x14ac:dyDescent="0.25">
      <c r="B18" s="568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7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8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7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9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102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3" t="s">
        <v>106</v>
      </c>
      <c r="D2" s="563"/>
      <c r="E2" s="563"/>
      <c r="F2" s="563"/>
    </row>
    <row r="3" spans="1:15" ht="15" thickBot="1" x14ac:dyDescent="0.25"/>
    <row r="4" spans="1:15" ht="15.75" thickBot="1" x14ac:dyDescent="0.25">
      <c r="A4" s="451" t="s">
        <v>3</v>
      </c>
      <c r="B4" s="408" t="s">
        <v>91</v>
      </c>
      <c r="C4" s="565"/>
      <c r="D4" s="565"/>
      <c r="E4" s="565"/>
      <c r="F4" s="565"/>
      <c r="G4" s="565"/>
      <c r="H4" s="565"/>
      <c r="I4" s="409"/>
    </row>
    <row r="5" spans="1:15" ht="15.75" thickBot="1" x14ac:dyDescent="0.25">
      <c r="A5" s="451"/>
      <c r="B5" s="544" t="s">
        <v>81</v>
      </c>
      <c r="C5" s="544"/>
      <c r="D5" s="560"/>
      <c r="E5" s="577" t="s">
        <v>83</v>
      </c>
      <c r="F5" s="578"/>
      <c r="G5" s="561" t="s">
        <v>87</v>
      </c>
      <c r="H5" s="544"/>
      <c r="I5" s="544"/>
      <c r="K5" s="503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1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505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0</v>
      </c>
      <c r="N7" s="41">
        <f>'خطة الإمداد'!N44</f>
        <v>0</v>
      </c>
      <c r="O7" s="41">
        <f>'خطة الإمداد'!O44</f>
        <v>17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34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51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17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4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5"/>
      <c r="C15" s="52" t="s">
        <v>93</v>
      </c>
      <c r="D15" s="57">
        <f>[1]التعاون.ملخص!$D$7</f>
        <v>81</v>
      </c>
    </row>
    <row r="16" spans="1:15" ht="16.5" thickBot="1" x14ac:dyDescent="0.3">
      <c r="B16" s="576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32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4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5"/>
      <c r="C20" s="70" t="s">
        <v>93</v>
      </c>
      <c r="D20" s="71">
        <f>[1]التعاون.ملخص!$D$9</f>
        <v>79</v>
      </c>
    </row>
    <row r="21" spans="2:4" ht="16.5" thickBot="1" x14ac:dyDescent="0.3">
      <c r="B21" s="576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13" t="s">
        <v>0</v>
      </c>
      <c r="B1" s="413"/>
      <c r="C1" s="413"/>
      <c r="D1" s="413"/>
      <c r="E1" s="413"/>
      <c r="Q1" s="411"/>
      <c r="R1" s="411"/>
    </row>
    <row r="2" spans="1:18" ht="15.75" x14ac:dyDescent="0.25">
      <c r="A2" s="413" t="s">
        <v>1</v>
      </c>
      <c r="B2" s="413"/>
      <c r="C2" s="413"/>
      <c r="D2" s="413"/>
      <c r="E2" s="413"/>
    </row>
    <row r="3" spans="1:18" ht="15.75" x14ac:dyDescent="0.25">
      <c r="A3" s="413" t="s">
        <v>2</v>
      </c>
      <c r="B3" s="413"/>
      <c r="C3" s="413"/>
      <c r="D3" s="413"/>
      <c r="E3" s="413"/>
    </row>
    <row r="4" spans="1:18" ht="48.75" customHeight="1" thickBot="1" x14ac:dyDescent="0.3">
      <c r="F4" s="410" t="s">
        <v>194</v>
      </c>
      <c r="G4" s="410"/>
      <c r="H4" s="410"/>
      <c r="I4" s="410"/>
      <c r="J4" s="410"/>
      <c r="K4" s="410"/>
      <c r="L4" s="410"/>
      <c r="M4" s="410"/>
      <c r="P4" s="410" t="s">
        <v>51</v>
      </c>
      <c r="Q4" s="410"/>
      <c r="R4" s="30"/>
    </row>
    <row r="5" spans="1:18" ht="20.100000000000001" customHeight="1" thickBot="1" x14ac:dyDescent="0.25">
      <c r="A5" s="420" t="s">
        <v>14</v>
      </c>
      <c r="B5" s="420" t="s">
        <v>3</v>
      </c>
      <c r="C5" s="401" t="s">
        <v>5</v>
      </c>
      <c r="D5" s="401"/>
      <c r="E5" s="401"/>
      <c r="F5" s="401" t="s">
        <v>11</v>
      </c>
      <c r="G5" s="401"/>
      <c r="H5" s="401"/>
      <c r="I5" s="401" t="s">
        <v>12</v>
      </c>
      <c r="J5" s="401"/>
      <c r="K5" s="401"/>
      <c r="L5" s="401" t="s">
        <v>50</v>
      </c>
      <c r="M5" s="401"/>
      <c r="N5" s="401"/>
      <c r="O5" s="408" t="s">
        <v>45</v>
      </c>
      <c r="P5" s="409"/>
      <c r="Q5" s="417" t="s">
        <v>49</v>
      </c>
    </row>
    <row r="6" spans="1:18" ht="20.100000000000001" customHeight="1" thickBot="1" x14ac:dyDescent="0.25">
      <c r="A6" s="420"/>
      <c r="B6" s="420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18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24498</v>
      </c>
      <c r="G7" s="2">
        <f>F7*6.75</f>
        <v>165361.5</v>
      </c>
      <c r="H7" s="2">
        <f>F7*0.33</f>
        <v>8084.34</v>
      </c>
      <c r="I7" s="2">
        <f>'أخذ التمام الصباحي'!K5</f>
        <v>6989</v>
      </c>
      <c r="J7" s="2">
        <f>I7*7.75</f>
        <v>54164.75</v>
      </c>
      <c r="K7" s="2">
        <f>I7*0.45</f>
        <v>3145.05</v>
      </c>
      <c r="L7" s="6"/>
      <c r="M7" s="6"/>
      <c r="N7" s="6"/>
      <c r="O7" s="7">
        <f>SUM(D7,G7,J7,M7)/100</f>
        <v>2195.2624999999998</v>
      </c>
      <c r="P7" s="10">
        <f>'أخذ التمام الصباحي'!Q5</f>
        <v>1860</v>
      </c>
      <c r="Q7" s="7">
        <f t="shared" ref="Q7:Q27" si="0">P7-O7</f>
        <v>-335.26249999999982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30485</v>
      </c>
      <c r="G8" s="287">
        <f>F8*6.75</f>
        <v>205773.75</v>
      </c>
      <c r="H8" s="287">
        <f>F8*0.33</f>
        <v>10060.050000000001</v>
      </c>
      <c r="I8" s="287">
        <f>'أخذ التمام الصباحي'!K6</f>
        <v>9588</v>
      </c>
      <c r="J8" s="287">
        <f>I8*7.75</f>
        <v>74307</v>
      </c>
      <c r="K8" s="287">
        <f>I8*0.45</f>
        <v>4314.6000000000004</v>
      </c>
      <c r="L8" s="6"/>
      <c r="M8" s="6"/>
      <c r="N8" s="6"/>
      <c r="O8" s="7">
        <f>SUM(D8,G8,J8,M8)/100</f>
        <v>2800.8074999999999</v>
      </c>
      <c r="P8" s="10">
        <f>'أخذ التمام الصباحي'!Q6</f>
        <v>2570</v>
      </c>
      <c r="Q8" s="7">
        <f t="shared" si="0"/>
        <v>-230.80749999999989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43018</v>
      </c>
      <c r="D9" s="5">
        <f t="shared" ref="D9" si="1">C9*5.5</f>
        <v>236599</v>
      </c>
      <c r="E9" s="5">
        <f>C9*0.25</f>
        <v>10754.5</v>
      </c>
      <c r="F9" s="292">
        <f>'أخذ التمام الصباحي'!H7</f>
        <v>20340</v>
      </c>
      <c r="G9" s="292">
        <f t="shared" ref="G9:G27" si="2">F9*6.75</f>
        <v>137295</v>
      </c>
      <c r="H9" s="292">
        <f t="shared" ref="H9:H27" si="3">F9*0.33</f>
        <v>6712.2000000000007</v>
      </c>
      <c r="I9" s="292">
        <f>'أخذ التمام الصباحي'!K7</f>
        <v>4035</v>
      </c>
      <c r="J9" s="292">
        <f t="shared" ref="J9:J27" si="4">I9*7.75</f>
        <v>31271.25</v>
      </c>
      <c r="K9" s="292">
        <f t="shared" ref="K9:K27" si="5">I9*0.45</f>
        <v>1815.75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4051.6525000000001</v>
      </c>
      <c r="P9" s="10">
        <f>'أخذ التمام الصباحي'!Q7</f>
        <v>3780</v>
      </c>
      <c r="Q9" s="7">
        <f t="shared" si="0"/>
        <v>-271.65250000000015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3031</v>
      </c>
      <c r="D10" s="5">
        <f t="shared" ref="D10:D22" si="7">C10*5.5</f>
        <v>16670.5</v>
      </c>
      <c r="E10" s="5">
        <f>C10*0.25</f>
        <v>757.75</v>
      </c>
      <c r="F10" s="292">
        <f>'أخذ التمام الصباحي'!H8</f>
        <v>19808</v>
      </c>
      <c r="G10" s="292">
        <f t="shared" si="2"/>
        <v>133704</v>
      </c>
      <c r="H10" s="292">
        <f t="shared" si="3"/>
        <v>6536.64</v>
      </c>
      <c r="I10" s="292">
        <f>'أخذ التمام الصباحي'!K8</f>
        <v>6969</v>
      </c>
      <c r="J10" s="292">
        <f t="shared" si="4"/>
        <v>54009.75</v>
      </c>
      <c r="K10" s="292">
        <f t="shared" si="5"/>
        <v>3136.05</v>
      </c>
      <c r="L10" s="2">
        <f>'أخذ التمام الصباحي'!N8</f>
        <v>6562</v>
      </c>
      <c r="M10" s="2">
        <f t="shared" ref="M10:M27" si="8">L10*5.5</f>
        <v>36091</v>
      </c>
      <c r="N10" s="2">
        <f>L10*0.26</f>
        <v>1706.1200000000001</v>
      </c>
      <c r="O10" s="7">
        <f t="shared" ref="O10:O27" si="9">SUM(D10,G10,J10,M10)/100</f>
        <v>2404.7525000000001</v>
      </c>
      <c r="P10" s="10">
        <f>'أخذ التمام الصباحي'!Q8</f>
        <v>3140</v>
      </c>
      <c r="Q10" s="7">
        <f t="shared" si="0"/>
        <v>735.24749999999995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38764</v>
      </c>
      <c r="G11" s="292">
        <f t="shared" si="2"/>
        <v>261657</v>
      </c>
      <c r="H11" s="292">
        <f t="shared" si="3"/>
        <v>12792.12</v>
      </c>
      <c r="I11" s="292">
        <f>'أخذ التمام الصباحي'!K9</f>
        <v>10843</v>
      </c>
      <c r="J11" s="292">
        <f t="shared" si="4"/>
        <v>84033.25</v>
      </c>
      <c r="K11" s="292">
        <f t="shared" si="5"/>
        <v>4879.3500000000004</v>
      </c>
      <c r="L11" s="6"/>
      <c r="M11" s="6"/>
      <c r="N11" s="6"/>
      <c r="O11" s="7">
        <f t="shared" si="9"/>
        <v>3456.9025000000001</v>
      </c>
      <c r="P11" s="10">
        <f>'أخذ التمام الصباحي'!Q9</f>
        <v>3390</v>
      </c>
      <c r="Q11" s="7">
        <f t="shared" si="0"/>
        <v>-66.902500000000146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2721</v>
      </c>
      <c r="D12" s="5">
        <f t="shared" si="7"/>
        <v>14965.5</v>
      </c>
      <c r="E12" s="5">
        <f t="shared" si="10"/>
        <v>680.25</v>
      </c>
      <c r="F12" s="292">
        <f>'أخذ التمام الصباحي'!H10</f>
        <v>21980</v>
      </c>
      <c r="G12" s="292">
        <f t="shared" si="2"/>
        <v>148365</v>
      </c>
      <c r="H12" s="292">
        <f t="shared" si="3"/>
        <v>7253.4000000000005</v>
      </c>
      <c r="I12" s="6"/>
      <c r="J12" s="6"/>
      <c r="K12" s="6"/>
      <c r="L12" s="20">
        <f>'أخذ التمام الصباحي'!N10</f>
        <v>6595</v>
      </c>
      <c r="M12" s="2">
        <f t="shared" si="8"/>
        <v>36272.5</v>
      </c>
      <c r="N12" s="2">
        <f>L12*0.26</f>
        <v>1714.7</v>
      </c>
      <c r="O12" s="7">
        <f t="shared" si="9"/>
        <v>1996.03</v>
      </c>
      <c r="P12" s="10">
        <f>'أخذ التمام الصباحي'!Q10</f>
        <v>2401</v>
      </c>
      <c r="Q12" s="7">
        <f t="shared" si="0"/>
        <v>404.97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5452</v>
      </c>
      <c r="D13" s="5">
        <f t="shared" si="7"/>
        <v>29986</v>
      </c>
      <c r="E13" s="5">
        <f t="shared" si="10"/>
        <v>1363</v>
      </c>
      <c r="F13" s="292">
        <f>'أخذ التمام الصباحي'!H11</f>
        <v>17543</v>
      </c>
      <c r="G13" s="292">
        <f t="shared" si="2"/>
        <v>118415.25</v>
      </c>
      <c r="H13" s="292">
        <f t="shared" si="3"/>
        <v>5789.1900000000005</v>
      </c>
      <c r="I13" s="6"/>
      <c r="J13" s="6"/>
      <c r="K13" s="6"/>
      <c r="L13" s="20">
        <f>'أخذ التمام الصباحي'!N11</f>
        <v>17280</v>
      </c>
      <c r="M13" s="2">
        <f t="shared" si="8"/>
        <v>95040</v>
      </c>
      <c r="N13" s="2">
        <f>L13*0.26</f>
        <v>4492.8</v>
      </c>
      <c r="O13" s="7">
        <f t="shared" si="9"/>
        <v>2434.4124999999999</v>
      </c>
      <c r="P13" s="10">
        <f>'أخذ التمام الصباحي'!Q11</f>
        <v>2780</v>
      </c>
      <c r="Q13" s="7">
        <f t="shared" si="0"/>
        <v>345.58750000000009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32691</v>
      </c>
      <c r="G14" s="292">
        <f t="shared" si="2"/>
        <v>220664.25</v>
      </c>
      <c r="H14" s="292">
        <f t="shared" si="3"/>
        <v>10788.03</v>
      </c>
      <c r="I14" s="292">
        <f>'أخذ التمام الصباحي'!K12</f>
        <v>10539</v>
      </c>
      <c r="J14" s="292">
        <f t="shared" si="4"/>
        <v>81677.25</v>
      </c>
      <c r="K14" s="292">
        <f t="shared" si="5"/>
        <v>4742.55</v>
      </c>
      <c r="L14" s="6"/>
      <c r="M14" s="6"/>
      <c r="N14" s="6"/>
      <c r="O14" s="7">
        <f t="shared" si="9"/>
        <v>3023.415</v>
      </c>
      <c r="P14" s="10">
        <f>'أخذ التمام الصباحي'!Q12</f>
        <v>3000</v>
      </c>
      <c r="Q14" s="7">
        <f t="shared" si="0"/>
        <v>-23.414999999999964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38200</v>
      </c>
      <c r="G15" s="292">
        <f t="shared" si="2"/>
        <v>257850</v>
      </c>
      <c r="H15" s="292">
        <f t="shared" si="3"/>
        <v>12606</v>
      </c>
      <c r="I15" s="292">
        <f>'أخذ التمام الصباحي'!K13</f>
        <v>11400</v>
      </c>
      <c r="J15" s="292">
        <f t="shared" si="4"/>
        <v>88350</v>
      </c>
      <c r="K15" s="292">
        <f t="shared" si="5"/>
        <v>5130</v>
      </c>
      <c r="L15" s="20">
        <f>'أخذ التمام الصباحي'!N13</f>
        <v>39600</v>
      </c>
      <c r="M15" s="2">
        <f t="shared" si="8"/>
        <v>217800</v>
      </c>
      <c r="N15" s="2">
        <f>L15*0.26</f>
        <v>10296</v>
      </c>
      <c r="O15" s="7">
        <f t="shared" si="9"/>
        <v>5640</v>
      </c>
      <c r="P15" s="10">
        <f>'أخذ التمام الصباحي'!Q13</f>
        <v>0</v>
      </c>
      <c r="Q15" s="7">
        <f t="shared" si="0"/>
        <v>-5640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7085</v>
      </c>
      <c r="G16" s="292">
        <f t="shared" si="2"/>
        <v>47823.75</v>
      </c>
      <c r="H16" s="292">
        <f t="shared" si="3"/>
        <v>2338.0500000000002</v>
      </c>
      <c r="I16" s="292">
        <f>'أخذ التمام الصباحي'!K14</f>
        <v>3745</v>
      </c>
      <c r="J16" s="292">
        <f t="shared" si="4"/>
        <v>29023.75</v>
      </c>
      <c r="K16" s="292">
        <f t="shared" si="5"/>
        <v>1685.25</v>
      </c>
      <c r="L16" s="20">
        <f>'أخذ التمام الصباحي'!N14</f>
        <v>67446</v>
      </c>
      <c r="M16" s="2">
        <f t="shared" si="8"/>
        <v>370953</v>
      </c>
      <c r="N16" s="139">
        <f>L16*0.26</f>
        <v>17535.96</v>
      </c>
      <c r="O16" s="7">
        <f t="shared" si="9"/>
        <v>4478.0050000000001</v>
      </c>
      <c r="P16" s="10">
        <f>'أخذ التمام الصباحي'!Q14</f>
        <v>8372</v>
      </c>
      <c r="Q16" s="7">
        <f t="shared" si="0"/>
        <v>3893.9949999999999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9248</v>
      </c>
      <c r="G17" s="292">
        <f t="shared" si="2"/>
        <v>62424</v>
      </c>
      <c r="H17" s="292">
        <f t="shared" si="3"/>
        <v>3051.84</v>
      </c>
      <c r="I17" s="292">
        <f>'أخذ التمام الصباحي'!K15</f>
        <v>3095</v>
      </c>
      <c r="J17" s="292">
        <f t="shared" si="4"/>
        <v>23986.25</v>
      </c>
      <c r="K17" s="292">
        <f t="shared" si="5"/>
        <v>1392.75</v>
      </c>
      <c r="L17" s="20">
        <f>'أخذ التمام الصباحي'!N15</f>
        <v>2775</v>
      </c>
      <c r="M17" s="2">
        <f t="shared" si="8"/>
        <v>15262.5</v>
      </c>
      <c r="N17" s="139">
        <f>L17*0.26</f>
        <v>721.5</v>
      </c>
      <c r="O17" s="7">
        <f t="shared" si="9"/>
        <v>1016.7275</v>
      </c>
      <c r="P17" s="10">
        <f>'أخذ التمام الصباحي'!Q15</f>
        <v>1260</v>
      </c>
      <c r="Q17" s="7">
        <f t="shared" si="0"/>
        <v>243.27250000000004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2944</v>
      </c>
      <c r="G18" s="292">
        <f t="shared" si="2"/>
        <v>19872</v>
      </c>
      <c r="H18" s="292">
        <f t="shared" si="3"/>
        <v>971.5200000000001</v>
      </c>
      <c r="I18" s="292">
        <f>'أخذ التمام الصباحي'!K16</f>
        <v>753</v>
      </c>
      <c r="J18" s="292">
        <f t="shared" si="4"/>
        <v>5835.75</v>
      </c>
      <c r="K18" s="292">
        <f t="shared" si="5"/>
        <v>338.85</v>
      </c>
      <c r="L18" s="6"/>
      <c r="M18" s="6"/>
      <c r="N18" s="6"/>
      <c r="O18" s="7">
        <f t="shared" si="9"/>
        <v>257.07749999999999</v>
      </c>
      <c r="P18" s="10">
        <f>'أخذ التمام الصباحي'!Q16</f>
        <v>359</v>
      </c>
      <c r="Q18" s="7">
        <f t="shared" si="0"/>
        <v>101.92250000000001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2419</v>
      </c>
      <c r="G19" s="292">
        <f t="shared" si="2"/>
        <v>16328.25</v>
      </c>
      <c r="H19" s="292">
        <f t="shared" si="3"/>
        <v>798.27</v>
      </c>
      <c r="I19" s="292">
        <f>'أخذ التمام الصباحي'!K17</f>
        <v>737</v>
      </c>
      <c r="J19" s="292">
        <f t="shared" si="4"/>
        <v>5711.75</v>
      </c>
      <c r="K19" s="292">
        <f t="shared" si="5"/>
        <v>331.65000000000003</v>
      </c>
      <c r="L19" s="20">
        <f>'أخذ التمام الصباحي'!N17</f>
        <v>6181</v>
      </c>
      <c r="M19" s="2">
        <f t="shared" si="8"/>
        <v>33995.5</v>
      </c>
      <c r="N19" s="2">
        <f>L19*0.26</f>
        <v>1607.06</v>
      </c>
      <c r="O19" s="7">
        <f t="shared" si="9"/>
        <v>560.35500000000002</v>
      </c>
      <c r="P19" s="10">
        <f>'أخذ التمام الصباحي'!Q17</f>
        <v>1030</v>
      </c>
      <c r="Q19" s="7">
        <f t="shared" si="0"/>
        <v>469.64499999999998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8813</v>
      </c>
      <c r="G20" s="292">
        <f t="shared" si="2"/>
        <v>59487.75</v>
      </c>
      <c r="H20" s="292">
        <f t="shared" si="3"/>
        <v>2908.29</v>
      </c>
      <c r="I20" s="292">
        <f>'أخذ التمام الصباحي'!K18</f>
        <v>2380</v>
      </c>
      <c r="J20" s="292">
        <f t="shared" si="4"/>
        <v>18445</v>
      </c>
      <c r="K20" s="292">
        <f t="shared" si="5"/>
        <v>1071</v>
      </c>
      <c r="L20" s="20">
        <f>'أخذ التمام الصباحي'!N18</f>
        <v>27955</v>
      </c>
      <c r="M20" s="2">
        <f t="shared" si="8"/>
        <v>153752.5</v>
      </c>
      <c r="N20" s="139">
        <f>L20*0.26</f>
        <v>7268.3</v>
      </c>
      <c r="O20" s="7">
        <f t="shared" si="9"/>
        <v>2316.8525</v>
      </c>
      <c r="P20" s="10">
        <f>'أخذ التمام الصباحي'!Q18</f>
        <v>2920</v>
      </c>
      <c r="Q20" s="7">
        <f t="shared" si="0"/>
        <v>603.14750000000004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8133</v>
      </c>
      <c r="G21" s="292">
        <f t="shared" si="2"/>
        <v>54897.75</v>
      </c>
      <c r="H21" s="292">
        <f t="shared" si="3"/>
        <v>2683.8900000000003</v>
      </c>
      <c r="I21" s="292">
        <f>'أخذ التمام الصباحي'!K19</f>
        <v>1496</v>
      </c>
      <c r="J21" s="292">
        <f t="shared" si="4"/>
        <v>11594</v>
      </c>
      <c r="K21" s="292">
        <f t="shared" si="5"/>
        <v>673.2</v>
      </c>
      <c r="L21" s="6"/>
      <c r="M21" s="6"/>
      <c r="N21" s="6"/>
      <c r="O21" s="7">
        <f t="shared" si="9"/>
        <v>664.91750000000002</v>
      </c>
      <c r="P21" s="10">
        <f>'أخذ التمام الصباحي'!Q19</f>
        <v>820</v>
      </c>
      <c r="Q21" s="7">
        <f t="shared" si="0"/>
        <v>155.08249999999998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282</v>
      </c>
      <c r="D22" s="5">
        <f t="shared" si="7"/>
        <v>1551</v>
      </c>
      <c r="E22" s="5">
        <f>C22*0.25</f>
        <v>70.5</v>
      </c>
      <c r="F22" s="292">
        <f>'أخذ التمام الصباحي'!H20</f>
        <v>684</v>
      </c>
      <c r="G22" s="292">
        <f t="shared" si="2"/>
        <v>4617</v>
      </c>
      <c r="H22" s="292">
        <f t="shared" si="3"/>
        <v>225.72</v>
      </c>
      <c r="I22" s="6"/>
      <c r="J22" s="6"/>
      <c r="K22" s="6"/>
      <c r="L22" s="20">
        <f>'أخذ التمام الصباحي'!N20</f>
        <v>3419</v>
      </c>
      <c r="M22" s="2">
        <f t="shared" si="8"/>
        <v>18804.5</v>
      </c>
      <c r="N22" s="2">
        <f t="shared" ref="N22:N27" si="11">L22*0.26</f>
        <v>888.94</v>
      </c>
      <c r="O22" s="7">
        <f t="shared" si="9"/>
        <v>249.72499999999999</v>
      </c>
      <c r="P22" s="10">
        <f>'أخذ التمام الصباحي'!Q20</f>
        <v>550</v>
      </c>
      <c r="Q22" s="7">
        <f t="shared" si="0"/>
        <v>300.27499999999998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1383</v>
      </c>
      <c r="G23" s="292">
        <f t="shared" si="2"/>
        <v>9335.25</v>
      </c>
      <c r="H23" s="292">
        <f t="shared" si="3"/>
        <v>456.39000000000004</v>
      </c>
      <c r="I23" s="6"/>
      <c r="J23" s="6"/>
      <c r="K23" s="6"/>
      <c r="L23" s="20">
        <f>'أخذ التمام الصباحي'!N21</f>
        <v>5826</v>
      </c>
      <c r="M23" s="2">
        <f t="shared" si="8"/>
        <v>32043</v>
      </c>
      <c r="N23" s="183">
        <f t="shared" si="11"/>
        <v>1514.76</v>
      </c>
      <c r="O23" s="7">
        <f t="shared" si="9"/>
        <v>413.78250000000003</v>
      </c>
      <c r="P23" s="10">
        <f>'أخذ التمام الصباحي'!Q21</f>
        <v>450</v>
      </c>
      <c r="Q23" s="7">
        <f t="shared" si="0"/>
        <v>36.217499999999973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14165</v>
      </c>
      <c r="G24" s="292">
        <f t="shared" si="2"/>
        <v>95613.75</v>
      </c>
      <c r="H24" s="292">
        <f t="shared" si="3"/>
        <v>4674.45</v>
      </c>
      <c r="I24" s="292">
        <f>'أخذ التمام الصباحي'!K22</f>
        <v>2237</v>
      </c>
      <c r="J24" s="292">
        <f t="shared" si="4"/>
        <v>17336.75</v>
      </c>
      <c r="K24" s="292">
        <f t="shared" si="5"/>
        <v>1006.65</v>
      </c>
      <c r="L24" s="20">
        <f>'أخذ التمام الصباحي'!N22</f>
        <v>54522</v>
      </c>
      <c r="M24" s="2">
        <f t="shared" si="8"/>
        <v>299871</v>
      </c>
      <c r="N24" s="183">
        <f t="shared" si="11"/>
        <v>14175.720000000001</v>
      </c>
      <c r="O24" s="7">
        <f t="shared" si="9"/>
        <v>4128.2150000000001</v>
      </c>
      <c r="P24" s="10">
        <f>'أخذ التمام الصباحي'!Q22</f>
        <v>5630</v>
      </c>
      <c r="Q24" s="7">
        <f t="shared" si="0"/>
        <v>1501.7849999999999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16253</v>
      </c>
      <c r="G25" s="292">
        <f t="shared" si="2"/>
        <v>109707.75</v>
      </c>
      <c r="H25" s="292">
        <f t="shared" si="3"/>
        <v>5363.4900000000007</v>
      </c>
      <c r="I25" s="292">
        <f>'أخذ التمام الصباحي'!K23</f>
        <v>3645</v>
      </c>
      <c r="J25" s="292">
        <f t="shared" si="4"/>
        <v>28248.75</v>
      </c>
      <c r="K25" s="292">
        <f t="shared" si="5"/>
        <v>1640.25</v>
      </c>
      <c r="L25" s="20">
        <f>'أخذ التمام الصباحي'!N23</f>
        <v>50305</v>
      </c>
      <c r="M25" s="2">
        <f t="shared" si="8"/>
        <v>276677.5</v>
      </c>
      <c r="N25" s="183">
        <f t="shared" si="11"/>
        <v>13079.300000000001</v>
      </c>
      <c r="O25" s="7">
        <f t="shared" si="9"/>
        <v>4146.34</v>
      </c>
      <c r="P25" s="10">
        <f>'أخذ التمام الصباحي'!Q23</f>
        <v>5625</v>
      </c>
      <c r="Q25" s="7">
        <f t="shared" si="0"/>
        <v>1478.6599999999999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10893</v>
      </c>
      <c r="G26" s="292">
        <f t="shared" si="2"/>
        <v>73527.75</v>
      </c>
      <c r="H26" s="292">
        <f t="shared" si="3"/>
        <v>3594.69</v>
      </c>
      <c r="I26" s="292">
        <f>'أخذ التمام الصباحي'!K24</f>
        <v>1483</v>
      </c>
      <c r="J26" s="292">
        <f t="shared" si="4"/>
        <v>11493.25</v>
      </c>
      <c r="K26" s="292">
        <f t="shared" si="5"/>
        <v>667.35</v>
      </c>
      <c r="L26" s="20">
        <f>'أخذ التمام الصباحي'!N24</f>
        <v>29551</v>
      </c>
      <c r="M26" s="2">
        <f t="shared" si="8"/>
        <v>162530.5</v>
      </c>
      <c r="N26" s="183">
        <f t="shared" si="11"/>
        <v>7683.26</v>
      </c>
      <c r="O26" s="7">
        <f t="shared" si="9"/>
        <v>2475.5149999999999</v>
      </c>
      <c r="P26" s="10">
        <f>'أخذ التمام الصباحي'!Q24</f>
        <v>3130</v>
      </c>
      <c r="Q26" s="7">
        <f t="shared" si="0"/>
        <v>654.48500000000013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8020</v>
      </c>
      <c r="G27" s="292">
        <f t="shared" si="2"/>
        <v>54135</v>
      </c>
      <c r="H27" s="292">
        <f t="shared" si="3"/>
        <v>2646.6</v>
      </c>
      <c r="I27" s="292">
        <f>'أخذ التمام الصباحي'!K25</f>
        <v>1261</v>
      </c>
      <c r="J27" s="292">
        <f t="shared" si="4"/>
        <v>9772.75</v>
      </c>
      <c r="K27" s="292">
        <f t="shared" si="5"/>
        <v>567.45000000000005</v>
      </c>
      <c r="L27" s="20">
        <f>'أخذ التمام الصباحي'!N25</f>
        <v>24170</v>
      </c>
      <c r="M27" s="2">
        <f t="shared" si="8"/>
        <v>132935</v>
      </c>
      <c r="N27" s="183">
        <f t="shared" si="11"/>
        <v>6284.2</v>
      </c>
      <c r="O27" s="7">
        <f t="shared" si="9"/>
        <v>1968.4275</v>
      </c>
      <c r="P27" s="10">
        <f>'أخذ التمام الصباحي'!Q25</f>
        <v>2960</v>
      </c>
      <c r="Q27" s="7">
        <f t="shared" si="0"/>
        <v>991.57249999999999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4209</v>
      </c>
      <c r="D28" s="5">
        <f t="shared" ref="D28" si="12">C28*5.5</f>
        <v>23149.5</v>
      </c>
      <c r="E28" s="5">
        <f t="shared" ref="E28" si="13">C28*0.25</f>
        <v>1052.25</v>
      </c>
      <c r="F28" s="301">
        <f>'أخذ التمام الصباحي'!H26</f>
        <v>8170</v>
      </c>
      <c r="G28" s="301">
        <f t="shared" ref="G28" si="14">F28*6.75</f>
        <v>55147.5</v>
      </c>
      <c r="H28" s="301">
        <f t="shared" ref="H28" si="15">F28*0.33</f>
        <v>2696.1</v>
      </c>
      <c r="I28" s="301">
        <f>'أخذ التمام الصباحي'!K26</f>
        <v>1707</v>
      </c>
      <c r="J28" s="301">
        <f t="shared" ref="J28" si="16">I28*7.75</f>
        <v>13229.25</v>
      </c>
      <c r="K28" s="301">
        <f t="shared" ref="K28" si="17">I28*0.45</f>
        <v>768.15</v>
      </c>
      <c r="L28" s="301">
        <f>'أخذ التمام الصباحي'!N26</f>
        <v>14635</v>
      </c>
      <c r="M28" s="301">
        <f t="shared" ref="M28" si="18">L28*5.5</f>
        <v>80492.5</v>
      </c>
      <c r="N28" s="301">
        <f t="shared" ref="N28" si="19">L28*0.26</f>
        <v>3805.1</v>
      </c>
      <c r="O28" s="7">
        <f t="shared" ref="O28" si="20">SUM(D28,G28,J28,M28)/100</f>
        <v>1720.1875</v>
      </c>
      <c r="P28" s="10">
        <f>'أخذ التمام الصباحي'!Q26</f>
        <v>1225</v>
      </c>
      <c r="Q28" s="7">
        <f t="shared" ref="Q28" si="21">P28-O28</f>
        <v>-495.1875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9356</v>
      </c>
      <c r="G29" s="321">
        <f t="shared" ref="G29:G33" si="24">F29*6.75</f>
        <v>63153</v>
      </c>
      <c r="H29" s="321">
        <f t="shared" ref="H29:H33" si="25">F29*0.33</f>
        <v>3087.48</v>
      </c>
      <c r="I29" s="5">
        <f>'أخذ التمام الصباحي'!K27</f>
        <v>2054</v>
      </c>
      <c r="J29" s="321">
        <f t="shared" ref="J29:J33" si="26">I29*7.75</f>
        <v>15918.5</v>
      </c>
      <c r="K29" s="321">
        <f t="shared" ref="K29:K33" si="27">I29*0.45</f>
        <v>924.30000000000007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790.71500000000003</v>
      </c>
      <c r="P29" s="10">
        <f>'أخذ التمام الصباحي'!Q27</f>
        <v>2085</v>
      </c>
      <c r="Q29" s="7">
        <f t="shared" ref="Q29:Q33" si="31">P29-O29</f>
        <v>1294.2849999999999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32913</v>
      </c>
      <c r="G30" s="321">
        <f t="shared" si="24"/>
        <v>222162.75</v>
      </c>
      <c r="H30" s="321">
        <f t="shared" si="25"/>
        <v>10861.29</v>
      </c>
      <c r="I30" s="5">
        <f>'أخذ التمام الصباحي'!K28</f>
        <v>10905</v>
      </c>
      <c r="J30" s="321">
        <f t="shared" si="26"/>
        <v>84513.75</v>
      </c>
      <c r="K30" s="321">
        <f t="shared" si="27"/>
        <v>4907.25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3066.7649999999999</v>
      </c>
      <c r="P30" s="10">
        <f>'أخذ التمام الصباحي'!Q28</f>
        <v>1500</v>
      </c>
      <c r="Q30" s="7">
        <f t="shared" si="31"/>
        <v>-1566.7649999999999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31591</v>
      </c>
      <c r="G31" s="321">
        <f t="shared" si="24"/>
        <v>213239.25</v>
      </c>
      <c r="H31" s="321">
        <f t="shared" si="25"/>
        <v>10425.030000000001</v>
      </c>
      <c r="I31" s="5">
        <f>'أخذ التمام الصباحي'!K29</f>
        <v>10817</v>
      </c>
      <c r="J31" s="321">
        <f t="shared" si="26"/>
        <v>83831.75</v>
      </c>
      <c r="K31" s="321">
        <f t="shared" si="27"/>
        <v>4867.6500000000005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2970.71</v>
      </c>
      <c r="P31" s="10">
        <f>'أخذ التمام الصباحي'!Q29</f>
        <v>3500</v>
      </c>
      <c r="Q31" s="7">
        <f t="shared" si="31"/>
        <v>529.29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40946</v>
      </c>
      <c r="G32" s="321">
        <f t="shared" si="24"/>
        <v>276385.5</v>
      </c>
      <c r="H32" s="321">
        <f t="shared" si="25"/>
        <v>13512.18</v>
      </c>
      <c r="I32" s="5">
        <f>'أخذ التمام الصباحي'!K30</f>
        <v>10875</v>
      </c>
      <c r="J32" s="321">
        <f t="shared" si="26"/>
        <v>84281.25</v>
      </c>
      <c r="K32" s="321">
        <f t="shared" si="27"/>
        <v>4893.75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3606.6675</v>
      </c>
      <c r="P32" s="10">
        <f>'أخذ التمام الصباحي'!Q30</f>
        <v>0</v>
      </c>
      <c r="Q32" s="7">
        <f t="shared" si="31"/>
        <v>-3606.6675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62242</v>
      </c>
      <c r="G33" s="321">
        <f t="shared" si="24"/>
        <v>420133.5</v>
      </c>
      <c r="H33" s="321">
        <f t="shared" si="25"/>
        <v>20539.86</v>
      </c>
      <c r="I33" s="5">
        <f>'أخذ التمام الصباحي'!K31</f>
        <v>15603</v>
      </c>
      <c r="J33" s="321">
        <f t="shared" si="26"/>
        <v>120923.25</v>
      </c>
      <c r="K33" s="321">
        <f t="shared" si="27"/>
        <v>7021.35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5410.5675000000001</v>
      </c>
      <c r="P33" s="10">
        <f>'أخذ التمام الصباحي'!Q31</f>
        <v>6400</v>
      </c>
      <c r="Q33" s="7">
        <f t="shared" si="31"/>
        <v>989.43249999999989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19" t="s">
        <v>34</v>
      </c>
      <c r="B38" s="419"/>
      <c r="C38" s="43">
        <f>SUM(C7:C37)</f>
        <v>58713</v>
      </c>
      <c r="D38" s="43">
        <f t="shared" ref="D38:Q38" si="42">SUM(D7:D37)</f>
        <v>322921.5</v>
      </c>
      <c r="E38" s="43">
        <f t="shared" si="42"/>
        <v>14678.25</v>
      </c>
      <c r="F38" s="43">
        <f t="shared" si="42"/>
        <v>519567</v>
      </c>
      <c r="G38" s="43">
        <f t="shared" si="42"/>
        <v>3507077.25</v>
      </c>
      <c r="H38" s="43">
        <f t="shared" si="42"/>
        <v>171457.11</v>
      </c>
      <c r="I38" s="43">
        <f t="shared" si="42"/>
        <v>133156</v>
      </c>
      <c r="J38" s="43">
        <f t="shared" si="42"/>
        <v>1031959</v>
      </c>
      <c r="K38" s="43">
        <f t="shared" si="42"/>
        <v>59920.200000000004</v>
      </c>
      <c r="L38" s="43">
        <f t="shared" si="42"/>
        <v>356822</v>
      </c>
      <c r="M38" s="43">
        <f t="shared" si="42"/>
        <v>1962521</v>
      </c>
      <c r="N38" s="43">
        <f t="shared" si="42"/>
        <v>92773.72</v>
      </c>
      <c r="O38" s="43">
        <f t="shared" si="42"/>
        <v>68244.787499999991</v>
      </c>
      <c r="P38" s="43">
        <f t="shared" si="42"/>
        <v>70737</v>
      </c>
      <c r="Q38" s="43">
        <f t="shared" si="42"/>
        <v>2492.212500000001</v>
      </c>
    </row>
    <row r="39" spans="1:17" ht="32.25" customHeight="1" thickBot="1" x14ac:dyDescent="0.25">
      <c r="A39" s="412" t="s">
        <v>75</v>
      </c>
      <c r="B39" s="412"/>
      <c r="C39" s="402">
        <f>C38+F38+I38+L38</f>
        <v>1068258</v>
      </c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3"/>
      <c r="P39" s="403"/>
      <c r="Q39" s="404"/>
    </row>
    <row r="40" spans="1:17" ht="30.75" customHeight="1" thickBot="1" x14ac:dyDescent="0.25">
      <c r="A40" s="412" t="s">
        <v>47</v>
      </c>
      <c r="B40" s="412"/>
      <c r="C40" s="405">
        <f>D38+G38+J38+M38</f>
        <v>6824478.75</v>
      </c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7"/>
    </row>
    <row r="41" spans="1:17" ht="30.75" customHeight="1" thickBot="1" x14ac:dyDescent="0.25">
      <c r="A41" s="412" t="s">
        <v>48</v>
      </c>
      <c r="B41" s="412"/>
      <c r="C41" s="414">
        <f>E38+H38+K38+N38</f>
        <v>338829.28</v>
      </c>
      <c r="D41" s="415"/>
      <c r="E41" s="415"/>
      <c r="F41" s="415"/>
      <c r="G41" s="415"/>
      <c r="H41" s="415"/>
      <c r="I41" s="415"/>
      <c r="J41" s="415"/>
      <c r="K41" s="415"/>
      <c r="L41" s="415"/>
      <c r="M41" s="415"/>
      <c r="N41" s="415"/>
      <c r="O41" s="415"/>
      <c r="P41" s="415"/>
      <c r="Q41" s="416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3" t="s">
        <v>108</v>
      </c>
      <c r="C2" s="563"/>
      <c r="D2" s="563"/>
      <c r="E2" s="563"/>
    </row>
    <row r="3" spans="1:13" ht="15" thickBot="1" x14ac:dyDescent="0.25"/>
    <row r="4" spans="1:13" ht="15.75" thickBot="1" x14ac:dyDescent="0.25">
      <c r="A4" s="503" t="s">
        <v>3</v>
      </c>
      <c r="B4" s="408" t="s">
        <v>90</v>
      </c>
      <c r="C4" s="565"/>
      <c r="D4" s="565"/>
      <c r="E4" s="565"/>
      <c r="F4" s="409"/>
    </row>
    <row r="5" spans="1:13" ht="15.75" thickBot="1" x14ac:dyDescent="0.25">
      <c r="A5" s="504"/>
      <c r="B5" s="408" t="s">
        <v>83</v>
      </c>
      <c r="C5" s="565"/>
      <c r="D5" s="564" t="s">
        <v>81</v>
      </c>
      <c r="E5" s="566"/>
      <c r="F5" s="109" t="s">
        <v>107</v>
      </c>
      <c r="I5" s="503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505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505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51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3" t="s">
        <v>108</v>
      </c>
      <c r="C2" s="563"/>
      <c r="D2" s="563"/>
      <c r="E2" s="563"/>
    </row>
    <row r="3" spans="1:13" ht="15" thickBot="1" x14ac:dyDescent="0.25"/>
    <row r="4" spans="1:13" ht="15.75" thickBot="1" x14ac:dyDescent="0.25">
      <c r="A4" s="503" t="s">
        <v>3</v>
      </c>
      <c r="B4" s="408" t="s">
        <v>165</v>
      </c>
      <c r="C4" s="565"/>
      <c r="D4" s="565"/>
      <c r="E4" s="565"/>
      <c r="F4" s="409"/>
    </row>
    <row r="5" spans="1:13" ht="15.75" thickBot="1" x14ac:dyDescent="0.25">
      <c r="A5" s="504"/>
      <c r="B5" s="408" t="s">
        <v>83</v>
      </c>
      <c r="C5" s="565"/>
      <c r="D5" s="564" t="s">
        <v>81</v>
      </c>
      <c r="E5" s="566"/>
      <c r="F5" s="308" t="s">
        <v>107</v>
      </c>
      <c r="I5" s="503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505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505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51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0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9"/>
      <c r="C16" s="52" t="s">
        <v>93</v>
      </c>
      <c r="D16" s="53">
        <f>[1]التعاون.ملخص!$D$10</f>
        <v>0</v>
      </c>
    </row>
    <row r="17" spans="2:4" ht="16.5" thickBot="1" x14ac:dyDescent="0.25">
      <c r="B17" s="570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9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51" t="str">
        <f>'منطقة القاهرة'!A4</f>
        <v>المحطة</v>
      </c>
      <c r="B1" s="401" t="str">
        <f>'منطقة القاهرة'!B4</f>
        <v xml:space="preserve">الهايكستب </v>
      </c>
      <c r="C1" s="401">
        <f>'منطقة القاهرة'!C4</f>
        <v>0</v>
      </c>
      <c r="D1" s="452">
        <f>'منطقة القاهرة'!D4</f>
        <v>0</v>
      </c>
      <c r="E1" s="564" t="str">
        <f>'منطقة القاهرة'!E4</f>
        <v>مسطرد</v>
      </c>
      <c r="F1" s="565">
        <f>'منطقة القاهرة'!F4</f>
        <v>0</v>
      </c>
      <c r="G1" s="565">
        <f>'منطقة القاهرة'!G4</f>
        <v>0</v>
      </c>
      <c r="H1" s="409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51">
        <f>'منطقة القاهرة'!A5</f>
        <v>0</v>
      </c>
      <c r="B2" s="408" t="str">
        <f>'منطقة القاهرة'!B5</f>
        <v>تعاون</v>
      </c>
      <c r="C2" s="565">
        <f>'منطقة القاهرة'!C5</f>
        <v>0</v>
      </c>
      <c r="D2" s="566">
        <f>'منطقة القاهرة'!D5</f>
        <v>0</v>
      </c>
      <c r="E2" s="269" t="str">
        <f>'منطقة القاهرة'!E5</f>
        <v>تعاون</v>
      </c>
      <c r="F2" s="408" t="str">
        <f>'منطقة القاهرة'!F5</f>
        <v>موبيل</v>
      </c>
      <c r="G2" s="565">
        <f>'منطقة القاهرة'!G5</f>
        <v>0</v>
      </c>
      <c r="H2" s="409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253</v>
      </c>
    </row>
    <row r="3" spans="1:13" ht="16.5" thickBot="1" x14ac:dyDescent="0.3">
      <c r="A3" s="451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448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1634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70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52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68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9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70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51" t="str">
        <f>'منطقة السويس'!A4</f>
        <v>المحطة</v>
      </c>
      <c r="B13" s="408" t="str">
        <f>'منطقة السويس'!B4</f>
        <v>السويس</v>
      </c>
      <c r="C13" s="565">
        <f>'منطقة السويس'!C4</f>
        <v>0</v>
      </c>
      <c r="D13" s="565">
        <f>'منطقة السويس'!D4</f>
        <v>0</v>
      </c>
      <c r="E13" s="565">
        <f>'منطقة السويس'!E4</f>
        <v>0</v>
      </c>
      <c r="F13" s="565">
        <f>'منطقة السويس'!F4</f>
        <v>0</v>
      </c>
      <c r="G13" s="565">
        <f>'منطقة السويس'!G4</f>
        <v>0</v>
      </c>
      <c r="H13" s="409">
        <f>'منطقة السويس'!H4</f>
        <v>0</v>
      </c>
      <c r="I13" s="276" t="s">
        <v>119</v>
      </c>
      <c r="K13" s="571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51">
        <f>'منطقة السويس'!A5</f>
        <v>0</v>
      </c>
      <c r="B14" s="120" t="str">
        <f>'منطقة السويس'!B5</f>
        <v>تعاون</v>
      </c>
      <c r="C14" s="572" t="str">
        <f>'منطقة السويس'!C5</f>
        <v>موبيل</v>
      </c>
      <c r="D14" s="542">
        <f>'منطقة السويس'!D5</f>
        <v>0</v>
      </c>
      <c r="E14" s="573">
        <f>'منطقة السويس'!E5</f>
        <v>0</v>
      </c>
      <c r="F14" s="542" t="str">
        <f>'منطقة السويس'!F5</f>
        <v>مصر</v>
      </c>
      <c r="G14" s="542">
        <f>'منطقة السويس'!G5</f>
        <v>0</v>
      </c>
      <c r="H14" s="543">
        <f>'منطقة السويس'!H5</f>
        <v>0</v>
      </c>
      <c r="I14" s="275" t="s">
        <v>83</v>
      </c>
      <c r="K14" s="571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51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8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7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102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8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7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9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4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51" t="str">
        <f>'منطقة الاسكندرية'!A4</f>
        <v>المحطة</v>
      </c>
      <c r="B22" s="408" t="str">
        <f>'منطقة الاسكندرية'!B4</f>
        <v>الماكس</v>
      </c>
      <c r="C22" s="565">
        <f>'منطقة الاسكندرية'!C4</f>
        <v>0</v>
      </c>
      <c r="D22" s="565">
        <f>'منطقة الاسكندرية'!D4</f>
        <v>0</v>
      </c>
      <c r="E22" s="565">
        <f>'منطقة الاسكندرية'!E4</f>
        <v>0</v>
      </c>
      <c r="F22" s="565">
        <f>'منطقة الاسكندرية'!F4</f>
        <v>0</v>
      </c>
      <c r="G22" s="565">
        <f>'منطقة الاسكندرية'!G4</f>
        <v>0</v>
      </c>
      <c r="H22" s="565">
        <f>'منطقة الاسكندرية'!H4</f>
        <v>0</v>
      </c>
      <c r="I22" s="409">
        <f>'منطقة الاسكندرية'!I4</f>
        <v>0</v>
      </c>
      <c r="K22" s="575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81</v>
      </c>
    </row>
    <row r="23" spans="1:13" ht="16.5" thickBot="1" x14ac:dyDescent="0.3">
      <c r="A23" s="451">
        <f>'منطقة الاسكندرية'!A5</f>
        <v>0</v>
      </c>
      <c r="B23" s="544" t="str">
        <f>'منطقة الاسكندرية'!B5</f>
        <v>تعاون</v>
      </c>
      <c r="C23" s="544">
        <f>'منطقة الاسكندرية'!C5</f>
        <v>0</v>
      </c>
      <c r="D23" s="560">
        <f>'منطقة الاسكندرية'!D5</f>
        <v>0</v>
      </c>
      <c r="E23" s="577" t="str">
        <f>'منطقة الاسكندرية'!E5</f>
        <v>مصر</v>
      </c>
      <c r="F23" s="578">
        <f>'منطقة الاسكندرية'!F5</f>
        <v>0</v>
      </c>
      <c r="G23" s="561" t="str">
        <f>'منطقة الاسكندرية'!G5</f>
        <v>موبيل</v>
      </c>
      <c r="H23" s="544">
        <f>'منطقة الاسكندرية'!H5</f>
        <v>0</v>
      </c>
      <c r="I23" s="544">
        <f>'منطقة الاسكندرية'!I5</f>
        <v>0</v>
      </c>
      <c r="K23" s="576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51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32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4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5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79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6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9"/>
      <c r="D30" s="579"/>
    </row>
    <row r="31" spans="1:13" ht="16.5" thickBot="1" x14ac:dyDescent="0.3">
      <c r="A31" s="503" t="str">
        <f>'منطقة طنطا'!A4</f>
        <v>المحطة</v>
      </c>
      <c r="B31" s="408" t="str">
        <f>'منطقة طنطا'!B4</f>
        <v>طنطا</v>
      </c>
      <c r="C31" s="565">
        <f>'منطقة طنطا'!C4</f>
        <v>0</v>
      </c>
      <c r="D31" s="565">
        <f>'منطقة طنطا'!D4</f>
        <v>0</v>
      </c>
      <c r="E31" s="565">
        <f>'منطقة طنطا'!E4</f>
        <v>0</v>
      </c>
      <c r="F31" s="409">
        <f>'منطقة طنطا'!F4</f>
        <v>0</v>
      </c>
      <c r="H31" s="78"/>
      <c r="I31" s="78"/>
      <c r="J31" s="78"/>
      <c r="K31" s="570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504">
        <f>'منطقة طنطا'!A5</f>
        <v>0</v>
      </c>
      <c r="B32" s="408" t="str">
        <f>'منطقة طنطا'!B5</f>
        <v>مصر</v>
      </c>
      <c r="C32" s="565">
        <f>'منطقة طنطا'!C5</f>
        <v>0</v>
      </c>
      <c r="D32" s="564" t="str">
        <f>'منطقة طنطا'!D5</f>
        <v>تعاون</v>
      </c>
      <c r="E32" s="566">
        <f>'منطقة طنطا'!E5</f>
        <v>0</v>
      </c>
      <c r="F32" s="266" t="str">
        <f>'منطقة طنطا'!F5</f>
        <v>تعاون هايكستب</v>
      </c>
      <c r="K32" s="569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505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70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9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8" t="s">
        <v>0</v>
      </c>
      <c r="B1" s="428"/>
      <c r="C1" s="428"/>
      <c r="D1" s="428"/>
      <c r="O1" s="427"/>
      <c r="P1" s="427"/>
    </row>
    <row r="2" spans="1:17" ht="15" x14ac:dyDescent="0.2">
      <c r="A2" s="428" t="s">
        <v>1</v>
      </c>
      <c r="B2" s="428"/>
      <c r="C2" s="428"/>
      <c r="D2" s="428"/>
    </row>
    <row r="3" spans="1:17" ht="15" x14ac:dyDescent="0.2">
      <c r="A3" s="428" t="s">
        <v>2</v>
      </c>
      <c r="B3" s="428"/>
      <c r="C3" s="428"/>
      <c r="D3" s="428"/>
    </row>
    <row r="4" spans="1:17" ht="15" x14ac:dyDescent="0.2">
      <c r="A4" s="428" t="s">
        <v>53</v>
      </c>
      <c r="B4" s="428"/>
      <c r="C4" s="428"/>
      <c r="D4" s="428"/>
    </row>
    <row r="5" spans="1:17" ht="15" x14ac:dyDescent="0.2">
      <c r="A5" s="421" t="s">
        <v>195</v>
      </c>
      <c r="B5" s="421"/>
      <c r="C5" s="421"/>
      <c r="D5" s="421"/>
    </row>
    <row r="6" spans="1:17" ht="24" thickBot="1" x14ac:dyDescent="0.25">
      <c r="H6" s="432" t="s">
        <v>54</v>
      </c>
      <c r="I6" s="432"/>
      <c r="J6" s="432"/>
      <c r="K6" s="432"/>
    </row>
    <row r="7" spans="1:17" ht="20.25" customHeight="1" thickBot="1" x14ac:dyDescent="0.25">
      <c r="B7" s="423" t="s">
        <v>55</v>
      </c>
      <c r="C7" s="424"/>
      <c r="D7" s="424"/>
      <c r="E7" s="425"/>
      <c r="F7" s="17"/>
      <c r="G7" s="17"/>
      <c r="H7" s="17"/>
      <c r="I7" s="17"/>
      <c r="J7" s="17"/>
      <c r="K7" s="17"/>
      <c r="L7" s="17"/>
      <c r="M7" s="17"/>
      <c r="N7" s="17"/>
      <c r="O7" s="17"/>
      <c r="P7" s="423" t="s">
        <v>51</v>
      </c>
      <c r="Q7" s="425"/>
    </row>
    <row r="8" spans="1:17" ht="13.5" thickBot="1" x14ac:dyDescent="0.25">
      <c r="B8" s="426" t="s">
        <v>52</v>
      </c>
      <c r="C8" s="422" t="s">
        <v>5</v>
      </c>
      <c r="D8" s="422"/>
      <c r="E8" s="422"/>
      <c r="F8" s="422" t="s">
        <v>11</v>
      </c>
      <c r="G8" s="422"/>
      <c r="H8" s="422"/>
      <c r="I8" s="422" t="s">
        <v>12</v>
      </c>
      <c r="J8" s="422"/>
      <c r="K8" s="422"/>
      <c r="L8" s="422" t="s">
        <v>50</v>
      </c>
      <c r="M8" s="422"/>
      <c r="N8" s="422"/>
      <c r="O8" s="422" t="s">
        <v>56</v>
      </c>
      <c r="P8" s="422"/>
      <c r="Q8" s="422"/>
    </row>
    <row r="9" spans="1:17" ht="13.5" thickBot="1" x14ac:dyDescent="0.25">
      <c r="B9" s="426"/>
      <c r="C9" s="422"/>
      <c r="D9" s="422"/>
      <c r="E9" s="422"/>
      <c r="F9" s="422"/>
      <c r="G9" s="422"/>
      <c r="H9" s="422"/>
      <c r="I9" s="422"/>
      <c r="J9" s="422"/>
      <c r="K9" s="422"/>
      <c r="L9" s="422"/>
      <c r="M9" s="422"/>
      <c r="N9" s="422"/>
      <c r="O9" s="422"/>
      <c r="P9" s="422"/>
      <c r="Q9" s="422"/>
    </row>
    <row r="10" spans="1:17" ht="20.100000000000001" customHeight="1" thickBot="1" x14ac:dyDescent="0.25">
      <c r="B10" s="426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85000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663000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119000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255000</v>
      </c>
      <c r="N11" s="13" t="e">
        <f>M11/L11</f>
        <v>#DIV/0!</v>
      </c>
      <c r="O11" s="140">
        <f>C11+F11+I11+L11</f>
        <v>0</v>
      </c>
      <c r="P11" s="140">
        <f>D11+G11+J11+M11</f>
        <v>1122000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3" t="s">
        <v>61</v>
      </c>
      <c r="C15" s="424"/>
      <c r="D15" s="424"/>
      <c r="E15" s="425"/>
      <c r="P15" s="423" t="s">
        <v>51</v>
      </c>
      <c r="Q15" s="425"/>
    </row>
    <row r="16" spans="1:17" ht="13.5" thickBot="1" x14ac:dyDescent="0.25">
      <c r="B16" s="426" t="s">
        <v>52</v>
      </c>
      <c r="C16" s="422" t="s">
        <v>5</v>
      </c>
      <c r="D16" s="422"/>
      <c r="E16" s="422"/>
      <c r="F16" s="422" t="s">
        <v>11</v>
      </c>
      <c r="G16" s="422"/>
      <c r="H16" s="422"/>
      <c r="I16" s="422" t="s">
        <v>12</v>
      </c>
      <c r="J16" s="422"/>
      <c r="K16" s="422"/>
      <c r="L16" s="422" t="s">
        <v>50</v>
      </c>
      <c r="M16" s="422"/>
      <c r="N16" s="422"/>
      <c r="O16" s="422" t="s">
        <v>56</v>
      </c>
      <c r="P16" s="422"/>
      <c r="Q16" s="422"/>
    </row>
    <row r="17" spans="2:17" ht="13.5" thickBot="1" x14ac:dyDescent="0.25">
      <c r="B17" s="426"/>
      <c r="C17" s="422"/>
      <c r="D17" s="422"/>
      <c r="E17" s="422"/>
      <c r="F17" s="422"/>
      <c r="G17" s="422"/>
      <c r="H17" s="422"/>
      <c r="I17" s="422"/>
      <c r="J17" s="422"/>
      <c r="K17" s="422"/>
      <c r="L17" s="422"/>
      <c r="M17" s="422"/>
      <c r="N17" s="422"/>
      <c r="O17" s="422"/>
      <c r="P17" s="422"/>
      <c r="Q17" s="422"/>
    </row>
    <row r="18" spans="2:17" ht="20.100000000000001" customHeight="1" thickBot="1" x14ac:dyDescent="0.25">
      <c r="B18" s="426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58713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519567</v>
      </c>
      <c r="G19" s="209">
        <f>'موقف المحطات'!$G$20</f>
        <v>663000</v>
      </c>
      <c r="H19" s="13">
        <f>G19/F19</f>
        <v>1.276062567484078</v>
      </c>
      <c r="I19" s="209">
        <f>'موقف المحطات'!$I$20</f>
        <v>133156</v>
      </c>
      <c r="J19" s="209">
        <f>'موقف المحطات'!$J$20</f>
        <v>119000</v>
      </c>
      <c r="K19" s="13">
        <f>J19/I19</f>
        <v>0.89368860584577492</v>
      </c>
      <c r="L19" s="209">
        <f>'موقف المحطات'!$L$20</f>
        <v>356822</v>
      </c>
      <c r="M19" s="209">
        <f>'موقف المحطات'!$M$20</f>
        <v>255000</v>
      </c>
      <c r="N19" s="13">
        <f>M19/L19</f>
        <v>0.71464203440370833</v>
      </c>
      <c r="O19" s="140">
        <f>C19+F19+I19+L19</f>
        <v>1068258</v>
      </c>
      <c r="P19" s="140">
        <f>D19+G19+J19+M19</f>
        <v>1037000</v>
      </c>
      <c r="Q19" s="13">
        <f>P19/O19</f>
        <v>0.97073927833912776</v>
      </c>
    </row>
    <row r="20" spans="2:17" ht="22.5" customHeight="1" thickBot="1" x14ac:dyDescent="0.25">
      <c r="B20" s="145" t="s">
        <v>64</v>
      </c>
      <c r="C20" s="140">
        <f>المبيعات!C38</f>
        <v>58713</v>
      </c>
      <c r="D20" s="140">
        <f>D11</f>
        <v>85000</v>
      </c>
      <c r="E20" s="13">
        <f>IFERROR(D20/C20,0)</f>
        <v>1.4477202663805291</v>
      </c>
      <c r="F20" s="140">
        <f>المبيعات!F38</f>
        <v>519567</v>
      </c>
      <c r="G20" s="140">
        <f>G11</f>
        <v>663000</v>
      </c>
      <c r="H20" s="13">
        <f>IFERROR(G20/F20,0)</f>
        <v>1.276062567484078</v>
      </c>
      <c r="I20" s="140">
        <f>المبيعات!I38</f>
        <v>133156</v>
      </c>
      <c r="J20" s="140">
        <f>J11</f>
        <v>119000</v>
      </c>
      <c r="K20" s="13">
        <f>IFERROR(J20/I20,0)</f>
        <v>0.89368860584577492</v>
      </c>
      <c r="L20" s="140">
        <f>المبيعات!L38</f>
        <v>356822</v>
      </c>
      <c r="M20" s="140">
        <f>M11</f>
        <v>255000</v>
      </c>
      <c r="N20" s="13">
        <f>IFERROR(M20/L20,0)</f>
        <v>0.71464203440370833</v>
      </c>
      <c r="O20" s="140">
        <f>C20+F20+I20+L20</f>
        <v>1068258</v>
      </c>
      <c r="P20" s="140">
        <f>P11</f>
        <v>1122000</v>
      </c>
      <c r="Q20" s="13">
        <f>IFERROR(P20/O20,0)</f>
        <v>1.0503080716456137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3" t="s">
        <v>72</v>
      </c>
      <c r="C24" s="424"/>
      <c r="D24" s="424"/>
      <c r="E24" s="425"/>
      <c r="P24" s="435" t="s">
        <v>51</v>
      </c>
      <c r="Q24" s="436"/>
    </row>
    <row r="25" spans="2:17" ht="18" customHeight="1" thickBot="1" x14ac:dyDescent="0.25">
      <c r="B25" s="433" t="s">
        <v>52</v>
      </c>
      <c r="C25" s="429" t="s">
        <v>163</v>
      </c>
      <c r="D25" s="430"/>
      <c r="E25" s="431"/>
      <c r="F25" s="429" t="s">
        <v>158</v>
      </c>
      <c r="G25" s="430"/>
      <c r="H25" s="431"/>
      <c r="I25" s="429" t="s">
        <v>121</v>
      </c>
      <c r="J25" s="430"/>
      <c r="K25" s="431"/>
      <c r="L25" s="429" t="s">
        <v>112</v>
      </c>
      <c r="M25" s="430"/>
      <c r="N25" s="431"/>
      <c r="O25" s="429" t="s">
        <v>113</v>
      </c>
      <c r="P25" s="430"/>
      <c r="Q25" s="431"/>
    </row>
    <row r="26" spans="2:17" ht="16.5" customHeight="1" thickBot="1" x14ac:dyDescent="0.25">
      <c r="B26" s="434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30485</v>
      </c>
      <c r="D28" s="147">
        <f>'أخذ التمام الصباحي'!K6</f>
        <v>9588</v>
      </c>
      <c r="E28" s="224"/>
      <c r="F28" s="147">
        <f>'أخذ التمام الصباحي'!H7</f>
        <v>20340</v>
      </c>
      <c r="G28" s="147">
        <f>'أخذ التمام الصباحي'!K7</f>
        <v>4035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7" t="s">
        <v>173</v>
      </c>
      <c r="C32" s="438"/>
      <c r="D32" s="438"/>
      <c r="E32" s="438"/>
      <c r="F32" s="439" t="s">
        <v>60</v>
      </c>
      <c r="G32" s="440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390</v>
      </c>
      <c r="D34" s="147">
        <f>'التمام الصباحي'!I39</f>
        <v>3480</v>
      </c>
      <c r="E34" s="143">
        <f>'التمام الصباحي'!O39</f>
        <v>1335</v>
      </c>
      <c r="F34" s="147">
        <f>'التمام الصباحي'!U39</f>
        <v>2520</v>
      </c>
      <c r="G34" s="147">
        <f>SUM(C34:F34)</f>
        <v>7725</v>
      </c>
    </row>
    <row r="35" spans="2:8" ht="20.25" customHeight="1" thickBot="1" x14ac:dyDescent="0.25">
      <c r="B35" s="39" t="s">
        <v>67</v>
      </c>
      <c r="C35" s="147">
        <f>'التمام الصباحي'!D39</f>
        <v>185</v>
      </c>
      <c r="D35" s="147">
        <f>'التمام الصباحي'!J39</f>
        <v>2128</v>
      </c>
      <c r="E35" s="143">
        <f>'التمام الصباحي'!P39</f>
        <v>686</v>
      </c>
      <c r="F35" s="147">
        <f>'التمام الصباحي'!V39</f>
        <v>2032</v>
      </c>
      <c r="G35" s="147">
        <f>SUM(C35:F35)</f>
        <v>5031</v>
      </c>
    </row>
    <row r="36" spans="2:8" ht="20.25" customHeight="1" thickBot="1" x14ac:dyDescent="0.25">
      <c r="B36" s="39" t="s">
        <v>37</v>
      </c>
      <c r="C36" s="423">
        <f>'التمام الصباحي'!C42:Z42</f>
        <v>2694</v>
      </c>
      <c r="D36" s="424"/>
      <c r="E36" s="424"/>
      <c r="F36" s="424"/>
      <c r="G36" s="425"/>
      <c r="H36" s="157"/>
    </row>
    <row r="37" spans="2:8" ht="18.75" customHeight="1" thickBot="1" x14ac:dyDescent="0.25">
      <c r="B37" s="39" t="s">
        <v>68</v>
      </c>
      <c r="C37" s="423">
        <f>'احتياجات المحطات'!M29</f>
        <v>578</v>
      </c>
      <c r="D37" s="424"/>
      <c r="E37" s="424"/>
      <c r="F37" s="424"/>
      <c r="G37" s="425"/>
      <c r="H37" s="157"/>
    </row>
    <row r="38" spans="2:8" ht="21" customHeight="1" thickBot="1" x14ac:dyDescent="0.25">
      <c r="B38" s="39" t="s">
        <v>69</v>
      </c>
      <c r="C38" s="423">
        <f>G35+C37</f>
        <v>5609</v>
      </c>
      <c r="D38" s="424"/>
      <c r="E38" s="424"/>
      <c r="F38" s="424"/>
      <c r="G38" s="425"/>
      <c r="H38" s="157"/>
    </row>
    <row r="39" spans="2:8" ht="19.5" customHeight="1" thickBot="1" x14ac:dyDescent="0.25">
      <c r="B39" s="141" t="s">
        <v>70</v>
      </c>
      <c r="C39" s="423">
        <f>C36-C37</f>
        <v>2116</v>
      </c>
      <c r="D39" s="424"/>
      <c r="E39" s="424"/>
      <c r="F39" s="424"/>
      <c r="G39" s="425"/>
      <c r="H39" s="157"/>
    </row>
    <row r="40" spans="2:8" ht="20.100000000000001" customHeight="1" thickBot="1" x14ac:dyDescent="0.25">
      <c r="B40" s="141" t="s">
        <v>71</v>
      </c>
      <c r="C40" s="423">
        <f>P19/1000</f>
        <v>1037</v>
      </c>
      <c r="D40" s="424"/>
      <c r="E40" s="424"/>
      <c r="F40" s="424"/>
      <c r="G40" s="425"/>
      <c r="H40" s="157"/>
    </row>
    <row r="41" spans="2:8" ht="20.100000000000001" customHeight="1" thickBot="1" x14ac:dyDescent="0.25">
      <c r="B41" s="141" t="s">
        <v>110</v>
      </c>
      <c r="C41" s="441">
        <f>C37/C36</f>
        <v>0.21455085374907201</v>
      </c>
      <c r="D41" s="442"/>
      <c r="E41" s="442"/>
      <c r="F41" s="442"/>
      <c r="G41" s="443"/>
      <c r="H41" s="158"/>
    </row>
    <row r="42" spans="2:8" ht="20.100000000000001" customHeight="1" thickBot="1" x14ac:dyDescent="0.25">
      <c r="B42" s="147" t="s">
        <v>111</v>
      </c>
      <c r="C42" s="441">
        <f>'التمام الصباحي'!C45:Z45</f>
        <v>0.22301729278473464</v>
      </c>
      <c r="D42" s="442"/>
      <c r="E42" s="442"/>
      <c r="F42" s="442"/>
      <c r="G42" s="443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7" t="s">
        <v>174</v>
      </c>
      <c r="C46" s="438"/>
      <c r="D46" s="444"/>
      <c r="F46" s="440" t="s">
        <v>116</v>
      </c>
      <c r="G46" s="440"/>
    </row>
    <row r="47" spans="2:8" ht="18.75" customHeight="1" thickBot="1" x14ac:dyDescent="0.25">
      <c r="B47" s="144" t="s">
        <v>52</v>
      </c>
      <c r="C47" s="429" t="s">
        <v>114</v>
      </c>
      <c r="D47" s="431"/>
      <c r="E47" s="429" t="s">
        <v>115</v>
      </c>
      <c r="F47" s="431"/>
      <c r="G47" s="145" t="s">
        <v>34</v>
      </c>
    </row>
    <row r="48" spans="2:8" ht="18.75" customHeight="1" thickBot="1" x14ac:dyDescent="0.25">
      <c r="B48" s="210">
        <v>43647</v>
      </c>
      <c r="C48" s="448" t="e">
        <f>المستودعات!#REF!/51</f>
        <v>#REF!</v>
      </c>
      <c r="D48" s="425"/>
      <c r="E48" s="423"/>
      <c r="F48" s="425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7" t="s">
        <v>175</v>
      </c>
      <c r="C52" s="438"/>
      <c r="D52" s="438"/>
      <c r="E52" s="438"/>
      <c r="F52" s="438"/>
      <c r="G52" s="444"/>
    </row>
    <row r="53" spans="2:7" ht="20.100000000000001" customHeight="1" thickBot="1" x14ac:dyDescent="0.25">
      <c r="B53" s="433" t="s">
        <v>65</v>
      </c>
      <c r="C53" s="429" t="s">
        <v>73</v>
      </c>
      <c r="D53" s="430"/>
      <c r="E53" s="431"/>
      <c r="F53" s="449" t="s">
        <v>50</v>
      </c>
      <c r="G53" s="449" t="s">
        <v>74</v>
      </c>
    </row>
    <row r="54" spans="2:7" ht="20.100000000000001" customHeight="1" thickBot="1" x14ac:dyDescent="0.25">
      <c r="B54" s="434"/>
      <c r="C54" s="145">
        <v>80</v>
      </c>
      <c r="D54" s="145">
        <v>92</v>
      </c>
      <c r="E54" s="145">
        <v>95</v>
      </c>
      <c r="F54" s="450"/>
      <c r="G54" s="450"/>
    </row>
    <row r="55" spans="2:7" ht="19.5" customHeight="1" thickBot="1" x14ac:dyDescent="0.25">
      <c r="B55" s="29" t="s">
        <v>77</v>
      </c>
      <c r="C55" s="140">
        <f>المبيعات!D38</f>
        <v>322921.5</v>
      </c>
      <c r="D55" s="140">
        <f>المبيعات!G38</f>
        <v>3507077.25</v>
      </c>
      <c r="E55" s="149">
        <f>المبيعات!J38</f>
        <v>1031959</v>
      </c>
      <c r="F55" s="140">
        <f>المبيعات!M38</f>
        <v>1962521</v>
      </c>
      <c r="G55" s="35">
        <f>C55+D55+E55+F55</f>
        <v>6824478.75</v>
      </c>
    </row>
    <row r="56" spans="2:7" ht="17.25" customHeight="1" thickBot="1" x14ac:dyDescent="0.25">
      <c r="B56" s="145" t="s">
        <v>78</v>
      </c>
      <c r="C56" s="140">
        <f>المبيعات!E38</f>
        <v>14678.25</v>
      </c>
      <c r="D56" s="140">
        <f>المبيعات!H38</f>
        <v>171457.11</v>
      </c>
      <c r="E56" s="140">
        <f>المبيعات!K38</f>
        <v>59920.200000000004</v>
      </c>
      <c r="F56" s="140">
        <f>المبيعات!N38</f>
        <v>92773.72</v>
      </c>
      <c r="G56" s="35">
        <f>F56+E56+D56+C56</f>
        <v>338829.28</v>
      </c>
    </row>
    <row r="57" spans="2:7" ht="17.25" customHeight="1" thickBot="1" x14ac:dyDescent="0.25">
      <c r="B57" s="145" t="s">
        <v>79</v>
      </c>
      <c r="C57" s="445">
        <f>المبيعات!P38</f>
        <v>70737</v>
      </c>
      <c r="D57" s="446"/>
      <c r="E57" s="446"/>
      <c r="F57" s="447"/>
      <c r="G57" s="36">
        <f>C57</f>
        <v>70737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F32" sqref="F32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51" t="s">
        <v>14</v>
      </c>
      <c r="B3" s="451" t="s">
        <v>3</v>
      </c>
      <c r="C3" s="401" t="s">
        <v>5</v>
      </c>
      <c r="D3" s="401"/>
      <c r="E3" s="452"/>
      <c r="F3" s="453" t="s">
        <v>11</v>
      </c>
      <c r="G3" s="401"/>
      <c r="H3" s="452"/>
      <c r="I3" s="409" t="s">
        <v>12</v>
      </c>
      <c r="J3" s="401"/>
      <c r="K3" s="408"/>
      <c r="L3" s="453" t="s">
        <v>50</v>
      </c>
      <c r="M3" s="401"/>
      <c r="N3" s="452"/>
      <c r="O3" s="409" t="s">
        <v>45</v>
      </c>
      <c r="P3" s="401"/>
      <c r="Q3" s="401"/>
      <c r="R3" s="417" t="s">
        <v>160</v>
      </c>
    </row>
    <row r="4" spans="1:20" ht="15.75" thickBot="1" x14ac:dyDescent="0.25">
      <c r="A4" s="451"/>
      <c r="B4" s="451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18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78</v>
      </c>
      <c r="G5" s="194"/>
      <c r="H5" s="213">
        <v>24498</v>
      </c>
      <c r="I5" s="211">
        <v>22</v>
      </c>
      <c r="J5" s="5"/>
      <c r="K5" s="213">
        <v>6989</v>
      </c>
      <c r="L5" s="214"/>
      <c r="M5" s="192"/>
      <c r="N5" s="215"/>
      <c r="O5" s="217">
        <v>1860</v>
      </c>
      <c r="P5" s="218"/>
      <c r="Q5" s="294">
        <f t="shared" ref="Q5:Q26" si="0">P5+O5</f>
        <v>1860</v>
      </c>
      <c r="R5" s="220" t="s">
        <v>219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52</v>
      </c>
      <c r="G6" s="194">
        <v>34</v>
      </c>
      <c r="H6" s="213">
        <v>30485</v>
      </c>
      <c r="I6" s="211">
        <v>15</v>
      </c>
      <c r="J6" s="5">
        <v>17</v>
      </c>
      <c r="K6" s="213">
        <v>9588</v>
      </c>
      <c r="L6" s="214"/>
      <c r="M6" s="192"/>
      <c r="N6" s="215"/>
      <c r="O6" s="217">
        <v>2570</v>
      </c>
      <c r="P6" s="218"/>
      <c r="Q6" s="294">
        <f t="shared" si="0"/>
        <v>2570</v>
      </c>
      <c r="R6" s="220" t="s">
        <v>235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45</v>
      </c>
      <c r="D7" s="5">
        <v>34</v>
      </c>
      <c r="E7" s="213">
        <v>43018</v>
      </c>
      <c r="F7" s="211">
        <v>24</v>
      </c>
      <c r="G7" s="194">
        <v>17</v>
      </c>
      <c r="H7" s="213">
        <v>20340</v>
      </c>
      <c r="I7" s="211">
        <v>33</v>
      </c>
      <c r="J7" s="5"/>
      <c r="K7" s="213">
        <v>4035</v>
      </c>
      <c r="L7" s="214"/>
      <c r="M7" s="192"/>
      <c r="N7" s="215"/>
      <c r="O7" s="217">
        <v>3780</v>
      </c>
      <c r="P7" s="218"/>
      <c r="Q7" s="294">
        <f t="shared" si="0"/>
        <v>3780</v>
      </c>
      <c r="R7" s="220" t="s">
        <v>236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17</v>
      </c>
      <c r="D8" s="5"/>
      <c r="E8" s="213">
        <v>3031</v>
      </c>
      <c r="F8" s="211">
        <v>42</v>
      </c>
      <c r="G8" s="194">
        <v>17</v>
      </c>
      <c r="H8" s="213">
        <v>19808</v>
      </c>
      <c r="I8" s="211">
        <v>21</v>
      </c>
      <c r="J8" s="5"/>
      <c r="K8" s="213">
        <v>6969</v>
      </c>
      <c r="L8" s="211">
        <v>170</v>
      </c>
      <c r="M8" s="5"/>
      <c r="N8" s="216">
        <v>6562</v>
      </c>
      <c r="O8" s="217">
        <v>3140</v>
      </c>
      <c r="P8" s="219"/>
      <c r="Q8" s="294">
        <f t="shared" si="0"/>
        <v>3140</v>
      </c>
      <c r="R8" s="220" t="s">
        <v>224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73</v>
      </c>
      <c r="G9" s="194">
        <v>68</v>
      </c>
      <c r="H9" s="213">
        <v>38764</v>
      </c>
      <c r="I9" s="211">
        <v>28</v>
      </c>
      <c r="J9" s="5">
        <v>17</v>
      </c>
      <c r="K9" s="213">
        <v>10843</v>
      </c>
      <c r="L9" s="214"/>
      <c r="M9" s="192"/>
      <c r="N9" s="215"/>
      <c r="O9" s="217">
        <v>3390</v>
      </c>
      <c r="P9" s="218"/>
      <c r="Q9" s="294">
        <f t="shared" si="0"/>
        <v>3390</v>
      </c>
      <c r="R9" s="220" t="s">
        <v>223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22</v>
      </c>
      <c r="D10" s="5"/>
      <c r="E10" s="213">
        <v>2721</v>
      </c>
      <c r="F10" s="211">
        <v>64</v>
      </c>
      <c r="G10" s="194">
        <v>34</v>
      </c>
      <c r="H10" s="213">
        <v>21980</v>
      </c>
      <c r="I10" s="214"/>
      <c r="J10" s="192"/>
      <c r="K10" s="212"/>
      <c r="L10" s="211">
        <v>168</v>
      </c>
      <c r="M10" s="5"/>
      <c r="N10" s="216">
        <v>6595</v>
      </c>
      <c r="O10" s="217">
        <v>1401</v>
      </c>
      <c r="P10" s="219"/>
      <c r="Q10" s="294">
        <v>2401</v>
      </c>
      <c r="R10" s="220" t="s">
        <v>240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9</v>
      </c>
      <c r="D11" s="5">
        <v>17</v>
      </c>
      <c r="E11" s="213">
        <v>5452</v>
      </c>
      <c r="F11" s="211">
        <v>81</v>
      </c>
      <c r="G11" s="194">
        <v>34</v>
      </c>
      <c r="H11" s="213">
        <v>17543</v>
      </c>
      <c r="I11" s="214"/>
      <c r="J11" s="192"/>
      <c r="K11" s="212"/>
      <c r="L11" s="211">
        <v>156</v>
      </c>
      <c r="M11" s="5">
        <v>17</v>
      </c>
      <c r="N11" s="216">
        <v>17280</v>
      </c>
      <c r="O11" s="217">
        <v>2780</v>
      </c>
      <c r="P11" s="219"/>
      <c r="Q11" s="294">
        <f t="shared" si="0"/>
        <v>2780</v>
      </c>
      <c r="R11" s="220" t="s">
        <v>232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129</v>
      </c>
      <c r="G12" s="194">
        <v>51</v>
      </c>
      <c r="H12" s="213">
        <v>32691</v>
      </c>
      <c r="I12" s="211">
        <v>44</v>
      </c>
      <c r="J12" s="5"/>
      <c r="K12" s="213">
        <v>10539</v>
      </c>
      <c r="L12" s="214"/>
      <c r="M12" s="192"/>
      <c r="N12" s="215"/>
      <c r="O12" s="217">
        <v>3000</v>
      </c>
      <c r="P12" s="218"/>
      <c r="Q12" s="294">
        <f t="shared" si="0"/>
        <v>3000</v>
      </c>
      <c r="R12" s="220" t="s">
        <v>238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140</v>
      </c>
      <c r="G13" s="194">
        <v>34</v>
      </c>
      <c r="H13" s="213">
        <v>38200</v>
      </c>
      <c r="I13" s="211">
        <v>25</v>
      </c>
      <c r="J13" s="5">
        <v>17</v>
      </c>
      <c r="K13" s="213">
        <v>11400</v>
      </c>
      <c r="L13" s="211">
        <v>110</v>
      </c>
      <c r="M13" s="5"/>
      <c r="N13" s="216">
        <v>39600</v>
      </c>
      <c r="O13" s="217"/>
      <c r="P13" s="219"/>
      <c r="Q13" s="294">
        <f t="shared" si="0"/>
        <v>0</v>
      </c>
      <c r="R13" s="220" t="s">
        <v>230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78</v>
      </c>
      <c r="G14" s="194"/>
      <c r="H14" s="213">
        <v>7085</v>
      </c>
      <c r="I14" s="211">
        <v>12</v>
      </c>
      <c r="J14" s="5">
        <v>17</v>
      </c>
      <c r="K14" s="213">
        <v>3745</v>
      </c>
      <c r="L14" s="211">
        <v>100</v>
      </c>
      <c r="M14" s="5">
        <v>85</v>
      </c>
      <c r="N14" s="216">
        <v>67446</v>
      </c>
      <c r="O14" s="217">
        <v>8372</v>
      </c>
      <c r="P14" s="219"/>
      <c r="Q14" s="294">
        <f t="shared" si="0"/>
        <v>8372</v>
      </c>
      <c r="R14" s="220" t="s">
        <v>242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75</v>
      </c>
      <c r="G15" s="194"/>
      <c r="H15" s="213">
        <v>9248</v>
      </c>
      <c r="I15" s="211">
        <v>24</v>
      </c>
      <c r="J15" s="5"/>
      <c r="K15" s="213">
        <v>3095</v>
      </c>
      <c r="L15" s="211">
        <v>55</v>
      </c>
      <c r="M15" s="5"/>
      <c r="N15" s="216">
        <v>2775</v>
      </c>
      <c r="O15" s="217">
        <v>1260</v>
      </c>
      <c r="P15" s="219"/>
      <c r="Q15" s="294">
        <f t="shared" si="0"/>
        <v>1260</v>
      </c>
      <c r="R15" s="220" t="s">
        <v>217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47</v>
      </c>
      <c r="G16" s="194"/>
      <c r="H16" s="213">
        <v>2944</v>
      </c>
      <c r="I16" s="211">
        <v>16</v>
      </c>
      <c r="J16" s="5"/>
      <c r="K16" s="213">
        <v>753</v>
      </c>
      <c r="L16" s="214"/>
      <c r="M16" s="192"/>
      <c r="N16" s="215"/>
      <c r="O16" s="217">
        <v>359</v>
      </c>
      <c r="P16" s="218"/>
      <c r="Q16" s="294">
        <f t="shared" si="0"/>
        <v>359</v>
      </c>
      <c r="R16" s="220" t="s">
        <v>220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81</v>
      </c>
      <c r="G17" s="194"/>
      <c r="H17" s="213">
        <v>2419</v>
      </c>
      <c r="I17" s="211">
        <v>16</v>
      </c>
      <c r="J17" s="5"/>
      <c r="K17" s="213">
        <v>737</v>
      </c>
      <c r="L17" s="211">
        <v>154</v>
      </c>
      <c r="M17" s="5"/>
      <c r="N17" s="216">
        <v>6181</v>
      </c>
      <c r="O17" s="217">
        <v>1030</v>
      </c>
      <c r="P17" s="219"/>
      <c r="Q17" s="294">
        <f t="shared" si="0"/>
        <v>1030</v>
      </c>
      <c r="R17" s="220" t="s">
        <v>218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70</v>
      </c>
      <c r="G18" s="194">
        <v>17</v>
      </c>
      <c r="H18" s="213">
        <v>8813</v>
      </c>
      <c r="I18" s="211">
        <v>18</v>
      </c>
      <c r="J18" s="5"/>
      <c r="K18" s="213">
        <v>2380</v>
      </c>
      <c r="L18" s="211">
        <v>152</v>
      </c>
      <c r="M18" s="5">
        <v>34</v>
      </c>
      <c r="N18" s="216">
        <v>27955</v>
      </c>
      <c r="O18" s="217">
        <v>830</v>
      </c>
      <c r="P18" s="219">
        <v>2090</v>
      </c>
      <c r="Q18" s="294">
        <f t="shared" si="0"/>
        <v>2920</v>
      </c>
      <c r="R18" s="220" t="s">
        <v>222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37</v>
      </c>
      <c r="G19" s="194">
        <v>51</v>
      </c>
      <c r="H19" s="213">
        <v>8133</v>
      </c>
      <c r="I19" s="211">
        <v>20</v>
      </c>
      <c r="J19" s="5"/>
      <c r="K19" s="213">
        <v>1496</v>
      </c>
      <c r="L19" s="214"/>
      <c r="M19" s="192"/>
      <c r="N19" s="215"/>
      <c r="O19" s="217">
        <v>820</v>
      </c>
      <c r="P19" s="218"/>
      <c r="Q19" s="294">
        <f t="shared" si="0"/>
        <v>820</v>
      </c>
      <c r="R19" s="220" t="s">
        <v>227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13</v>
      </c>
      <c r="D20" s="5"/>
      <c r="E20" s="213">
        <v>282</v>
      </c>
      <c r="F20" s="211">
        <v>54</v>
      </c>
      <c r="G20" s="194"/>
      <c r="H20" s="213">
        <v>684</v>
      </c>
      <c r="I20" s="214"/>
      <c r="J20" s="192"/>
      <c r="K20" s="212"/>
      <c r="L20" s="211">
        <v>107</v>
      </c>
      <c r="M20" s="5"/>
      <c r="N20" s="216">
        <v>3419</v>
      </c>
      <c r="O20" s="217">
        <v>88</v>
      </c>
      <c r="P20" s="219">
        <v>462</v>
      </c>
      <c r="Q20" s="294">
        <f t="shared" si="0"/>
        <v>550</v>
      </c>
      <c r="R20" s="220" t="s">
        <v>243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55</v>
      </c>
      <c r="G21" s="194"/>
      <c r="H21" s="213">
        <v>1383</v>
      </c>
      <c r="I21" s="214"/>
      <c r="J21" s="192"/>
      <c r="K21" s="212"/>
      <c r="L21" s="211">
        <v>95</v>
      </c>
      <c r="M21" s="5"/>
      <c r="N21" s="216">
        <v>5826</v>
      </c>
      <c r="O21" s="217">
        <v>450</v>
      </c>
      <c r="P21" s="219"/>
      <c r="Q21" s="294">
        <f t="shared" si="0"/>
        <v>450</v>
      </c>
      <c r="R21" s="220" t="s">
        <v>241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76</v>
      </c>
      <c r="G22" s="194">
        <v>34</v>
      </c>
      <c r="H22" s="213">
        <v>14165</v>
      </c>
      <c r="I22" s="211">
        <v>20</v>
      </c>
      <c r="J22" s="5"/>
      <c r="K22" s="213">
        <v>2237</v>
      </c>
      <c r="L22" s="211">
        <v>159</v>
      </c>
      <c r="M22" s="5">
        <v>17</v>
      </c>
      <c r="N22" s="216">
        <v>54522</v>
      </c>
      <c r="O22" s="217">
        <v>1530</v>
      </c>
      <c r="P22" s="219">
        <v>4100</v>
      </c>
      <c r="Q22" s="294">
        <f t="shared" si="0"/>
        <v>5630</v>
      </c>
      <c r="R22" s="220" t="s">
        <v>239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65</v>
      </c>
      <c r="G23" s="194">
        <v>34</v>
      </c>
      <c r="H23" s="213">
        <v>16253</v>
      </c>
      <c r="I23" s="211">
        <v>10</v>
      </c>
      <c r="J23" s="5">
        <v>17</v>
      </c>
      <c r="K23" s="213">
        <v>3645</v>
      </c>
      <c r="L23" s="211">
        <v>125</v>
      </c>
      <c r="M23" s="5">
        <v>51</v>
      </c>
      <c r="N23" s="216">
        <v>50305</v>
      </c>
      <c r="O23" s="217">
        <v>1880</v>
      </c>
      <c r="P23" s="219">
        <v>3745</v>
      </c>
      <c r="Q23" s="294">
        <f t="shared" si="0"/>
        <v>5625</v>
      </c>
      <c r="R23" s="220" t="s">
        <v>226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80</v>
      </c>
      <c r="G24" s="194">
        <v>34</v>
      </c>
      <c r="H24" s="213">
        <v>10893</v>
      </c>
      <c r="I24" s="211">
        <v>27</v>
      </c>
      <c r="J24" s="5">
        <v>17</v>
      </c>
      <c r="K24" s="213">
        <v>1483</v>
      </c>
      <c r="L24" s="211">
        <v>160</v>
      </c>
      <c r="M24" s="5">
        <v>17</v>
      </c>
      <c r="N24" s="216">
        <v>29551</v>
      </c>
      <c r="O24" s="217">
        <v>1005</v>
      </c>
      <c r="P24" s="219">
        <v>2125</v>
      </c>
      <c r="Q24" s="294">
        <f t="shared" si="0"/>
        <v>3130</v>
      </c>
      <c r="R24" s="220" t="s">
        <v>245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67</v>
      </c>
      <c r="G25" s="194"/>
      <c r="H25" s="213">
        <v>8020</v>
      </c>
      <c r="I25" s="211">
        <v>18</v>
      </c>
      <c r="J25" s="5"/>
      <c r="K25" s="213">
        <v>1261</v>
      </c>
      <c r="L25" s="211">
        <v>146</v>
      </c>
      <c r="M25" s="5">
        <v>34</v>
      </c>
      <c r="N25" s="216">
        <v>24170</v>
      </c>
      <c r="O25" s="217">
        <v>1065</v>
      </c>
      <c r="P25" s="219">
        <v>1895</v>
      </c>
      <c r="Q25" s="294">
        <f t="shared" si="0"/>
        <v>2960</v>
      </c>
      <c r="R25" s="220" t="s">
        <v>231</v>
      </c>
    </row>
    <row r="26" spans="1:20" ht="16.5" thickBot="1" x14ac:dyDescent="0.3">
      <c r="A26" s="299">
        <v>22</v>
      </c>
      <c r="B26" s="297" t="s">
        <v>112</v>
      </c>
      <c r="C26" s="197">
        <v>79</v>
      </c>
      <c r="D26" s="194"/>
      <c r="E26" s="213">
        <v>4209</v>
      </c>
      <c r="F26" s="211">
        <v>38</v>
      </c>
      <c r="G26" s="194"/>
      <c r="H26" s="213">
        <v>8170</v>
      </c>
      <c r="I26" s="211">
        <v>42</v>
      </c>
      <c r="J26" s="5"/>
      <c r="K26" s="213">
        <v>1707</v>
      </c>
      <c r="L26" s="211">
        <v>175</v>
      </c>
      <c r="M26" s="5"/>
      <c r="N26" s="216">
        <v>14635</v>
      </c>
      <c r="O26" s="217">
        <v>1050</v>
      </c>
      <c r="P26" s="219">
        <v>175</v>
      </c>
      <c r="Q26" s="294">
        <f t="shared" si="0"/>
        <v>1225</v>
      </c>
      <c r="R26" s="220" t="s">
        <v>233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107</v>
      </c>
      <c r="G27" s="194"/>
      <c r="H27" s="213">
        <v>9356</v>
      </c>
      <c r="I27" s="211">
        <v>38</v>
      </c>
      <c r="J27" s="5"/>
      <c r="K27" s="213">
        <v>2054</v>
      </c>
      <c r="L27" s="214"/>
      <c r="M27" s="192"/>
      <c r="N27" s="215"/>
      <c r="O27" s="217">
        <v>2085</v>
      </c>
      <c r="P27" s="218"/>
      <c r="Q27" s="294">
        <f t="shared" ref="Q27:Q30" si="1">P27+O27</f>
        <v>2085</v>
      </c>
      <c r="R27" s="220" t="s">
        <v>228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120</v>
      </c>
      <c r="G28" s="194">
        <v>51</v>
      </c>
      <c r="H28" s="213">
        <v>32913</v>
      </c>
      <c r="I28" s="211">
        <v>69</v>
      </c>
      <c r="J28" s="5"/>
      <c r="K28" s="213">
        <v>10905</v>
      </c>
      <c r="L28" s="214"/>
      <c r="M28" s="192"/>
      <c r="N28" s="215"/>
      <c r="O28" s="217">
        <v>1500</v>
      </c>
      <c r="P28" s="218"/>
      <c r="Q28" s="294">
        <f t="shared" si="1"/>
        <v>1500</v>
      </c>
      <c r="R28" s="220" t="s">
        <v>225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145</v>
      </c>
      <c r="G29" s="194">
        <v>51</v>
      </c>
      <c r="H29" s="213">
        <v>31591</v>
      </c>
      <c r="I29" s="211">
        <v>48</v>
      </c>
      <c r="J29" s="5"/>
      <c r="K29" s="213">
        <v>10817</v>
      </c>
      <c r="L29" s="214"/>
      <c r="M29" s="192"/>
      <c r="N29" s="215"/>
      <c r="O29" s="217">
        <v>3500</v>
      </c>
      <c r="P29" s="218"/>
      <c r="Q29" s="294">
        <f t="shared" si="1"/>
        <v>3500</v>
      </c>
      <c r="R29" s="220" t="s">
        <v>234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120</v>
      </c>
      <c r="G30" s="194">
        <v>51</v>
      </c>
      <c r="H30" s="213">
        <v>40946</v>
      </c>
      <c r="I30" s="211">
        <v>75</v>
      </c>
      <c r="J30" s="5"/>
      <c r="K30" s="213">
        <v>10875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221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130</v>
      </c>
      <c r="G31" s="194">
        <v>51</v>
      </c>
      <c r="H31" s="213">
        <v>62242</v>
      </c>
      <c r="I31" s="211">
        <v>45</v>
      </c>
      <c r="J31" s="5"/>
      <c r="K31" s="213">
        <v>15603</v>
      </c>
      <c r="L31" s="214"/>
      <c r="M31" s="192"/>
      <c r="N31" s="215"/>
      <c r="O31" s="217">
        <v>6400</v>
      </c>
      <c r="P31" s="218"/>
      <c r="Q31" s="294">
        <f t="shared" ref="Q31:Q35" si="2">P31+O31</f>
        <v>6400</v>
      </c>
      <c r="R31" s="220" t="s">
        <v>237</v>
      </c>
    </row>
    <row r="32" spans="1:20" ht="16.5" thickBot="1" x14ac:dyDescent="0.3">
      <c r="A32" s="359">
        <v>28</v>
      </c>
      <c r="B32" s="332" t="s">
        <v>196</v>
      </c>
      <c r="C32" s="211"/>
      <c r="D32" s="194">
        <v>34</v>
      </c>
      <c r="E32" s="213"/>
      <c r="F32" s="211"/>
      <c r="G32" s="194"/>
      <c r="H32" s="213"/>
      <c r="I32" s="211"/>
      <c r="J32" s="5">
        <v>17</v>
      </c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51</v>
      </c>
      <c r="G39" s="193">
        <f>SUM(G5:G31)</f>
        <v>663</v>
      </c>
      <c r="J39" s="193">
        <f>SUM(J5:J31)</f>
        <v>102</v>
      </c>
      <c r="M39" s="193">
        <f>SUM(M5:M31)</f>
        <v>255</v>
      </c>
    </row>
  </sheetData>
  <sheetProtection selectLockedCells="1"/>
  <customSheetViews>
    <customSheetView guid="{18C0F7AC-4BB1-46DE-8A01-8E31FE0585FC}" scale="85" fitToPage="1">
      <selection activeCell="F32" sqref="F32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60" t="s">
        <v>193</v>
      </c>
      <c r="C7" s="460"/>
      <c r="D7" s="460"/>
      <c r="E7" s="460"/>
      <c r="F7" s="460"/>
      <c r="G7" s="460"/>
      <c r="H7" s="460"/>
      <c r="I7" s="345"/>
      <c r="J7" s="345"/>
    </row>
    <row r="8" spans="2:10" ht="17.25" thickTop="1" thickBot="1" x14ac:dyDescent="0.25">
      <c r="B8" s="461" t="s">
        <v>14</v>
      </c>
      <c r="C8" s="454" t="s">
        <v>180</v>
      </c>
      <c r="D8" s="463" t="s">
        <v>181</v>
      </c>
      <c r="E8" s="464"/>
      <c r="F8" s="465"/>
      <c r="G8" s="454" t="s">
        <v>182</v>
      </c>
      <c r="H8" s="456" t="s">
        <v>183</v>
      </c>
      <c r="I8" s="347"/>
      <c r="J8" s="347"/>
    </row>
    <row r="9" spans="2:10" ht="16.5" thickBot="1" x14ac:dyDescent="0.25">
      <c r="B9" s="462"/>
      <c r="C9" s="455"/>
      <c r="D9" s="340">
        <v>80</v>
      </c>
      <c r="E9" s="340">
        <v>92</v>
      </c>
      <c r="F9" s="340">
        <v>95</v>
      </c>
      <c r="G9" s="455"/>
      <c r="H9" s="457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32913</v>
      </c>
      <c r="F10" s="350">
        <f>'أخذ التمام الصباحي'!$K$28</f>
        <v>10905</v>
      </c>
      <c r="G10" s="342"/>
      <c r="H10" s="343">
        <f>SUM(D10:G10)</f>
        <v>43818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31591</v>
      </c>
      <c r="F11" s="350">
        <f>'أخذ التمام الصباحي'!$K$29</f>
        <v>10817</v>
      </c>
      <c r="G11" s="342"/>
      <c r="H11" s="343">
        <f t="shared" ref="H11" si="0">SUM(D11:G11)</f>
        <v>42408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40946</v>
      </c>
      <c r="F12" s="350">
        <f>'أخذ التمام الصباحي'!$K$30</f>
        <v>10875</v>
      </c>
      <c r="G12" s="342"/>
      <c r="H12" s="343">
        <f>SUM(D12:G12)</f>
        <v>51821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62242</v>
      </c>
      <c r="F13" s="350">
        <f>'أخذ التمام الصباحي'!$K$31</f>
        <v>15603</v>
      </c>
      <c r="G13" s="342"/>
      <c r="H13" s="343">
        <f>SUM(D13:G13)</f>
        <v>77845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30485</v>
      </c>
      <c r="F14" s="350">
        <f>'أخذ التمام الصباحي'!$K$6</f>
        <v>9588</v>
      </c>
      <c r="G14" s="342"/>
      <c r="H14" s="343">
        <f>SUM(D14:G14)</f>
        <v>40073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43018</v>
      </c>
      <c r="E15" s="350">
        <f>'أخذ التمام الصباحي'!$H$7</f>
        <v>20340</v>
      </c>
      <c r="F15" s="350">
        <f>'أخذ التمام الصباحي'!$K$7</f>
        <v>4035</v>
      </c>
      <c r="G15" s="342"/>
      <c r="H15" s="343">
        <f t="shared" ref="H15:H17" si="1">SUM(D15:G15)</f>
        <v>67393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4209</v>
      </c>
      <c r="E16" s="350">
        <f>'أخذ التمام الصباحي'!$H$26</f>
        <v>8170</v>
      </c>
      <c r="F16" s="350">
        <f>'أخذ التمام الصباحي'!$K$26</f>
        <v>1707</v>
      </c>
      <c r="G16" s="350">
        <f>'أخذ التمام الصباحي'!$N$26</f>
        <v>14635</v>
      </c>
      <c r="H16" s="343">
        <f t="shared" si="1"/>
        <v>28721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9356</v>
      </c>
      <c r="F17" s="350">
        <f>'أخذ التمام الصباحي'!$K$27</f>
        <v>2054</v>
      </c>
      <c r="G17" s="342"/>
      <c r="H17" s="343">
        <f t="shared" si="1"/>
        <v>11410</v>
      </c>
    </row>
    <row r="18" spans="2:8" ht="54.95" customHeight="1" thickTop="1" thickBot="1" x14ac:dyDescent="0.25">
      <c r="B18" s="458" t="s">
        <v>192</v>
      </c>
      <c r="C18" s="459"/>
      <c r="D18" s="351">
        <f t="shared" ref="D18:G18" si="2">SUM(D10:D17)</f>
        <v>47227</v>
      </c>
      <c r="E18" s="351">
        <f t="shared" si="2"/>
        <v>236043</v>
      </c>
      <c r="F18" s="351">
        <f t="shared" si="2"/>
        <v>65584</v>
      </c>
      <c r="G18" s="351">
        <f t="shared" si="2"/>
        <v>14635</v>
      </c>
      <c r="H18" s="351">
        <f>SUM(H10:H17)</f>
        <v>363489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5"/>
  <sheetViews>
    <sheetView rightToLeft="1" zoomScaleNormal="100" workbookViewId="0">
      <selection activeCell="G4" sqref="G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73" t="s">
        <v>244</v>
      </c>
      <c r="C6" s="473"/>
      <c r="D6" s="473"/>
      <c r="E6" s="473"/>
      <c r="F6" s="473"/>
      <c r="G6" s="473"/>
      <c r="H6" s="473"/>
      <c r="I6" s="473"/>
      <c r="J6" s="473"/>
      <c r="K6" s="473"/>
    </row>
    <row r="7" spans="2:12" ht="15.75" x14ac:dyDescent="0.25">
      <c r="B7" s="473"/>
      <c r="C7" s="473"/>
      <c r="D7" s="473"/>
      <c r="E7" s="473"/>
      <c r="F7" s="473"/>
      <c r="G7" s="473"/>
      <c r="H7" s="473"/>
      <c r="I7" s="473"/>
      <c r="J7" s="473"/>
      <c r="K7" s="473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4" t="s">
        <v>14</v>
      </c>
      <c r="C11" s="476" t="s">
        <v>3</v>
      </c>
      <c r="D11" s="476" t="s">
        <v>201</v>
      </c>
      <c r="E11" s="478" t="s">
        <v>202</v>
      </c>
      <c r="F11" s="479"/>
      <c r="G11" s="479"/>
      <c r="H11" s="480" t="s">
        <v>50</v>
      </c>
      <c r="I11" s="482" t="s">
        <v>183</v>
      </c>
      <c r="J11" s="478" t="s">
        <v>205</v>
      </c>
      <c r="K11" s="484"/>
    </row>
    <row r="12" spans="2:12" ht="15.75" customHeight="1" thickBot="1" x14ac:dyDescent="0.25">
      <c r="B12" s="475"/>
      <c r="C12" s="477"/>
      <c r="D12" s="477"/>
      <c r="E12" s="368">
        <v>80</v>
      </c>
      <c r="F12" s="368">
        <v>92</v>
      </c>
      <c r="G12" s="369">
        <v>95</v>
      </c>
      <c r="H12" s="481"/>
      <c r="I12" s="483"/>
      <c r="J12" s="368" t="s">
        <v>203</v>
      </c>
      <c r="K12" s="368" t="s">
        <v>201</v>
      </c>
    </row>
    <row r="13" spans="2:12" ht="16.5" customHeight="1" thickBot="1" x14ac:dyDescent="0.25">
      <c r="B13" s="370">
        <v>1</v>
      </c>
      <c r="C13" s="342" t="s">
        <v>163</v>
      </c>
      <c r="D13" s="485" t="s">
        <v>206</v>
      </c>
      <c r="E13" s="371" t="s">
        <v>207</v>
      </c>
      <c r="F13" s="371">
        <f>'تمام محطات الوكلاء'!E14</f>
        <v>30485</v>
      </c>
      <c r="G13" s="371">
        <f>'تمام محطات الوكلاء'!F14</f>
        <v>9588</v>
      </c>
      <c r="H13" s="371" t="s">
        <v>207</v>
      </c>
      <c r="I13" s="374">
        <f>SUM(E13:H13)</f>
        <v>40073</v>
      </c>
      <c r="J13" s="372">
        <f>F13*0.2525+G13*0.355</f>
        <v>11101.202499999999</v>
      </c>
      <c r="K13" s="372">
        <f>F13*0.1075+G13*0.145</f>
        <v>4667.3975</v>
      </c>
    </row>
    <row r="14" spans="2:12" ht="18.75" thickBot="1" x14ac:dyDescent="0.25">
      <c r="B14" s="370">
        <v>2</v>
      </c>
      <c r="C14" s="342" t="s">
        <v>112</v>
      </c>
      <c r="D14" s="486"/>
      <c r="E14" s="373">
        <f>'تمام محطات الوكلاء'!D16</f>
        <v>4209</v>
      </c>
      <c r="F14" s="371">
        <f>'تمام محطات الوكلاء'!E16</f>
        <v>8170</v>
      </c>
      <c r="G14" s="371">
        <f>'تمام محطات الوكلاء'!F16</f>
        <v>1707</v>
      </c>
      <c r="H14" s="371">
        <f>'تمام محطات الوكلاء'!G16</f>
        <v>14635</v>
      </c>
      <c r="I14" s="374">
        <f t="shared" ref="I14:I22" si="0">SUM(E14:H14)</f>
        <v>28721</v>
      </c>
      <c r="J14" s="372">
        <f>E14*0.2105+F14*0.2525+H14*0.195+G14*0.355</f>
        <v>6408.7295000000004</v>
      </c>
      <c r="K14" s="372">
        <f>E14*0.0695+F14*0.1075+G14*0.145+H14*0.085</f>
        <v>2662.2905000000001</v>
      </c>
    </row>
    <row r="15" spans="2:12" ht="18.75" thickBot="1" x14ac:dyDescent="0.25">
      <c r="B15" s="370">
        <v>3</v>
      </c>
      <c r="C15" s="342" t="s">
        <v>158</v>
      </c>
      <c r="D15" s="487"/>
      <c r="E15" s="373">
        <f>'تمام محطات الوكلاء'!D15</f>
        <v>43018</v>
      </c>
      <c r="F15" s="373">
        <f>'تمام محطات الوكلاء'!E15</f>
        <v>20340</v>
      </c>
      <c r="G15" s="373">
        <f>'تمام محطات الوكلاء'!F15</f>
        <v>4035</v>
      </c>
      <c r="H15" s="371" t="s">
        <v>207</v>
      </c>
      <c r="I15" s="374">
        <f t="shared" si="0"/>
        <v>67393</v>
      </c>
      <c r="J15" s="372">
        <f>E15*0.2105+F15*0.2525+G15*0.355</f>
        <v>15623.563999999998</v>
      </c>
      <c r="K15" s="372">
        <f>E15*0.0695+F15*0.1075+G15*0.145</f>
        <v>5761.3760000000002</v>
      </c>
    </row>
    <row r="16" spans="2:12" ht="21" thickBot="1" x14ac:dyDescent="0.25">
      <c r="B16" s="488" t="s">
        <v>208</v>
      </c>
      <c r="C16" s="489"/>
      <c r="D16" s="490"/>
      <c r="E16" s="375">
        <f>SUM(E13:E15)</f>
        <v>47227</v>
      </c>
      <c r="F16" s="375">
        <f t="shared" ref="F16:K16" si="1">SUM(F13:F15)</f>
        <v>58995</v>
      </c>
      <c r="G16" s="375">
        <f t="shared" si="1"/>
        <v>15330</v>
      </c>
      <c r="H16" s="375">
        <f t="shared" si="1"/>
        <v>14635</v>
      </c>
      <c r="I16" s="376">
        <f t="shared" si="1"/>
        <v>136187</v>
      </c>
      <c r="J16" s="375">
        <f t="shared" si="1"/>
        <v>33133.495999999999</v>
      </c>
      <c r="K16" s="377">
        <f t="shared" si="1"/>
        <v>13091.064</v>
      </c>
    </row>
    <row r="17" spans="2:11" ht="18.75" thickBot="1" x14ac:dyDescent="0.25">
      <c r="B17" s="370">
        <v>4</v>
      </c>
      <c r="C17" s="342" t="s">
        <v>121</v>
      </c>
      <c r="D17" s="491" t="s">
        <v>209</v>
      </c>
      <c r="E17" s="371" t="s">
        <v>207</v>
      </c>
      <c r="F17" s="371">
        <f>'تمام محطات الوكلاء'!E17</f>
        <v>9356</v>
      </c>
      <c r="G17" s="371">
        <f>'تمام محطات الوكلاء'!F17</f>
        <v>2054</v>
      </c>
      <c r="H17" s="371" t="s">
        <v>207</v>
      </c>
      <c r="I17" s="374">
        <f t="shared" si="0"/>
        <v>11410</v>
      </c>
      <c r="J17" s="372">
        <f>F17*0.2525+G17*0.355</f>
        <v>3091.56</v>
      </c>
      <c r="K17" s="372">
        <f>F17*0.1075+G17*0.145</f>
        <v>1303.5999999999999</v>
      </c>
    </row>
    <row r="18" spans="2:11" ht="18.75" thickBot="1" x14ac:dyDescent="0.25">
      <c r="B18" s="370">
        <v>5</v>
      </c>
      <c r="C18" s="344" t="s">
        <v>210</v>
      </c>
      <c r="D18" s="492"/>
      <c r="E18" s="371" t="s">
        <v>207</v>
      </c>
      <c r="F18" s="371">
        <f>'تمام محطات الوكلاء'!E12</f>
        <v>40946</v>
      </c>
      <c r="G18" s="371">
        <f>'تمام محطات الوكلاء'!F12</f>
        <v>10875</v>
      </c>
      <c r="H18" s="371" t="s">
        <v>207</v>
      </c>
      <c r="I18" s="374">
        <f t="shared" si="0"/>
        <v>51821</v>
      </c>
      <c r="J18" s="372">
        <f>F18*0.2525+G18*0.355</f>
        <v>14199.49</v>
      </c>
      <c r="K18" s="372">
        <f>F18*0.1075+G18*0.145</f>
        <v>5978.57</v>
      </c>
    </row>
    <row r="19" spans="2:11" ht="18.75" thickBot="1" x14ac:dyDescent="0.25">
      <c r="B19" s="370">
        <v>6</v>
      </c>
      <c r="C19" s="342" t="s">
        <v>211</v>
      </c>
      <c r="D19" s="493"/>
      <c r="E19" s="371" t="s">
        <v>207</v>
      </c>
      <c r="F19" s="371">
        <f>'تمام محطات الوكلاء'!E10</f>
        <v>32913</v>
      </c>
      <c r="G19" s="371">
        <f>'تمام محطات الوكلاء'!F10</f>
        <v>10905</v>
      </c>
      <c r="H19" s="371" t="s">
        <v>207</v>
      </c>
      <c r="I19" s="374">
        <f t="shared" si="0"/>
        <v>43818</v>
      </c>
      <c r="J19" s="372">
        <f>F19*0.2525+G19*0.355</f>
        <v>12181.807499999999</v>
      </c>
      <c r="K19" s="372">
        <f>F19*0.1075+G19*0.145</f>
        <v>5119.3724999999995</v>
      </c>
    </row>
    <row r="20" spans="2:11" ht="21" thickBot="1" x14ac:dyDescent="0.25">
      <c r="B20" s="494" t="s">
        <v>212</v>
      </c>
      <c r="C20" s="495"/>
      <c r="D20" s="496"/>
      <c r="E20" s="378"/>
      <c r="F20" s="379">
        <f t="shared" ref="F20:K20" si="2">SUM(F17:F19)</f>
        <v>83215</v>
      </c>
      <c r="G20" s="379">
        <f t="shared" si="2"/>
        <v>23834</v>
      </c>
      <c r="H20" s="379"/>
      <c r="I20" s="380">
        <f t="shared" si="2"/>
        <v>107049</v>
      </c>
      <c r="J20" s="379">
        <f t="shared" si="2"/>
        <v>29472.857499999998</v>
      </c>
      <c r="K20" s="379">
        <f t="shared" si="2"/>
        <v>12401.5425</v>
      </c>
    </row>
    <row r="21" spans="2:11" ht="18.75" thickBot="1" x14ac:dyDescent="0.25">
      <c r="B21" s="370">
        <v>7</v>
      </c>
      <c r="C21" s="342" t="s">
        <v>213</v>
      </c>
      <c r="D21" s="491" t="s">
        <v>214</v>
      </c>
      <c r="E21" s="371" t="s">
        <v>207</v>
      </c>
      <c r="F21" s="371">
        <f>'تمام محطات الوكلاء'!E13</f>
        <v>62242</v>
      </c>
      <c r="G21" s="371">
        <f>'تمام محطات الوكلاء'!F13</f>
        <v>15603</v>
      </c>
      <c r="H21" s="371" t="s">
        <v>207</v>
      </c>
      <c r="I21" s="374">
        <f t="shared" si="0"/>
        <v>77845</v>
      </c>
      <c r="J21" s="372">
        <f>F21*0.2525+G21*0.355</f>
        <v>21255.17</v>
      </c>
      <c r="K21" s="372">
        <f>F21*0.1075+G21*0.145</f>
        <v>8953.4500000000007</v>
      </c>
    </row>
    <row r="22" spans="2:11" ht="18.75" thickBot="1" x14ac:dyDescent="0.25">
      <c r="B22" s="370">
        <v>8</v>
      </c>
      <c r="C22" s="342" t="s">
        <v>215</v>
      </c>
      <c r="D22" s="492"/>
      <c r="E22" s="371" t="s">
        <v>207</v>
      </c>
      <c r="F22" s="371">
        <f>'تمام محطات الوكلاء'!E11</f>
        <v>31591</v>
      </c>
      <c r="G22" s="371">
        <f>'تمام محطات الوكلاء'!F11</f>
        <v>10817</v>
      </c>
      <c r="H22" s="371" t="s">
        <v>207</v>
      </c>
      <c r="I22" s="374">
        <f t="shared" si="0"/>
        <v>42408</v>
      </c>
      <c r="J22" s="372">
        <f>F22*0.2525+G22*0.355</f>
        <v>11816.762500000001</v>
      </c>
      <c r="K22" s="372">
        <f>F22*0.1075+G22*0.145</f>
        <v>4964.4974999999995</v>
      </c>
    </row>
    <row r="23" spans="2:11" ht="21" thickBot="1" x14ac:dyDescent="0.25">
      <c r="B23" s="470" t="s">
        <v>216</v>
      </c>
      <c r="C23" s="471"/>
      <c r="D23" s="472"/>
      <c r="E23" s="381"/>
      <c r="F23" s="381">
        <f t="shared" ref="F23:K23" si="3">SUM(F21:F22)</f>
        <v>93833</v>
      </c>
      <c r="G23" s="381">
        <f t="shared" si="3"/>
        <v>26420</v>
      </c>
      <c r="H23" s="381"/>
      <c r="I23" s="382">
        <f t="shared" si="3"/>
        <v>120253</v>
      </c>
      <c r="J23" s="381">
        <f t="shared" si="3"/>
        <v>33071.932499999995</v>
      </c>
      <c r="K23" s="383">
        <f t="shared" si="3"/>
        <v>13917.9475</v>
      </c>
    </row>
    <row r="24" spans="2:11" x14ac:dyDescent="0.2">
      <c r="B24" s="468" t="s">
        <v>204</v>
      </c>
      <c r="C24" s="468"/>
      <c r="D24" s="468"/>
      <c r="E24" s="466">
        <f>SUM(E16,E20,E23)</f>
        <v>47227</v>
      </c>
      <c r="F24" s="466">
        <f t="shared" ref="F24:K24" si="4">SUM(F16,F20,F23)</f>
        <v>236043</v>
      </c>
      <c r="G24" s="466">
        <f t="shared" si="4"/>
        <v>65584</v>
      </c>
      <c r="H24" s="466">
        <f t="shared" si="4"/>
        <v>14635</v>
      </c>
      <c r="I24" s="466">
        <f t="shared" si="4"/>
        <v>363489</v>
      </c>
      <c r="J24" s="466">
        <f t="shared" si="4"/>
        <v>95678.285999999993</v>
      </c>
      <c r="K24" s="466">
        <f t="shared" si="4"/>
        <v>39410.554000000004</v>
      </c>
    </row>
    <row r="25" spans="2:11" ht="15" customHeight="1" thickBot="1" x14ac:dyDescent="0.25">
      <c r="B25" s="469"/>
      <c r="C25" s="469"/>
      <c r="D25" s="469"/>
      <c r="E25" s="467"/>
      <c r="F25" s="467"/>
      <c r="G25" s="467"/>
      <c r="H25" s="467"/>
      <c r="I25" s="467"/>
      <c r="J25" s="467"/>
      <c r="K25" s="467"/>
    </row>
  </sheetData>
  <customSheetViews>
    <customSheetView guid="{18C0F7AC-4BB1-46DE-8A01-8E31FE0585FC}" hiddenRows="1">
      <selection activeCell="G4" sqref="G4"/>
      <pageMargins left="0.7" right="0.7" top="0.75" bottom="0.75" header="0.3" footer="0.3"/>
      <pageSetup paperSize="9" orientation="portrait" r:id="rId1"/>
    </customSheetView>
  </customSheetViews>
  <mergeCells count="22"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  <mergeCell ref="J24:J25"/>
    <mergeCell ref="K24:K25"/>
    <mergeCell ref="B24:D25"/>
    <mergeCell ref="E24:E25"/>
    <mergeCell ref="F24:F25"/>
    <mergeCell ref="G24:G25"/>
    <mergeCell ref="H24:H25"/>
    <mergeCell ref="I24:I25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20" t="s">
        <v>3</v>
      </c>
      <c r="C2" s="510" t="s">
        <v>84</v>
      </c>
      <c r="D2" s="510"/>
      <c r="E2" s="510"/>
      <c r="F2" s="510"/>
      <c r="G2" s="510" t="s">
        <v>88</v>
      </c>
      <c r="H2" s="510"/>
      <c r="I2" s="510"/>
      <c r="N2" s="503" t="s">
        <v>3</v>
      </c>
      <c r="O2" s="497" t="s">
        <v>85</v>
      </c>
      <c r="P2" s="498"/>
      <c r="Q2" s="498"/>
      <c r="R2" s="498"/>
      <c r="S2" s="498"/>
      <c r="T2" s="499"/>
    </row>
    <row r="3" spans="1:23" ht="15.75" thickBot="1" x14ac:dyDescent="0.25">
      <c r="B3" s="420"/>
      <c r="C3" s="509" t="s">
        <v>82</v>
      </c>
      <c r="D3" s="509"/>
      <c r="E3" s="509"/>
      <c r="F3" s="188" t="s">
        <v>81</v>
      </c>
      <c r="G3" s="509" t="s">
        <v>81</v>
      </c>
      <c r="H3" s="509"/>
      <c r="I3" s="509"/>
      <c r="N3" s="504"/>
      <c r="O3" s="506" t="s">
        <v>87</v>
      </c>
      <c r="P3" s="507"/>
      <c r="Q3" s="508"/>
      <c r="R3" s="506" t="s">
        <v>164</v>
      </c>
      <c r="S3" s="507"/>
      <c r="T3" s="508"/>
    </row>
    <row r="4" spans="1:23" ht="15.75" thickBot="1" x14ac:dyDescent="0.25">
      <c r="A4" s="511"/>
      <c r="B4" s="420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505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11"/>
      <c r="B5" s="186" t="s">
        <v>15</v>
      </c>
      <c r="C5" s="184"/>
      <c r="D5" s="184"/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/>
      <c r="S5" s="293">
        <v>17</v>
      </c>
      <c r="T5" s="293">
        <v>85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34</v>
      </c>
      <c r="I7" s="287">
        <v>17</v>
      </c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68</v>
      </c>
      <c r="H8" s="292">
        <v>17</v>
      </c>
      <c r="I8" s="292">
        <v>17</v>
      </c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17</v>
      </c>
      <c r="D9" s="184"/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0</v>
      </c>
      <c r="S9" s="5">
        <f t="shared" si="0"/>
        <v>17</v>
      </c>
      <c r="T9" s="5">
        <f t="shared" si="0"/>
        <v>85</v>
      </c>
    </row>
    <row r="10" spans="1:23" ht="16.5" thickBot="1" x14ac:dyDescent="0.25">
      <c r="A10" s="187"/>
      <c r="B10" s="186" t="s">
        <v>17</v>
      </c>
      <c r="C10" s="322">
        <v>68</v>
      </c>
      <c r="D10" s="184">
        <v>17</v>
      </c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/>
      <c r="D11" s="161"/>
      <c r="E11" s="184"/>
      <c r="F11" s="184"/>
      <c r="G11" s="184"/>
      <c r="H11" s="184">
        <v>34</v>
      </c>
      <c r="I11" s="161"/>
      <c r="R11" s="260"/>
    </row>
    <row r="12" spans="1:23" ht="16.5" thickBot="1" x14ac:dyDescent="0.25">
      <c r="B12" s="186" t="s">
        <v>19</v>
      </c>
      <c r="C12" s="184">
        <v>34</v>
      </c>
      <c r="D12" s="161"/>
      <c r="E12" s="184">
        <v>17</v>
      </c>
      <c r="F12" s="184"/>
      <c r="G12" s="184">
        <v>17</v>
      </c>
      <c r="H12" s="184"/>
      <c r="I12" s="161"/>
      <c r="J12" s="285"/>
      <c r="K12" s="325"/>
      <c r="L12" s="187"/>
      <c r="P12" s="503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51</v>
      </c>
      <c r="D13" s="184"/>
      <c r="E13" s="161"/>
      <c r="F13" s="161"/>
      <c r="G13" s="161"/>
      <c r="H13" s="184"/>
      <c r="I13" s="184"/>
      <c r="P13" s="504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>
        <v>17</v>
      </c>
      <c r="E14" s="184"/>
      <c r="F14" s="184"/>
      <c r="G14" s="161"/>
      <c r="H14" s="184"/>
      <c r="I14" s="184"/>
      <c r="P14" s="505"/>
      <c r="Q14" s="163" t="s">
        <v>50</v>
      </c>
      <c r="S14" s="163" t="s">
        <v>93</v>
      </c>
      <c r="T14" s="162">
        <f>G22+C34</f>
        <v>85</v>
      </c>
      <c r="U14" s="162">
        <f>H22+D34</f>
        <v>136</v>
      </c>
      <c r="V14" s="162">
        <f>I22</f>
        <v>34</v>
      </c>
      <c r="W14" s="162">
        <f>F22+E34</f>
        <v>102</v>
      </c>
    </row>
    <row r="15" spans="1:23" ht="16.5" thickBot="1" x14ac:dyDescent="0.25">
      <c r="A15" s="47"/>
      <c r="B15" s="332" t="s">
        <v>176</v>
      </c>
      <c r="C15" s="330">
        <v>51</v>
      </c>
      <c r="D15" s="330"/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527</v>
      </c>
      <c r="V15" s="162">
        <f>D22+P9+G34</f>
        <v>68</v>
      </c>
      <c r="W15" s="162">
        <f>E22+I34+Q9</f>
        <v>68</v>
      </c>
    </row>
    <row r="16" spans="1:23" ht="16.5" thickBot="1" x14ac:dyDescent="0.25">
      <c r="A16" s="47"/>
      <c r="B16" s="327" t="s">
        <v>177</v>
      </c>
      <c r="C16" s="330">
        <v>51</v>
      </c>
      <c r="D16" s="330"/>
      <c r="E16" s="161"/>
      <c r="F16" s="161"/>
      <c r="G16" s="161"/>
      <c r="H16" s="330"/>
      <c r="I16" s="330"/>
      <c r="P16" s="191" t="s">
        <v>31</v>
      </c>
      <c r="Q16" s="305"/>
      <c r="S16" s="163" t="s">
        <v>164</v>
      </c>
      <c r="T16" s="288"/>
      <c r="U16" s="162">
        <f>R9</f>
        <v>0</v>
      </c>
      <c r="V16" s="162">
        <f>S9</f>
        <v>17</v>
      </c>
      <c r="W16" s="162">
        <f>T9</f>
        <v>85</v>
      </c>
    </row>
    <row r="17" spans="1:23" ht="16.5" thickBot="1" x14ac:dyDescent="0.25">
      <c r="A17" s="47"/>
      <c r="B17" s="327" t="s">
        <v>178</v>
      </c>
      <c r="C17" s="330">
        <v>51</v>
      </c>
      <c r="D17" s="330"/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51</v>
      </c>
      <c r="D18" s="330"/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85</v>
      </c>
      <c r="U19" s="162">
        <f>'التمام الصباحي'!L39</f>
        <v>663</v>
      </c>
      <c r="V19" s="162">
        <f>'التمام الصباحي'!R39</f>
        <v>119</v>
      </c>
      <c r="W19" s="162">
        <f>'التمام الصباحي'!X39</f>
        <v>255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85</v>
      </c>
      <c r="U20" s="162">
        <f>C22+H22+D34+F34+O9+R9</f>
        <v>663</v>
      </c>
      <c r="V20" s="162">
        <f>D22+I22+G34+P9+S9</f>
        <v>119</v>
      </c>
      <c r="W20" s="162">
        <f>E22+F22+Q9+T9+E34+I34+Q19</f>
        <v>255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510</v>
      </c>
      <c r="D22" s="330">
        <f>SUM(D5:D21)+F44</f>
        <v>68</v>
      </c>
      <c r="E22" s="330">
        <f>SUM(E5:E18)+G44</f>
        <v>34</v>
      </c>
      <c r="F22" s="330">
        <f>SUM(F5:F18)+D44</f>
        <v>102</v>
      </c>
      <c r="G22" s="330">
        <f>SUM(G5:G18)</f>
        <v>85</v>
      </c>
      <c r="H22" s="330">
        <f>SUM(H5:H21)+B44</f>
        <v>85</v>
      </c>
      <c r="I22" s="330">
        <f>SUM(I5:I21)+C44</f>
        <v>34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503" t="s">
        <v>3</v>
      </c>
      <c r="C25" s="497" t="s">
        <v>86</v>
      </c>
      <c r="D25" s="498"/>
      <c r="E25" s="498"/>
      <c r="F25" s="498"/>
      <c r="G25" s="498"/>
      <c r="H25" s="498"/>
      <c r="I25" s="499"/>
      <c r="J25" s="300"/>
    </row>
    <row r="26" spans="1:23" ht="17.25" customHeight="1" thickBot="1" x14ac:dyDescent="0.25">
      <c r="B26" s="504"/>
      <c r="C26" s="509" t="s">
        <v>81</v>
      </c>
      <c r="D26" s="509"/>
      <c r="E26" s="509"/>
      <c r="F26" s="509" t="s">
        <v>87</v>
      </c>
      <c r="G26" s="509"/>
      <c r="H26" s="509"/>
      <c r="I26" s="509"/>
      <c r="J26" s="300"/>
    </row>
    <row r="27" spans="1:23" ht="15.75" thickBot="1" x14ac:dyDescent="0.25">
      <c r="B27" s="505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17</v>
      </c>
      <c r="G28" s="330"/>
      <c r="H28" s="334"/>
      <c r="I28" s="330">
        <v>34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>
        <v>51</v>
      </c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/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51</v>
      </c>
      <c r="E34" s="330">
        <f>SUM(E28:E33)+N44</f>
        <v>0</v>
      </c>
      <c r="F34" s="330">
        <f>SUM(F28:F33)+H44</f>
        <v>17</v>
      </c>
      <c r="G34" s="330">
        <f>SUM(G28:G33)+I44</f>
        <v>0</v>
      </c>
      <c r="H34" s="330">
        <f>SUM(H28:H32)+K44</f>
        <v>0</v>
      </c>
      <c r="I34" s="330">
        <f>SUM(I28:I33)+J44</f>
        <v>34</v>
      </c>
    </row>
    <row r="36" spans="1:14" ht="15" thickBot="1" x14ac:dyDescent="0.25"/>
    <row r="37" spans="1:14" ht="15.75" thickBot="1" x14ac:dyDescent="0.25">
      <c r="A37" s="503" t="s">
        <v>3</v>
      </c>
      <c r="B37" s="500" t="s">
        <v>88</v>
      </c>
      <c r="C37" s="501"/>
      <c r="D37" s="500" t="s">
        <v>84</v>
      </c>
      <c r="E37" s="502"/>
      <c r="F37" s="502"/>
      <c r="G37" s="501"/>
      <c r="H37" s="500" t="s">
        <v>86</v>
      </c>
      <c r="I37" s="502"/>
      <c r="J37" s="502"/>
      <c r="K37" s="502"/>
      <c r="L37" s="502"/>
      <c r="M37" s="502"/>
      <c r="N37" s="501"/>
    </row>
    <row r="38" spans="1:14" ht="15.75" thickBot="1" x14ac:dyDescent="0.25">
      <c r="A38" s="504"/>
      <c r="B38" s="500" t="s">
        <v>81</v>
      </c>
      <c r="C38" s="501"/>
      <c r="D38" s="329" t="s">
        <v>81</v>
      </c>
      <c r="E38" s="500" t="s">
        <v>87</v>
      </c>
      <c r="F38" s="502"/>
      <c r="G38" s="501"/>
      <c r="H38" s="500" t="s">
        <v>87</v>
      </c>
      <c r="I38" s="502"/>
      <c r="J38" s="502"/>
      <c r="K38" s="501"/>
      <c r="L38" s="500" t="s">
        <v>81</v>
      </c>
      <c r="M38" s="502"/>
      <c r="N38" s="501"/>
    </row>
    <row r="39" spans="1:14" ht="15.75" thickBot="1" x14ac:dyDescent="0.25">
      <c r="A39" s="505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/>
      <c r="E40" s="330">
        <v>34</v>
      </c>
      <c r="F40" s="330"/>
      <c r="G40" s="330">
        <v>17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>
        <v>51</v>
      </c>
      <c r="E41" s="330">
        <v>34</v>
      </c>
      <c r="F41" s="330">
        <v>17</v>
      </c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>
        <v>17</v>
      </c>
      <c r="E42" s="301">
        <v>34</v>
      </c>
      <c r="F42" s="301">
        <v>17</v>
      </c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>
        <v>34</v>
      </c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102</v>
      </c>
      <c r="E44" s="313">
        <f t="shared" si="2"/>
        <v>102</v>
      </c>
      <c r="F44" s="313">
        <f t="shared" si="2"/>
        <v>34</v>
      </c>
      <c r="G44" s="313">
        <f t="shared" si="2"/>
        <v>17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32" t="s">
        <v>159</v>
      </c>
      <c r="E5" s="532"/>
      <c r="F5" s="532"/>
      <c r="G5" s="532"/>
      <c r="H5" s="532"/>
      <c r="Q5" s="526" t="s">
        <v>118</v>
      </c>
      <c r="R5" s="526"/>
      <c r="S5" s="526"/>
      <c r="T5" s="526"/>
      <c r="U5" s="526"/>
    </row>
    <row r="6" spans="4:24" ht="15.75" hidden="1" customHeight="1" thickBot="1" x14ac:dyDescent="0.25">
      <c r="D6" s="527" t="s">
        <v>3</v>
      </c>
      <c r="E6" s="258">
        <v>80</v>
      </c>
      <c r="F6" s="232">
        <v>92</v>
      </c>
      <c r="G6" s="232">
        <v>95</v>
      </c>
      <c r="H6" s="232" t="s">
        <v>50</v>
      </c>
      <c r="K6" s="388" t="s">
        <v>3</v>
      </c>
      <c r="L6" s="231">
        <v>80</v>
      </c>
      <c r="M6" s="231">
        <v>92</v>
      </c>
      <c r="N6" s="231">
        <v>95</v>
      </c>
      <c r="O6" s="231" t="s">
        <v>50</v>
      </c>
      <c r="Q6" s="388" t="s">
        <v>3</v>
      </c>
      <c r="R6" s="529" t="s">
        <v>95</v>
      </c>
      <c r="S6" s="529" t="s">
        <v>96</v>
      </c>
      <c r="T6" s="529" t="s">
        <v>97</v>
      </c>
      <c r="U6" s="531" t="s">
        <v>98</v>
      </c>
      <c r="W6" s="388" t="s">
        <v>99</v>
      </c>
      <c r="X6" s="388" t="s">
        <v>100</v>
      </c>
    </row>
    <row r="7" spans="4:24" ht="15.75" hidden="1" customHeight="1" thickBot="1" x14ac:dyDescent="0.25">
      <c r="D7" s="528"/>
      <c r="E7" s="258" t="s">
        <v>7</v>
      </c>
      <c r="F7" s="232" t="s">
        <v>7</v>
      </c>
      <c r="G7" s="232" t="s">
        <v>7</v>
      </c>
      <c r="H7" s="232" t="s">
        <v>7</v>
      </c>
      <c r="K7" s="388"/>
      <c r="L7" s="201" t="s">
        <v>7</v>
      </c>
      <c r="M7" s="201" t="s">
        <v>7</v>
      </c>
      <c r="N7" s="201" t="s">
        <v>7</v>
      </c>
      <c r="O7" s="201" t="s">
        <v>7</v>
      </c>
      <c r="Q7" s="388"/>
      <c r="R7" s="530"/>
      <c r="S7" s="530"/>
      <c r="T7" s="530"/>
      <c r="U7" s="531"/>
      <c r="W7" s="388"/>
      <c r="X7" s="388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0" t="s">
        <v>101</v>
      </c>
      <c r="X8" s="52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1"/>
      <c r="X9" s="52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2">
        <f>IF((ROUNDDOWN((SUM(M10:M11)/51)-(R10+R11),0.9))&lt;0,0,(ROUNDDOWN((SUM(M10:M11)/51)-(R10+R11),0.9)))</f>
        <v>0</v>
      </c>
      <c r="T10" s="512">
        <f>IF((ROUNDDOWN((SUM(O10:O11)/51)-(R10+R11),0.9))&lt;0,0,(ROUNDDOWN((SUM(O10:O11)/51)-(R10+R11),0.9)))</f>
        <v>0</v>
      </c>
      <c r="U10" s="512">
        <f>IF((ROUNDDOWN((SUM(L10:O11)/51)-(R10+R11+S10+T10),0.9))&lt;0,0,ROUNDDOWN((SUM(L10:O11)/51)-(R10+R11+S10+T10),0.9))</f>
        <v>0</v>
      </c>
      <c r="W10" s="521"/>
      <c r="X10" s="52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3"/>
      <c r="T11" s="513"/>
      <c r="U11" s="513"/>
      <c r="W11" s="521"/>
      <c r="X11" s="52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6">
        <f>IF((ROUNDDOWN((SUM(M12:M13)/51)-(R12+R13),0.9))&lt;0,0,(ROUNDDOWN((SUM(M12:M13)/51)-(R12+R13),0.9)))</f>
        <v>0</v>
      </c>
      <c r="T12" s="516">
        <f t="shared" ref="T12" si="3">IF((ROUNDDOWN((SUM(O12:O13)/51)-(R12+R13),0.9))&lt;0,0,(ROUNDDOWN((SUM(O12:O13)/51)-(R12+R13),0.9)))</f>
        <v>0</v>
      </c>
      <c r="U12" s="516">
        <f t="shared" ref="U12" si="4">IF((ROUNDDOWN((SUM(L12:O13)/51)-(R12+R13+S12+T12),0.9))&lt;0,0,ROUNDDOWN((SUM(L12:O13)/51)-(R12+R13+S12+T12),0.9))</f>
        <v>0</v>
      </c>
      <c r="W12" s="521"/>
      <c r="X12" s="52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6"/>
      <c r="T13" s="516"/>
      <c r="U13" s="516"/>
      <c r="W13" s="521"/>
      <c r="X13" s="52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2">
        <f>IF((ROUNDDOWN((SUM(M14:M15)/51)-(R14+R15),0.9))&lt;0,0,(ROUNDDOWN((SUM(M14:M15)/51)-(R14+R15),0.9)))</f>
        <v>0</v>
      </c>
      <c r="T14" s="512">
        <f t="shared" ref="T14" si="5">IF((ROUNDDOWN((SUM(O14:O15)/51)-(R14+R15),0.9))&lt;0,0,(ROUNDDOWN((SUM(O14:O15)/51)-(R14+R15),0.9)))</f>
        <v>0</v>
      </c>
      <c r="U14" s="512">
        <f t="shared" ref="U14" si="6">IF((ROUNDDOWN((SUM(L14:O15)/51)-(R14+R15+S14+T14),0.9))&lt;0,0,ROUNDDOWN((SUM(L14:O15)/51)-(R14+R15+S14+T14),0.9))</f>
        <v>0</v>
      </c>
      <c r="W14" s="521"/>
      <c r="X14" s="52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3"/>
      <c r="T15" s="513"/>
      <c r="U15" s="513"/>
      <c r="W15" s="522"/>
      <c r="X15" s="52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4" t="s">
        <v>85</v>
      </c>
      <c r="X16" s="515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8">
        <f>IF((ROUNDDOWN((SUM(M17:M18)/51)-(R17+R18),0.9))&lt;0,0,(ROUNDDOWN((SUM(M17:M18)/51)-(R17+R18),0.9)))</f>
        <v>0</v>
      </c>
      <c r="T17" s="518">
        <f>IF((ROUNDDOWN((SUM(O17:O18)/51)-(R17+R18),0.9))&lt;0,0,(ROUNDDOWN((SUM(O17:O18)/51)-(R17+R18),0.9)))</f>
        <v>0</v>
      </c>
      <c r="U17" s="518">
        <f>IF((ROUNDDOWN((SUM(L17:O18)/51)-(R17+R18+S17+T17),0.9))&lt;0,0,ROUNDDOWN((SUM(L17:O18)/51)-(R17+R18+S17+T17),0.9))</f>
        <v>0</v>
      </c>
      <c r="W17" s="514"/>
      <c r="X17" s="515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9"/>
      <c r="T18" s="519"/>
      <c r="U18" s="519"/>
      <c r="W18" s="514"/>
      <c r="X18" s="515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4"/>
      <c r="X19" s="515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2">
        <f>IF((ROUNDDOWN((SUM(M20:M21)/51)-(R20+R21),0.9))&lt;0,0,(ROUNDDOWN((SUM(M20:M21)/51)-(R20+R21),0.9)))</f>
        <v>0</v>
      </c>
      <c r="T20" s="512">
        <f>IF((ROUNDDOWN((SUM(O20:O21)/51)-(R20+R21),0.9))&lt;0,0,(ROUNDDOWN((SUM(O20:O21)/51)-(R20+R21),0.9)))</f>
        <v>0</v>
      </c>
      <c r="U20" s="512">
        <f>IF((ROUNDDOWN((SUM(L20:O21)/51)-(R20+R21+S20+T20),0.9))&lt;0,0,ROUNDDOWN((SUM(L20:O21)/51)-(R20+R21+S20+T20),0.9))</f>
        <v>0</v>
      </c>
      <c r="W20" s="514" t="s">
        <v>102</v>
      </c>
      <c r="X20" s="515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3"/>
      <c r="T21" s="513"/>
      <c r="U21" s="513"/>
      <c r="W21" s="514"/>
      <c r="X21" s="515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6">
        <f>IF((ROUNDDOWN((SUM(M22:M23)/51)-(R22+R23),0.9))&lt;0,0,(ROUNDDOWN((SUM(M22:M23)/51)-(R22+R23),0.9)))</f>
        <v>0</v>
      </c>
      <c r="T22" s="518">
        <f>IF((ROUNDDOWN((SUM(O22:O23)/51)-(R22+R23),0.9))&lt;0,0,(ROUNDDOWN((SUM(O22:O23)/51)-(R22+R23),0.9)))</f>
        <v>0</v>
      </c>
      <c r="U22" s="518">
        <f t="shared" ref="U22" si="7">IF((ROUNDDOWN((SUM(L22:O23)/51)-(R22+R23+S22+T22),0.9))&lt;0,0,ROUNDDOWN((SUM(L22:O23)/51)-(R22+R23+S22+T22),0.9))</f>
        <v>0</v>
      </c>
      <c r="W22" s="514"/>
      <c r="X22" s="515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6"/>
      <c r="T23" s="519"/>
      <c r="U23" s="519"/>
      <c r="W23" s="514"/>
      <c r="X23" s="515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2">
        <f>IF((ROUNDDOWN((SUM(M24:M25)/51)-(R24+R25),0.9))&lt;0,0,(ROUNDDOWN((SUM(M24:M25)/51)-(R24+R25),0.9)))</f>
        <v>0</v>
      </c>
      <c r="T24" s="512">
        <f>IF((ROUNDDOWN((SUM(O24:O25)/51)-(R24+R25),0.9))&lt;0,0,(ROUNDDOWN((SUM(O24:O25)/51)-(R24+R25),0.9)))</f>
        <v>0</v>
      </c>
      <c r="U24" s="512">
        <f t="shared" ref="U24" si="8">IF((ROUNDDOWN((SUM(L24:O25)/51)-(R24+R25+S24+T24),0.9))&lt;0,0,ROUNDDOWN((SUM(L24:O25)/51)-(R24+R25+S24+T24),0.9))</f>
        <v>0</v>
      </c>
      <c r="W24" s="514" t="s">
        <v>90</v>
      </c>
      <c r="X24" s="515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3"/>
      <c r="T25" s="513"/>
      <c r="U25" s="513"/>
      <c r="W25" s="514"/>
      <c r="X25" s="515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6">
        <f>IF((ROUNDDOWN((SUM(M26:M27)/51)-(R26+R27),0.9))&lt;0,0,(ROUNDDOWN((SUM(M26:M27)/51)-(R26+R27),0.9)))</f>
        <v>0</v>
      </c>
      <c r="T26" s="516">
        <f>IF((ROUNDDOWN((SUM(O26:O27)/51)-(R26+R27),0.9))&lt;0,0,(ROUNDDOWN((SUM(O26:O27)/51)-(R26+R27),0.9)))</f>
        <v>0</v>
      </c>
      <c r="U26" s="516">
        <f t="shared" ref="U26" si="10">IF((ROUNDDOWN((SUM(L26:O27)/51)-(R26+R27+S26+T26),0.9))&lt;0,0,ROUNDDOWN((SUM(L26:O27)/51)-(R26+R27+S26+T26),0.9))</f>
        <v>0</v>
      </c>
      <c r="W26" s="514"/>
      <c r="X26" s="515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7"/>
      <c r="T27" s="517"/>
      <c r="U27" s="517"/>
      <c r="W27" s="514"/>
      <c r="X27" s="515"/>
    </row>
    <row r="28" spans="4:24" ht="14.25" hidden="1" customHeight="1" x14ac:dyDescent="0.2"/>
    <row r="29" spans="4:24" ht="21" thickBot="1" x14ac:dyDescent="0.35">
      <c r="D29" s="532"/>
      <c r="E29" s="532"/>
      <c r="F29" s="532"/>
      <c r="G29" s="532"/>
      <c r="H29" s="532"/>
      <c r="Q29" s="526" t="s">
        <v>118</v>
      </c>
      <c r="R29" s="526"/>
      <c r="S29" s="526"/>
      <c r="T29" s="526"/>
      <c r="U29" s="526"/>
    </row>
    <row r="30" spans="4:24" ht="15.75" thickBot="1" x14ac:dyDescent="0.25">
      <c r="D30" s="527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88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88" t="s">
        <v>3</v>
      </c>
      <c r="R30" s="529" t="s">
        <v>95</v>
      </c>
      <c r="S30" s="529" t="s">
        <v>96</v>
      </c>
      <c r="T30" s="529" t="s">
        <v>97</v>
      </c>
      <c r="U30" s="531" t="s">
        <v>98</v>
      </c>
      <c r="W30" s="388" t="s">
        <v>99</v>
      </c>
      <c r="X30" s="388" t="s">
        <v>100</v>
      </c>
    </row>
    <row r="31" spans="4:24" ht="15.75" thickBot="1" x14ac:dyDescent="0.25">
      <c r="D31" s="528"/>
      <c r="E31" s="258" t="s">
        <v>7</v>
      </c>
      <c r="F31" s="232" t="s">
        <v>7</v>
      </c>
      <c r="G31" s="232" t="s">
        <v>7</v>
      </c>
      <c r="H31" s="232" t="s">
        <v>7</v>
      </c>
      <c r="K31" s="388"/>
      <c r="L31" s="201" t="s">
        <v>7</v>
      </c>
      <c r="M31" s="201" t="s">
        <v>7</v>
      </c>
      <c r="N31" s="201" t="s">
        <v>7</v>
      </c>
      <c r="O31" s="201" t="s">
        <v>7</v>
      </c>
      <c r="Q31" s="388"/>
      <c r="R31" s="530"/>
      <c r="S31" s="530"/>
      <c r="T31" s="530"/>
      <c r="U31" s="531"/>
      <c r="W31" s="388"/>
      <c r="X31" s="388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37</v>
      </c>
      <c r="G32" s="194">
        <f>'التمام الصباحي'!Q8+'التمام الصباحي'!S8</f>
        <v>16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34</v>
      </c>
      <c r="N32" s="235">
        <f>IF(G32&gt;101,102,IF(G32&gt;84,85,IF(G32&gt;67,68,IF(G32&gt;50,51,IF(G32&gt;33,34,IF(G32&gt;16,17,0))))))</f>
        <v>0</v>
      </c>
      <c r="O32" s="234"/>
      <c r="P32" s="236"/>
      <c r="Q32" s="237" t="s">
        <v>15</v>
      </c>
      <c r="R32" s="238">
        <f t="shared" ref="R32:R51" si="11">ROUNDDOWN((SUM(L32:O32)/51),0.9)</f>
        <v>0</v>
      </c>
      <c r="S32" s="239"/>
      <c r="T32" s="240"/>
      <c r="U32" s="241"/>
      <c r="W32" s="520" t="s">
        <v>101</v>
      </c>
      <c r="X32" s="523">
        <f>SUM(R32:U39)/3</f>
        <v>3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67</v>
      </c>
      <c r="G33" s="194">
        <f>'التمام الصباحي'!Q9+'التمام الصباحي'!S9</f>
        <v>24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51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1"/>
      <c r="X33" s="52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81</v>
      </c>
      <c r="F34" s="194">
        <f>'التمام الصباحي'!K10+'التمام الصباحي'!M10</f>
        <v>45</v>
      </c>
      <c r="G34" s="194">
        <f>'التمام الصباحي'!Q10+'التمام الصباحي'!S10</f>
        <v>16</v>
      </c>
      <c r="H34" s="354"/>
      <c r="K34" s="233" t="s">
        <v>158</v>
      </c>
      <c r="L34" s="235">
        <f>IF(E34&gt;101,102,IF(E34&gt;84,85,IF(E34&gt;67,68,IF(E34&gt;50,51,IF(E34&gt;33,34,IF(E34&gt;16,17,0))))))</f>
        <v>68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2</v>
      </c>
      <c r="S34" s="512">
        <f>IF((ROUNDDOWN((SUM(M34:M35)/51)-(R34+R35),0.9))&lt;0,0,(ROUNDDOWN((SUM(M34:M35)/51)-(R34+R35),0.9)))</f>
        <v>0</v>
      </c>
      <c r="T34" s="512">
        <f>IF((ROUNDDOWN((SUM(O34:O35)/51)-(R34+R35),0.9))&lt;0,0,(ROUNDDOWN((SUM(O34:O35)/51)-(R34+R35),0.9)))</f>
        <v>0</v>
      </c>
      <c r="U34" s="512">
        <f>IF((ROUNDDOWN((SUM(L34:O35)/51)-(R34+R35+S34+T34),0.9))&lt;0,0,ROUNDDOWN((SUM(L34:O35)/51)-(R34+R35+S34+T34),0.9))</f>
        <v>0</v>
      </c>
      <c r="W34" s="521"/>
      <c r="X34" s="52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18</v>
      </c>
      <c r="F35" s="194">
        <f>'التمام الصباحي'!K11+'التمام الصباحي'!M11</f>
        <v>43</v>
      </c>
      <c r="G35" s="194">
        <f>'التمام الصباحي'!Q11+'التمام الصباحي'!S11</f>
        <v>17</v>
      </c>
      <c r="H35" s="194">
        <f>'التمام الصباحي'!W11+'التمام الصباحي'!Y11</f>
        <v>16</v>
      </c>
      <c r="K35" s="233" t="s">
        <v>16</v>
      </c>
      <c r="L35" s="235">
        <f t="shared" ref="L35:L53" si="14">IF(E35&gt;101,102,IF(E35&gt;84,85,IF(E35&gt;67,68,IF(E35&gt;50,51,IF(E35&gt;33,34,IF(E35&gt;16,17,0))))))</f>
        <v>17</v>
      </c>
      <c r="M35" s="235">
        <f t="shared" si="12"/>
        <v>34</v>
      </c>
      <c r="N35" s="235">
        <f t="shared" si="13"/>
        <v>17</v>
      </c>
      <c r="O35" s="235">
        <f t="shared" si="13"/>
        <v>0</v>
      </c>
      <c r="P35" s="236"/>
      <c r="Q35" s="244" t="s">
        <v>17</v>
      </c>
      <c r="R35" s="245">
        <f t="shared" si="11"/>
        <v>1</v>
      </c>
      <c r="S35" s="513"/>
      <c r="T35" s="513"/>
      <c r="U35" s="513"/>
      <c r="W35" s="521"/>
      <c r="X35" s="52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59</v>
      </c>
      <c r="G36" s="194">
        <f>'التمام الصباحي'!Q12+'التمام الصباحي'!S12</f>
        <v>14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0</v>
      </c>
      <c r="O36" s="234"/>
      <c r="P36" s="236"/>
      <c r="Q36" s="246" t="s">
        <v>18</v>
      </c>
      <c r="R36" s="247">
        <f t="shared" si="11"/>
        <v>1</v>
      </c>
      <c r="S36" s="516">
        <f>IF((ROUNDDOWN((SUM(M36:M37)/51)-(R36+R37),0.9))&lt;0,0,(ROUNDDOWN((SUM(M36:M37)/51)-(R36+R37),0.9)))</f>
        <v>0</v>
      </c>
      <c r="T36" s="516">
        <f t="shared" ref="T36" si="15">IF((ROUNDDOWN((SUM(O36:O37)/51)-(R36+R37),0.9))&lt;0,0,(ROUNDDOWN((SUM(O36:O37)/51)-(R36+R37),0.9)))</f>
        <v>0</v>
      </c>
      <c r="U36" s="516">
        <f t="shared" ref="U36" si="16">IF((ROUNDDOWN((SUM(L36:O37)/51)-(R36+R37+S36+T36),0.9))&lt;0,0,ROUNDDOWN((SUM(L36:O37)/51)-(R36+R37+S36+T36),0.9))</f>
        <v>0</v>
      </c>
      <c r="W36" s="521"/>
      <c r="X36" s="524"/>
    </row>
    <row r="37" spans="3:24" ht="16.5" thickBot="1" x14ac:dyDescent="0.3">
      <c r="D37" s="233" t="s">
        <v>18</v>
      </c>
      <c r="E37" s="194">
        <f>'التمام الصباحي'!E13+'التمام الصباحي'!G13</f>
        <v>12</v>
      </c>
      <c r="F37" s="194">
        <f>'التمام الصباحي'!K13+'التمام الصباحي'!M13</f>
        <v>53</v>
      </c>
      <c r="G37" s="295"/>
      <c r="H37" s="194">
        <f>'التمام الصباحي'!W13+'التمام الصباحي'!Y13</f>
        <v>20</v>
      </c>
      <c r="K37" s="233" t="s">
        <v>18</v>
      </c>
      <c r="L37" s="235">
        <f t="shared" si="14"/>
        <v>0</v>
      </c>
      <c r="M37" s="235">
        <f t="shared" si="12"/>
        <v>51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6"/>
      <c r="T37" s="516"/>
      <c r="U37" s="516"/>
      <c r="W37" s="521"/>
      <c r="X37" s="52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28</v>
      </c>
      <c r="F38" s="194">
        <f>'التمام الصباحي'!K14+'التمام الصباحي'!M14</f>
        <v>31</v>
      </c>
      <c r="G38" s="295"/>
      <c r="H38" s="194">
        <f>'التمام الصباحي'!W14+'التمام الصباحي'!Y14</f>
        <v>44</v>
      </c>
      <c r="K38" s="233" t="s">
        <v>19</v>
      </c>
      <c r="L38" s="235">
        <f t="shared" si="14"/>
        <v>17</v>
      </c>
      <c r="M38" s="235">
        <f t="shared" si="12"/>
        <v>17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2">
        <f>IF((ROUNDDOWN((SUM(M38:M39)/51)-(R38+R39),0.9))&lt;0,0,(ROUNDDOWN((SUM(M38:M39)/51)-(R38+R39),0.9)))</f>
        <v>0</v>
      </c>
      <c r="T38" s="512">
        <f t="shared" ref="T38" si="18">IF((ROUNDDOWN((SUM(O38:O39)/51)-(R38+R39),0.9))&lt;0,0,(ROUNDDOWN((SUM(O38:O39)/51)-(R38+R39),0.9)))</f>
        <v>0</v>
      </c>
      <c r="U38" s="512">
        <f t="shared" ref="U38" si="19">IF((ROUNDDOWN((SUM(L38:O39)/51)-(R38+R39+S38+T38),0.9))&lt;0,0,ROUNDDOWN((SUM(L38:O39)/51)-(R38+R39+S38+T38),0.9))</f>
        <v>0</v>
      </c>
      <c r="W38" s="521"/>
      <c r="X38" s="52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103</v>
      </c>
      <c r="G39" s="194">
        <f>'التمام الصباحي'!Q15+'التمام الصباحي'!S15</f>
        <v>31</v>
      </c>
      <c r="H39" s="354"/>
      <c r="K39" s="233" t="s">
        <v>20</v>
      </c>
      <c r="L39" s="234"/>
      <c r="M39" s="235">
        <f t="shared" si="12"/>
        <v>102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2</v>
      </c>
      <c r="S39" s="513"/>
      <c r="T39" s="513"/>
      <c r="U39" s="513"/>
      <c r="W39" s="522"/>
      <c r="X39" s="52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75</v>
      </c>
      <c r="G40" s="194">
        <f>'التمام الصباحي'!Q16+'التمام الصباحي'!S16</f>
        <v>31</v>
      </c>
      <c r="H40" s="194">
        <f>'التمام الصباحي'!W16+'التمام الصباحي'!Y16</f>
        <v>35</v>
      </c>
      <c r="K40" s="233" t="s">
        <v>21</v>
      </c>
      <c r="L40" s="234"/>
      <c r="M40" s="235">
        <f t="shared" si="12"/>
        <v>68</v>
      </c>
      <c r="N40" s="235">
        <f t="shared" si="13"/>
        <v>17</v>
      </c>
      <c r="O40" s="235">
        <f t="shared" si="13"/>
        <v>34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4" t="s">
        <v>85</v>
      </c>
      <c r="X40" s="523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24</v>
      </c>
      <c r="G41" s="194">
        <f>'التمام الصباحي'!Q17+'التمام الصباحي'!S17</f>
        <v>24</v>
      </c>
      <c r="H41" s="194">
        <f>'التمام الصباحي'!W17+'التمام الصباحي'!Y17</f>
        <v>111</v>
      </c>
      <c r="K41" s="233" t="s">
        <v>22</v>
      </c>
      <c r="L41" s="234"/>
      <c r="M41" s="235">
        <f t="shared" si="12"/>
        <v>17</v>
      </c>
      <c r="N41" s="235">
        <f t="shared" si="13"/>
        <v>17</v>
      </c>
      <c r="O41" s="235">
        <f t="shared" si="13"/>
        <v>102</v>
      </c>
      <c r="P41" s="236"/>
      <c r="Q41" s="246" t="s">
        <v>23</v>
      </c>
      <c r="R41" s="247">
        <f t="shared" si="11"/>
        <v>2</v>
      </c>
      <c r="S41" s="518">
        <f>IF((ROUNDDOWN((SUM(M41:M42)/51)-(R41+R42),0.9))&lt;0,0,(ROUNDDOWN((SUM(M41:M42)/51)-(R41+R42),0.9)))</f>
        <v>0</v>
      </c>
      <c r="T41" s="518">
        <f>IF((ROUNDDOWN((SUM(O41:O42)/51)-(R41+R42),0.9))&lt;0,0,(ROUNDDOWN((SUM(O41:O42)/51)-(R41+R42),0.9)))</f>
        <v>0</v>
      </c>
      <c r="U41" s="518">
        <f>IF((ROUNDDOWN((SUM(L41:O42)/51)-(R41+R42+S41+T41),0.9))&lt;0,0,ROUNDDOWN((SUM(L41:O42)/51)-(R41+R42+S41+T41),0.9))</f>
        <v>1</v>
      </c>
      <c r="W41" s="514"/>
      <c r="X41" s="52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27</v>
      </c>
      <c r="G42" s="194">
        <f>'التمام الصباحي'!Q18+'التمام الصباحي'!S18</f>
        <v>10</v>
      </c>
      <c r="H42" s="194">
        <f>'التمام الصباحي'!W18+'التمام الصباحي'!Y18</f>
        <v>10</v>
      </c>
      <c r="K42" s="233" t="s">
        <v>23</v>
      </c>
      <c r="L42" s="234"/>
      <c r="M42" s="235">
        <f t="shared" si="12"/>
        <v>17</v>
      </c>
      <c r="N42" s="235">
        <f t="shared" si="13"/>
        <v>0</v>
      </c>
      <c r="O42" s="235">
        <f t="shared" si="13"/>
        <v>0</v>
      </c>
      <c r="P42" s="236"/>
      <c r="Q42" s="248" t="s">
        <v>24</v>
      </c>
      <c r="R42" s="249">
        <f t="shared" si="11"/>
        <v>0</v>
      </c>
      <c r="S42" s="519"/>
      <c r="T42" s="519"/>
      <c r="U42" s="519"/>
      <c r="W42" s="514"/>
      <c r="X42" s="52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18</v>
      </c>
      <c r="G43" s="194">
        <f>'التمام الصباحي'!Q19+'التمام الصباحي'!S19</f>
        <v>16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4"/>
      <c r="X43" s="52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13</v>
      </c>
      <c r="G44" s="194">
        <f>'التمام الصباحي'!Q20+'التمام الصباحي'!S20</f>
        <v>16</v>
      </c>
      <c r="H44" s="194">
        <f>'التمام الصباحي'!W20+'التمام الصباحي'!Y20</f>
        <v>33</v>
      </c>
      <c r="K44" s="233" t="s">
        <v>26</v>
      </c>
      <c r="L44" s="234"/>
      <c r="M44" s="235">
        <f t="shared" si="12"/>
        <v>0</v>
      </c>
      <c r="N44" s="235">
        <f t="shared" si="13"/>
        <v>0</v>
      </c>
      <c r="O44" s="235">
        <f t="shared" si="13"/>
        <v>17</v>
      </c>
      <c r="P44" s="236"/>
      <c r="Q44" s="242" t="s">
        <v>25</v>
      </c>
      <c r="R44" s="243">
        <f t="shared" si="11"/>
        <v>0</v>
      </c>
      <c r="S44" s="512">
        <f>IF((ROUNDDOWN((SUM(M44:M45)/51)-(R44+R45),0.9))&lt;0,0,(ROUNDDOWN((SUM(M44:M45)/51)-(R44+R45),0.9)))</f>
        <v>0</v>
      </c>
      <c r="T44" s="512">
        <f>IF((ROUNDDOWN((SUM(O44:O45)/51)-(R44+R45),0.9))&lt;0,0,(ROUNDDOWN((SUM(O44:O45)/51)-(R44+R45),0.9)))</f>
        <v>0</v>
      </c>
      <c r="U44" s="512">
        <f>IF((ROUNDDOWN((SUM(L44:O45)/51)-(R44+R45+S44+T44),0.9))&lt;0,0,ROUNDDOWN((SUM(L44:O45)/51)-(R44+R45+S44+T44),0.9))</f>
        <v>0</v>
      </c>
      <c r="W44" s="514" t="s">
        <v>102</v>
      </c>
      <c r="X44" s="523">
        <f>SUM(R44:U47)/3</f>
        <v>1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54</v>
      </c>
      <c r="G45" s="194">
        <f>'التمام الصباحي'!Q21+'التمام الصباحي'!S21</f>
        <v>25</v>
      </c>
      <c r="H45" s="194">
        <f>'التمام الصباحي'!W21+'التمام الصباحي'!Y21</f>
        <v>50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34</v>
      </c>
      <c r="P45" s="236"/>
      <c r="Q45" s="244" t="s">
        <v>27</v>
      </c>
      <c r="R45" s="245">
        <f t="shared" si="11"/>
        <v>2</v>
      </c>
      <c r="S45" s="513"/>
      <c r="T45" s="513"/>
      <c r="U45" s="513"/>
      <c r="W45" s="514"/>
      <c r="X45" s="52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61</v>
      </c>
      <c r="G46" s="194">
        <f>'التمام الصباحي'!Q22+'التمام الصباحي'!S22</f>
        <v>12</v>
      </c>
      <c r="H46" s="354"/>
      <c r="K46" s="233" t="s">
        <v>27</v>
      </c>
      <c r="L46" s="234"/>
      <c r="M46" s="235">
        <f t="shared" si="12"/>
        <v>51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1</v>
      </c>
      <c r="S46" s="516">
        <f>IF((ROUNDDOWN((SUM(M46:M47)/51)-(R46+R47),0.9))&lt;0,0,(ROUNDDOWN((SUM(M46:M47)/51)-(R46+R47),0.9)))</f>
        <v>0</v>
      </c>
      <c r="T46" s="518">
        <f>IF((ROUNDDOWN((SUM(O46:O47)/51)-(R46+R47),0.9))&lt;0,0,(ROUNDDOWN((SUM(O46:O47)/51)-(R46+R47),0.9)))</f>
        <v>0</v>
      </c>
      <c r="U46" s="518">
        <f t="shared" ref="U46" si="20">IF((ROUNDDOWN((SUM(L46:O47)/51)-(R46+R47+S46+T46),0.9))&lt;0,0,ROUNDDOWN((SUM(L46:O47)/51)-(R46+R47+S46+T46),0.9))</f>
        <v>0</v>
      </c>
      <c r="W46" s="514"/>
      <c r="X46" s="524"/>
    </row>
    <row r="47" spans="3:24" ht="16.5" thickBot="1" x14ac:dyDescent="0.3">
      <c r="D47" s="233" t="s">
        <v>28</v>
      </c>
      <c r="E47" s="194">
        <f>'التمام الصباحي'!E23+'التمام الصباحي'!G23</f>
        <v>17.600000000000001</v>
      </c>
      <c r="F47" s="194">
        <f>'التمام الصباحي'!K23+'التمام الصباحي'!M23</f>
        <v>9</v>
      </c>
      <c r="G47" s="295"/>
      <c r="H47" s="194">
        <f>'التمام الصباحي'!W23+'التمام الصباحي'!Y23</f>
        <v>20</v>
      </c>
      <c r="K47" s="233" t="s">
        <v>28</v>
      </c>
      <c r="L47" s="235">
        <f t="shared" si="14"/>
        <v>17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16"/>
      <c r="T47" s="519"/>
      <c r="U47" s="519"/>
      <c r="W47" s="514"/>
      <c r="X47" s="52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11</v>
      </c>
      <c r="G48" s="295"/>
      <c r="H48" s="194">
        <f>'التمام الصباحي'!W24+'التمام الصباحي'!Y24</f>
        <v>30</v>
      </c>
      <c r="K48" s="233" t="s">
        <v>29</v>
      </c>
      <c r="L48" s="234"/>
      <c r="M48" s="235">
        <f t="shared" si="12"/>
        <v>0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2">
        <f>IF((ROUNDDOWN((SUM(M48:M49)/51)-(R48+R49),0.9))&lt;0,0,(ROUNDDOWN((SUM(M48:M49)/51)-(R48+R49),0.9)))</f>
        <v>0</v>
      </c>
      <c r="T48" s="512">
        <f>IF((ROUNDDOWN((SUM(O48:O49)/51)-(R48+R49),0.9))&lt;0,0,(ROUNDDOWN((SUM(O48:O49)/51)-(R48+R49),0.9)))</f>
        <v>0</v>
      </c>
      <c r="U48" s="512">
        <f t="shared" ref="U48" si="22">IF((ROUNDDOWN((SUM(L48:O49)/51)-(R48+R49+S48+T48),0.9))&lt;0,0,ROUNDDOWN((SUM(L48:O49)/51)-(R48+R49+S48+T48),0.9))</f>
        <v>0</v>
      </c>
      <c r="W48" s="514" t="s">
        <v>90</v>
      </c>
      <c r="X48" s="523">
        <f>SUM(R48:U51)/3</f>
        <v>1.3333333333333333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29</v>
      </c>
      <c r="G49" s="194">
        <f>'التمام الصباحي'!Q25+'التمام الصباحي'!S25</f>
        <v>13</v>
      </c>
      <c r="H49" s="194">
        <f>'التمام الصباحي'!W25+'التمام الصباحي'!Y25</f>
        <v>64</v>
      </c>
      <c r="K49" s="233" t="s">
        <v>30</v>
      </c>
      <c r="L49" s="234"/>
      <c r="M49" s="235">
        <f t="shared" si="12"/>
        <v>17</v>
      </c>
      <c r="N49" s="235">
        <f t="shared" si="13"/>
        <v>0</v>
      </c>
      <c r="O49" s="235">
        <f t="shared" si="21"/>
        <v>51</v>
      </c>
      <c r="P49" s="236"/>
      <c r="Q49" s="244" t="s">
        <v>31</v>
      </c>
      <c r="R49" s="245">
        <f t="shared" si="11"/>
        <v>1</v>
      </c>
      <c r="S49" s="513"/>
      <c r="T49" s="513"/>
      <c r="U49" s="513"/>
      <c r="W49" s="514"/>
      <c r="X49" s="52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42</v>
      </c>
      <c r="G50" s="194">
        <f>'التمام الصباحي'!Q26+'التمام الصباحي'!S26</f>
        <v>24</v>
      </c>
      <c r="H50" s="194">
        <f>'التمام الصباحي'!W26+'التمام الصباحي'!Y26</f>
        <v>95</v>
      </c>
      <c r="K50" s="233" t="s">
        <v>31</v>
      </c>
      <c r="L50" s="234"/>
      <c r="M50" s="235">
        <f t="shared" si="12"/>
        <v>34</v>
      </c>
      <c r="N50" s="235">
        <f t="shared" si="13"/>
        <v>17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516">
        <f>IF((ROUNDDOWN((SUM(M50:M51)/51)-(R50+R51),0.9))&lt;0,0,(ROUNDDOWN((SUM(M50:M51)/51)-(R50+R51),0.9)))</f>
        <v>0</v>
      </c>
      <c r="T50" s="516">
        <f>IF((ROUNDDOWN((SUM(O50:O51)/51)-(R50+R51),0.9))&lt;0,0,(ROUNDDOWN((SUM(O50:O51)/51)-(R50+R51),0.9)))</f>
        <v>0</v>
      </c>
      <c r="U50" s="516">
        <f t="shared" ref="U50" si="23">IF((ROUNDDOWN((SUM(L50:O51)/51)-(R50+R51+S50+T50),0.9))&lt;0,0,ROUNDDOWN((SUM(L50:O51)/51)-(R50+R51+S50+T50),0.9))</f>
        <v>0</v>
      </c>
      <c r="W50" s="514"/>
      <c r="X50" s="52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22</v>
      </c>
      <c r="G51" s="194">
        <f>'التمام الصباحي'!Q27+'التمام الصباحي'!S27</f>
        <v>5</v>
      </c>
      <c r="H51" s="194">
        <f>'التمام الصباحي'!W27+'التمام الصباحي'!Y27</f>
        <v>42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34</v>
      </c>
      <c r="P51" s="236"/>
      <c r="Q51" s="256" t="s">
        <v>33</v>
      </c>
      <c r="R51" s="257">
        <f t="shared" si="11"/>
        <v>1</v>
      </c>
      <c r="S51" s="517"/>
      <c r="T51" s="517"/>
      <c r="U51" s="517"/>
      <c r="W51" s="514"/>
      <c r="X51" s="52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32</v>
      </c>
      <c r="G52" s="194">
        <f>'التمام الصباحي'!Q28+'التمام الصباحي'!S28</f>
        <v>14</v>
      </c>
      <c r="H52" s="194">
        <f>'التمام الصباحي'!W28+'التمام الصباحي'!Y28</f>
        <v>53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51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16</v>
      </c>
      <c r="F53" s="194">
        <f>'التمام الصباحي'!K29+'التمام الصباحي'!M29</f>
        <v>16</v>
      </c>
      <c r="G53" s="194">
        <f>'التمام الصباحي'!Q29+'التمام الصباحي'!S29</f>
        <v>5</v>
      </c>
      <c r="H53" s="194">
        <f>'التمام الصباحي'!W29+'التمام الصباحي'!Y29</f>
        <v>21</v>
      </c>
      <c r="K53" s="233" t="s">
        <v>112</v>
      </c>
      <c r="L53" s="235">
        <f t="shared" si="14"/>
        <v>0</v>
      </c>
      <c r="M53" s="235">
        <f t="shared" si="12"/>
        <v>0</v>
      </c>
      <c r="N53" s="235">
        <f t="shared" si="13"/>
        <v>0</v>
      </c>
      <c r="O53" s="235">
        <f t="shared" si="21"/>
        <v>17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34</v>
      </c>
      <c r="G54" s="194">
        <f>'التمام الصباحي'!Q30+'التمام الصباحي'!S30</f>
        <v>9</v>
      </c>
      <c r="H54" s="354"/>
      <c r="K54" s="233" t="s">
        <v>121</v>
      </c>
      <c r="L54" s="234"/>
      <c r="M54" s="235">
        <f t="shared" si="12"/>
        <v>34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87</v>
      </c>
      <c r="G55" s="194">
        <f>'التمام الصباحي'!Q31+'التمام الصباحي'!S31</f>
        <v>31</v>
      </c>
      <c r="H55" s="354"/>
      <c r="K55" s="353" t="s">
        <v>168</v>
      </c>
      <c r="L55" s="234"/>
      <c r="M55" s="235">
        <f t="shared" si="12"/>
        <v>85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62</v>
      </c>
      <c r="G56" s="194">
        <f>'التمام الصباحي'!Q32+'التمام الصباحي'!S32</f>
        <v>51</v>
      </c>
      <c r="H56" s="354"/>
      <c r="K56" s="353" t="s">
        <v>169</v>
      </c>
      <c r="L56" s="234"/>
      <c r="M56" s="235">
        <f t="shared" si="12"/>
        <v>51</v>
      </c>
      <c r="N56" s="235">
        <f t="shared" si="13"/>
        <v>51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93</v>
      </c>
      <c r="G57" s="194">
        <f>'التمام الصباحي'!Q33+'التمام الصباحي'!S33</f>
        <v>23</v>
      </c>
      <c r="H57" s="354"/>
      <c r="K57" s="318" t="s">
        <v>170</v>
      </c>
      <c r="L57" s="234"/>
      <c r="M57" s="235">
        <f t="shared" si="12"/>
        <v>85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102</v>
      </c>
      <c r="G58" s="194">
        <f>'التمام الصباحي'!Q34+'التمام الصباحي'!S34</f>
        <v>56</v>
      </c>
      <c r="H58" s="354"/>
      <c r="K58" s="318" t="s">
        <v>171</v>
      </c>
      <c r="L58" s="234"/>
      <c r="M58" s="235">
        <f t="shared" si="12"/>
        <v>102</v>
      </c>
      <c r="N58" s="235">
        <f t="shared" si="13"/>
        <v>51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</v>
      </c>
    </row>
    <row r="5" spans="1:2" x14ac:dyDescent="0.2">
      <c r="A5" t="s">
        <v>90</v>
      </c>
      <c r="B5" s="138">
        <f>'خطة الإمداد'!X48</f>
        <v>1.3333333333333333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2019-09-23T07:26:23Z</cp:lastPrinted>
  <dcterms:created xsi:type="dcterms:W3CDTF">2018-10-24T15:18:02Z</dcterms:created>
  <dcterms:modified xsi:type="dcterms:W3CDTF">2019-10-05T16:39:28Z</dcterms:modified>
</cp:coreProperties>
</file>