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Past Months\Septemper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6" l="1"/>
  <c r="D17" i="21"/>
  <c r="D16" i="21"/>
  <c r="D15" i="21"/>
  <c r="D17" i="20"/>
  <c r="D16" i="20"/>
  <c r="D15" i="20"/>
  <c r="D19" i="18"/>
  <c r="D14" i="18"/>
  <c r="D21" i="16"/>
  <c r="D20" i="16"/>
  <c r="D19" i="16"/>
  <c r="D15" i="16"/>
  <c r="D21" i="18"/>
  <c r="D20" i="18"/>
  <c r="D18" i="18"/>
  <c r="D17" i="18"/>
  <c r="D16" i="18"/>
  <c r="D22" i="16"/>
  <c r="D17" i="16"/>
  <c r="F24" i="14"/>
  <c r="F23" i="14"/>
  <c r="F22" i="14"/>
  <c r="D18" i="21"/>
  <c r="D18" i="20"/>
  <c r="D15" i="18"/>
  <c r="D16" i="16"/>
  <c r="F21" i="14"/>
  <c r="F19" i="14"/>
  <c r="F18" i="14"/>
  <c r="F17" i="14"/>
  <c r="L11" i="3"/>
  <c r="I11" i="3"/>
  <c r="F11" i="3"/>
  <c r="C11" i="3"/>
  <c r="K24" i="6" l="1"/>
  <c r="J24" i="6"/>
  <c r="I24" i="6"/>
  <c r="G24" i="6"/>
  <c r="F24" i="6"/>
  <c r="E24" i="6"/>
  <c r="F35" i="1" l="1"/>
  <c r="D35" i="1"/>
  <c r="H35" i="1" s="1"/>
  <c r="E35" i="1" l="1"/>
  <c r="G34" i="7"/>
  <c r="F34" i="7"/>
  <c r="C34" i="2" l="1"/>
  <c r="D34" i="2" s="1"/>
  <c r="F34" i="2"/>
  <c r="H34" i="2" s="1"/>
  <c r="I34" i="2"/>
  <c r="J34" i="2" s="1"/>
  <c r="L34" i="2"/>
  <c r="N34" i="2" s="1"/>
  <c r="M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Q35" i="4"/>
  <c r="P37" i="2" s="1"/>
  <c r="K35" i="1" l="1"/>
  <c r="G34" i="2"/>
  <c r="O34" i="2"/>
  <c r="Q34" i="2" s="1"/>
  <c r="E34" i="2"/>
  <c r="Q35" i="1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E13" i="5"/>
  <c r="F21" i="6" s="1"/>
  <c r="F13" i="5"/>
  <c r="G21" i="6" s="1"/>
  <c r="F12" i="5"/>
  <c r="G18" i="6" s="1"/>
  <c r="E12" i="5"/>
  <c r="F18" i="6" s="1"/>
  <c r="E11" i="5"/>
  <c r="F22" i="6" s="1"/>
  <c r="F11" i="5"/>
  <c r="G22" i="6" s="1"/>
  <c r="F10" i="5"/>
  <c r="G19" i="6" s="1"/>
  <c r="E10" i="5"/>
  <c r="F19" i="6" s="1"/>
  <c r="G23" i="6" l="1"/>
  <c r="J13" i="6"/>
  <c r="I13" i="6"/>
  <c r="K13" i="6"/>
  <c r="G16" i="6"/>
  <c r="F16" i="6"/>
  <c r="J15" i="6"/>
  <c r="I15" i="6"/>
  <c r="K15" i="6"/>
  <c r="G18" i="5"/>
  <c r="H14" i="6"/>
  <c r="H16" i="6" s="1"/>
  <c r="H25" i="6" s="1"/>
  <c r="E16" i="6"/>
  <c r="E25" i="6" s="1"/>
  <c r="K21" i="6"/>
  <c r="J21" i="6"/>
  <c r="I21" i="6"/>
  <c r="K22" i="6"/>
  <c r="I22" i="6"/>
  <c r="J22" i="6"/>
  <c r="J23" i="6" s="1"/>
  <c r="F23" i="6"/>
  <c r="G20" i="6"/>
  <c r="J19" i="6"/>
  <c r="I19" i="6"/>
  <c r="K19" i="6"/>
  <c r="I17" i="6"/>
  <c r="K17" i="6"/>
  <c r="J17" i="6"/>
  <c r="K18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G11" i="3" s="1"/>
  <c r="H11" i="3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25" i="6" l="1"/>
  <c r="G25" i="6"/>
  <c r="J14" i="6"/>
  <c r="X39" i="1"/>
  <c r="R39" i="1"/>
  <c r="J11" i="3" s="1"/>
  <c r="K11" i="3" s="1"/>
  <c r="F39" i="1"/>
  <c r="J16" i="6"/>
  <c r="K14" i="6"/>
  <c r="K16" i="6" s="1"/>
  <c r="I14" i="6"/>
  <c r="I16" i="6" s="1"/>
  <c r="K23" i="6"/>
  <c r="I23" i="6"/>
  <c r="I20" i="6"/>
  <c r="K20" i="6"/>
  <c r="J20" i="6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5" i="6" l="1"/>
  <c r="K25" i="6"/>
  <c r="I25" i="6"/>
  <c r="C44" i="1"/>
  <c r="D11" i="3"/>
  <c r="E11" i="3" s="1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U19" i="7"/>
  <c r="U21" i="7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M26" i="22" l="1"/>
  <c r="M13" i="22" l="1"/>
  <c r="M16" i="22" l="1"/>
  <c r="G10" i="16"/>
  <c r="G7" i="16"/>
  <c r="G9" i="16"/>
  <c r="G8" i="16"/>
  <c r="D7" i="16"/>
  <c r="M32" i="22" l="1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M22" i="22" l="1"/>
  <c r="I9" i="18"/>
  <c r="I10" i="18"/>
  <c r="I7" i="18"/>
  <c r="I28" i="22" l="1"/>
  <c r="I5" i="19"/>
  <c r="I27" i="22"/>
  <c r="I4" i="19"/>
  <c r="I25" i="22"/>
  <c r="I2" i="19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M24" i="22" l="1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M2" i="22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<sst xmlns="http://schemas.openxmlformats.org/spreadsheetml/2006/main" count="1167" uniqueCount="248">
  <si>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</si>
  <si>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</si>
  <si>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</si>
  <si>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</si>
  <si>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</si>
  <si>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</si>
  <si>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</si>
  <si>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</si>
  <si>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</si>
  <si>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</si>
  <si>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</si>
  <si>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</si>
  <si>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</si>
  <si>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</si>
  <si>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</si>
  <si>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</si>
  <si>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</si>
  <si>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</si>
  <si>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</si>
  <si>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</si>
  <si>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</si>
  <si>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</si>
  <si>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</si>
  <si>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</si>
  <si>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</si>
  <si>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</si>
  <si>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</si>
  <si>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</si>
  <si>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</si>
  <si>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</si>
  <si>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</si>
  <si>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</si>
  <si>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</si>
  <si>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</si>
  <si>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</si>
  <si>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</si>
  <si>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</si>
  <si>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</si>
  <si>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</si>
  <si>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</si>
  <si>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</si>
  <si>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</si>
  <si>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</si>
  <si>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</si>
  <si>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</si>
  <si>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</si>
  <si>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</si>
  <si>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</si>
  <si>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</si>
  <si>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</si>
  <si>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</si>
  <si>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</si>
  <si>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</si>
  <si>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</si>
  <si>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</si>
  <si>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</si>
  <si>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</si>
  <si>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</si>
  <si>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</si>
  <si>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</si>
  <si>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</si>
  <si>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</si>
  <si>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</si>
  <si>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</si>
  <si>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</si>
  <si>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</si>
  <si>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</si>
  <si>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</si>
  <si>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</si>
  <si>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</si>
  <si>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</si>
  <si>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</si>
  <si>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</si>
  <si>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</si>
  <si>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</si>
  <si>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</si>
  <si>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</si>
  <si>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</si>
  <si>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</si>
  <si>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</si>
  <si>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</si>
  <si>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</si>
  <si>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</si>
  <si>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</si>
  <si>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</si>
  <si>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</si>
  <si>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</si>
  <si>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</si>
  <si>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</si>
  <si>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</si>
  <si>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</si>
  <si>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</si>
  <si>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</si>
  <si>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</si>
  <si>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</si>
  <si>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</si>
  <si>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</si>
  <si>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</si>
  <si>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</si>
  <si>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</si>
  <si>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</si>
  <si>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</si>
  <si>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</si>
  <si>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</si>
  <si>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</si>
  <si>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</si>
  <si>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</si>
  <si>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</si>
  <si>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</si>
  <si>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</si>
  <si>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</si>
  <si>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</si>
  <si>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</si>
  <si>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</si>
  <si>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</si>
  <si>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</si>
  <si>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</si>
  <si>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</si>
  <si>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</si>
  <si>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</si>
  <si>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</si>
  <si>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</si>
  <si>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</si>
  <si>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</si>
  <si>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</si>
  <si>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</si>
  <si>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</si>
  <si>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</si>
  <si>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</si>
  <si>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</si>
  <si>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</si>
  <si>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</si>
  <si>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</si>
  <si>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</si>
  <si>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</si>
  <si>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</si>
  <si>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</si>
  <si>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</si>
  <si>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</si>
  <si>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</si>
  <si>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</si>
  <si>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</si>
  <si>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</si>
  <si>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</si>
  <si>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</si>
  <si>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</si>
  <si>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</si>
  <si>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</si>
  <si>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</si>
  <si>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</si>
  <si>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</si>
  <si>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</si>
  <si>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</si>
  <si>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</si>
  <si>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</si>
  <si>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</si>
  <si>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</si>
  <si>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</si>
  <si>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</si>
  <si>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</si>
  <si>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</si>
  <si>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</si>
  <si>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</si>
  <si>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</si>
  <si>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</si>
  <si>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</si>
  <si>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</si>
  <si>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</si>
  <si>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</si>
  <si>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</si>
  <si>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</si>
  <si>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</si>
  <si>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</si>
  <si>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</si>
  <si>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</si>
  <si>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</si>
  <si>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</si>
  <si>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</si>
  <si>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</si>
  <si>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</si>
  <si>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</si>
  <si>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</si>
  <si>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</si>
  <si>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</si>
  <si>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</si>
  <si>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</si>
  <si>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</si>
  <si>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</si>
  <si>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</si>
  <si>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</si>
  <si>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</si>
  <si>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</si>
  <si>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</si>
  <si>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</si>
  <si>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</si>
  <si>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</si>
  <si>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</si>
  <si>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</si>
  <si>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</si>
  <si>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</si>
  <si>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</si>
  <si>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</si>
  <si>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</si>
  <si>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</si>
  <si>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</si>
  <si>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</si>
  <si>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</si>
  <si>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</si>
  <si>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</si>
  <si>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</si>
  <si>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</si>
  <si>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</si>
  <si>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</si>
  <si>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</si>
  <si>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</si>
  <si>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</si>
  <si>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</si>
  <si>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</si>
  <si>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 xml:space="preserve">عميد اشرف </t>
  </si>
  <si>
    <t>عقيد/ محمد عيسي</t>
  </si>
  <si>
    <t>احمد المحاسب</t>
  </si>
  <si>
    <t xml:space="preserve">نقيب محمود </t>
  </si>
  <si>
    <t>نقيب / احمد</t>
  </si>
  <si>
    <t xml:space="preserve">نقيب / صلاح </t>
  </si>
  <si>
    <t>نقيب / ايمن</t>
  </si>
  <si>
    <t xml:space="preserve">عقيد/ طارق </t>
  </si>
  <si>
    <t xml:space="preserve">جندي / ابراهيم </t>
  </si>
  <si>
    <t xml:space="preserve">نقيب / علاء </t>
  </si>
  <si>
    <t>عميد / اسامه</t>
  </si>
  <si>
    <t>جندي / احمد محمد</t>
  </si>
  <si>
    <t xml:space="preserve">عميد / اشرف </t>
  </si>
  <si>
    <t xml:space="preserve">جندي / صبحي نصر </t>
  </si>
  <si>
    <t xml:space="preserve">مصطفي المحاسب </t>
  </si>
  <si>
    <t>عقيد / محمد عبد العزيز</t>
  </si>
  <si>
    <t>عميد / احمد</t>
  </si>
  <si>
    <t xml:space="preserve">جندي / حاتم </t>
  </si>
  <si>
    <t xml:space="preserve">محمود احمد </t>
  </si>
  <si>
    <t>عميد / محمد سعد</t>
  </si>
  <si>
    <t xml:space="preserve">عقيد / محمد فاروق </t>
  </si>
  <si>
    <t>اكرم / محاسب</t>
  </si>
  <si>
    <t>اكتوبر 3 (فودافون)</t>
  </si>
  <si>
    <t>ستارت بوينت (شريف الحوهري)</t>
  </si>
  <si>
    <t>نقيب / وليد</t>
  </si>
  <si>
    <t xml:space="preserve">معدل البيع اليومى لمحطات وقود شل اوت التي يديرها الوكلاء (المتحدة  - ماستر اكسبريس - اينوتك - ستارت بوينت) 2019/9/26 </t>
  </si>
  <si>
    <t>ضابط ابراهيم</t>
  </si>
  <si>
    <t>عقيد علاء</t>
  </si>
  <si>
    <t>عقيد / احمد</t>
  </si>
  <si>
    <t>عقيد / فتحي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</si>
</sst>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3" fontId="2" fillId="0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3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1" xfId="0" applyNumberFormat="1" applyFont="1" applyFill="1" applyBorder="1" applyAlignment="1" applyProtection="1">
      <alignment horizontal="center" vertical="center" readingOrder="2"/>
      <protection locked="0"/>
    </xf>
    <xf numFmtId="3" fontId="6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9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9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 readingOrder="2"/>
    </xf>
    <xf numFmtId="0" fontId="13" fillId="18" borderId="13" xfId="0" applyFont="1" applyFill="1" applyBorder="1" applyAlignment="1">
      <alignment horizontal="center" vertical="center" readingOrder="2"/>
    </xf>
    <xf numFmtId="0" fontId="13" fillId="18" borderId="1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253</v>
          </cell>
        </row>
        <row r="3">
          <cell r="D3">
            <v>1634</v>
          </cell>
        </row>
        <row r="4">
          <cell r="D4">
            <v>448</v>
          </cell>
        </row>
        <row r="5">
          <cell r="D5">
            <v>52</v>
          </cell>
        </row>
        <row r="6">
          <cell r="D6">
            <v>0</v>
          </cell>
        </row>
        <row r="7">
          <cell r="D7">
            <v>81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554DA4B-EB7B-44FD-B85A-07AFB343126B}" diskRevisions="1" revisionId="220" version="10">
  <header guid="{230CB6F8-3E74-4B31-A775-D8DB6DEB9663}" dateTime="2019-09-27T09:26:54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9CF2E15-2A6B-47BB-AC30-FA3219D53478}" dateTime="2019-09-27T10:00:06" maxSheetId="25" userName="pp" r:id="rId2" minRId="1" maxRId="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DF2D572-3ED2-47EB-8549-D31894551A1B}" dateTime="2019-09-27T15:39:06" maxSheetId="25" userName="pp" r:id="rId3" minRId="29" maxRId="94">
    <sheetIdMap count="24">
      <sheetId val="1"/>
      <sheetId val="2"/>
      <sheetId val="3"/>
      <sheetId val="4"/>
      <sheetId val="7"/>
      <sheetId val="5"/>
      <sheetId val="6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1278F11-C510-4385-8D0B-85907C157E44}" dateTime="2019-09-27T21:21:57" maxSheetId="25" userName="pp" r:id="rId4" minRId="95" maxRId="110">
    <sheetIdMap count="24">
      <sheetId val="1"/>
      <sheetId val="2"/>
      <sheetId val="3"/>
      <sheetId val="4"/>
      <sheetId val="7"/>
      <sheetId val="5"/>
      <sheetId val="6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4924D6D-391D-49F2-ACD7-EC36807F68B8}" dateTime="2019-09-27T21:26:38" maxSheetId="25" userName="pp" r:id="rId5" minRId="111" maxRId="151">
    <sheetIdMap count="24">
      <sheetId val="1"/>
      <sheetId val="2"/>
      <sheetId val="3"/>
      <sheetId val="4"/>
      <sheetId val="7"/>
      <sheetId val="5"/>
      <sheetId val="6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B37EDAC-84DF-4219-A16C-70BF0D8B7373}" dateTime="2019-09-28T07:09:53" maxSheetId="25" userName="pp" r:id="rId6" minRId="152" maxRId="1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AF99BF8-8870-4EA4-A4B1-0578ED1EDF2E}" dateTime="2019-09-29T08:21:29" maxSheetId="25" userName="pp" r:id="rId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009E792-C692-48C3-87D5-5294F12E678E}" dateTime="2019-10-05T18:38:48" maxSheetId="25" userName="pp" r:id="rId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12D0DA8-1CF3-40A7-8FE0-E27C1EFDB5D3}" dateTime="2019-10-05T18:39:23" maxSheetId="25" userName="pp" r:id="rId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554DA4B-EB7B-44FD-B85A-07AFB343126B}" dateTime="2019-10-07T16:27:18" maxSheetId="25" userName="pp" r:id="rId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R29" t="inlineStr">
      <is>
        <t>ضابط ابراهيم</t>
      </is>
    </nc>
  </rcc>
  <rcc rId="2" sId="4">
    <nc r="H21">
      <v>1272</v>
    </nc>
  </rcc>
  <rcc rId="3" sId="4">
    <nc r="N21">
      <v>4824</v>
    </nc>
  </rcc>
  <rcc rId="4" sId="4" numFmtId="4">
    <nc r="O21">
      <v>350</v>
    </nc>
  </rcc>
  <rcc rId="5" sId="4">
    <nc r="F21">
      <v>54</v>
    </nc>
  </rcc>
  <rcc rId="6" sId="4">
    <nc r="L21">
      <v>92</v>
    </nc>
  </rcc>
  <rcc rId="7" sId="4">
    <nc r="R21" t="inlineStr">
      <is>
        <t>عقيد علاء</t>
      </is>
    </nc>
  </rcc>
  <rcc rId="8" sId="4">
    <nc r="H5">
      <v>30126</v>
    </nc>
  </rcc>
  <rcc rId="9" sId="4">
    <nc r="K5">
      <v>14054</v>
    </nc>
  </rcc>
  <rcc rId="10" sId="4" numFmtId="4">
    <nc r="O5">
      <v>2760</v>
    </nc>
  </rcc>
  <rcc rId="11" sId="4">
    <nc r="F5">
      <v>45</v>
    </nc>
  </rcc>
  <rcc rId="12" sId="4">
    <nc r="I5">
      <v>7</v>
    </nc>
  </rcc>
  <rcc rId="13" sId="4">
    <nc r="R5" t="inlineStr">
      <is>
        <t>عقيد / احمد</t>
      </is>
    </nc>
  </rcc>
  <rcc rId="14" sId="4">
    <nc r="E10">
      <v>3246</v>
    </nc>
  </rcc>
  <rcc rId="15" sId="4">
    <nc r="H10">
      <v>22542</v>
    </nc>
  </rcc>
  <rcc rId="16" sId="4">
    <nc r="N10">
      <v>6559</v>
    </nc>
  </rcc>
  <rcc rId="17" sId="4" numFmtId="4">
    <nc r="O10">
      <v>2418</v>
    </nc>
  </rcc>
  <rcc rId="18" sId="4">
    <nc r="C10">
      <v>18</v>
    </nc>
  </rcc>
  <rcc rId="19" sId="4">
    <nc r="F10">
      <v>75</v>
    </nc>
  </rcc>
  <rcc rId="20" sId="4">
    <nc r="L10">
      <v>164</v>
    </nc>
  </rcc>
  <rcc rId="21" sId="4">
    <nc r="R10" t="inlineStr">
      <is>
        <t>عقيد / فتحي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7">
    <nc r="C13">
      <v>34</v>
    </nc>
  </rcc>
  <rcc rId="30" sId="7">
    <nc r="D13">
      <v>17</v>
    </nc>
  </rcc>
  <rcc rId="31" sId="7">
    <nc r="I16">
      <v>51</v>
    </nc>
  </rcc>
  <rcc rId="32" sId="7">
    <nc r="I17">
      <v>17</v>
    </nc>
  </rcc>
  <rcc rId="33" sId="7">
    <nc r="I18">
      <v>34</v>
    </nc>
  </rcc>
  <rcc rId="34" sId="7">
    <nc r="I30">
      <v>17</v>
    </nc>
  </rcc>
  <rcc rId="35" sId="7">
    <nc r="I31">
      <v>17</v>
    </nc>
  </rcc>
  <rcc rId="36" sId="7">
    <nc r="H30">
      <v>17</v>
    </nc>
  </rcc>
  <rcc rId="37" sId="7">
    <nc r="G8">
      <v>34</v>
    </nc>
  </rcc>
  <rcc rId="38" sId="7">
    <nc r="H8">
      <v>17</v>
    </nc>
  </rcc>
  <rcc rId="39" sId="7">
    <nc r="H6">
      <v>34</v>
    </nc>
  </rcc>
  <rcc rId="40" sId="7">
    <nc r="I5">
      <v>17</v>
    </nc>
  </rcc>
  <rcc rId="41" sId="7">
    <nc r="C14">
      <v>34</v>
    </nc>
  </rcc>
  <rcc rId="42" sId="7">
    <nc r="D14">
      <v>17</v>
    </nc>
  </rcc>
  <rcc rId="43" sId="7">
    <nc r="E14">
      <v>51</v>
    </nc>
  </rcc>
  <rcc rId="44" sId="7">
    <nc r="C16">
      <v>51</v>
    </nc>
  </rcc>
  <rcc rId="45" sId="7">
    <nc r="F32">
      <v>17</v>
    </nc>
  </rcc>
  <rcc rId="46" sId="7">
    <nc r="I32">
      <v>34</v>
    </nc>
  </rcc>
  <rcc rId="47" sId="7">
    <nc r="C5">
      <v>51</v>
    </nc>
  </rcc>
  <rcc rId="48" sId="7">
    <nc r="C12">
      <v>34</v>
    </nc>
  </rcc>
  <rcc rId="49" sId="7">
    <nc r="E12">
      <v>17</v>
    </nc>
  </rcc>
  <rcc rId="50" sId="7">
    <nc r="H10">
      <v>34</v>
    </nc>
  </rcc>
  <rcc rId="51" sId="7">
    <nc r="I10">
      <v>17</v>
    </nc>
  </rcc>
  <rcc rId="52" sId="7">
    <nc r="R5">
      <v>17</v>
    </nc>
  </rcc>
  <rcc rId="53" sId="7">
    <nc r="T5">
      <v>85</v>
    </nc>
  </rcc>
  <rcc rId="54" sId="7">
    <nc r="D40">
      <v>51</v>
    </nc>
  </rcc>
  <rcc rId="55" sId="7">
    <nc r="D41">
      <v>51</v>
    </nc>
  </rcc>
  <rcc rId="56" sId="7">
    <nc r="G42">
      <v>34</v>
    </nc>
  </rcc>
  <rcc rId="57" sId="7">
    <nc r="G43">
      <v>17</v>
    </nc>
  </rcc>
  <rcc rId="58" sId="7">
    <nc r="E40">
      <v>17</v>
    </nc>
  </rcc>
  <rcc rId="59" sId="7">
    <nc r="E41">
      <v>34</v>
    </nc>
  </rcc>
  <rcc rId="60" sId="7">
    <nc r="E42">
      <v>17</v>
    </nc>
  </rcc>
  <rcc rId="61" sId="7">
    <nc r="E43">
      <v>34</v>
    </nc>
  </rcc>
  <rcc rId="62" sId="4">
    <nc r="G12">
      <v>34</v>
    </nc>
  </rcc>
  <rcc rId="63" sId="4">
    <nc r="J12">
      <v>17</v>
    </nc>
  </rcc>
  <rcc rId="64" sId="4">
    <nc r="J31">
      <v>51</v>
    </nc>
  </rcc>
  <rcc rId="65" sId="4">
    <nc r="J28">
      <v>17</v>
    </nc>
  </rcc>
  <rcc rId="66" sId="4">
    <nc r="J29">
      <v>34</v>
    </nc>
  </rcc>
  <rcc rId="67" sId="4">
    <nc r="M21">
      <v>17</v>
    </nc>
  </rcc>
  <rcc rId="68" sId="4">
    <nc r="M20">
      <v>17</v>
    </nc>
  </rcc>
  <rcc rId="69" sId="4">
    <nc r="D20">
      <v>17</v>
    </nc>
  </rcc>
  <rcc rId="70" sId="4">
    <nc r="D7">
      <v>34</v>
    </nc>
  </rcc>
  <rcc rId="71" sId="4">
    <nc r="G7">
      <v>17</v>
    </nc>
  </rcc>
  <rcc rId="72" sId="4">
    <nc r="G22">
      <v>17</v>
    </nc>
  </rcc>
  <rcc rId="73" sId="4">
    <nc r="G23">
      <v>34</v>
    </nc>
  </rcc>
  <rcc rId="74" sId="4">
    <nc r="M23">
      <v>51</v>
    </nc>
  </rcc>
  <rcc rId="75" sId="4">
    <nc r="M22">
      <v>51</v>
    </nc>
  </rcc>
  <rcc rId="76" sId="4">
    <nc r="M14">
      <v>85</v>
    </nc>
  </rcc>
  <rcc rId="77" sId="4">
    <nc r="G14">
      <v>17</v>
    </nc>
  </rcc>
  <rcc rId="78" sId="4">
    <nc r="M24">
      <v>34</v>
    </nc>
  </rcc>
  <rcc rId="79" sId="4">
    <nc r="M25">
      <v>17</v>
    </nc>
  </rcc>
  <rcc rId="80" sId="4">
    <nc r="J5">
      <v>17</v>
    </nc>
  </rcc>
  <rcc rId="81" sId="4">
    <nc r="G27">
      <v>34</v>
    </nc>
  </rcc>
  <rcc rId="82" sId="4">
    <nc r="G13">
      <v>34</v>
    </nc>
  </rcc>
  <rcc rId="83" sId="4">
    <nc r="J13">
      <v>17</v>
    </nc>
  </rcc>
  <rcc rId="84" sId="4">
    <nc r="M13">
      <v>51</v>
    </nc>
  </rcc>
  <rcc rId="85" sId="4">
    <nc r="G31">
      <v>51</v>
    </nc>
  </rcc>
  <rcc rId="86" sId="4">
    <nc r="G26">
      <v>17</v>
    </nc>
  </rcc>
  <rcc rId="87" sId="4">
    <nc r="M26">
      <v>34</v>
    </nc>
  </rcc>
  <rcc rId="88" sId="4">
    <nc r="G5">
      <v>51</v>
    </nc>
  </rcc>
  <rcc rId="89" sId="4">
    <nc r="G11">
      <v>34</v>
    </nc>
  </rcc>
  <rcc rId="90" sId="4">
    <nc r="M11">
      <v>17</v>
    </nc>
  </rcc>
  <rcc rId="91" sId="4">
    <nc r="G24">
      <v>17</v>
    </nc>
  </rcc>
  <rcc rId="92" sId="4">
    <nc r="G25">
      <v>34</v>
    </nc>
  </rcc>
  <rcc rId="93" sId="4">
    <nc r="G9">
      <v>34</v>
    </nc>
  </rcc>
  <rcc rId="94" sId="4">
    <nc r="J9">
      <v>17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4">
    <nc r="G30">
      <v>51</v>
    </nc>
  </rcc>
  <rcc rId="96" sId="4">
    <nc r="G28">
      <v>51</v>
    </nc>
  </rcc>
  <rcc rId="97" sId="4">
    <nc r="D8">
      <v>17</v>
    </nc>
  </rcc>
  <rcc rId="98" sId="4">
    <oc r="D7">
      <v>34</v>
    </oc>
    <nc r="D7">
      <v>51</v>
    </nc>
  </rcc>
  <rcc rId="99" sId="4">
    <nc r="G8">
      <v>17</v>
    </nc>
  </rcc>
  <rcc rId="100" sId="4">
    <nc r="G10">
      <v>17</v>
    </nc>
  </rcc>
  <rcc rId="101" sId="4">
    <nc r="M10">
      <v>17</v>
    </nc>
  </rcc>
  <rcc rId="102" sId="4">
    <oc r="M11">
      <v>17</v>
    </oc>
    <nc r="M11">
      <v>34</v>
    </nc>
  </rcc>
  <rcc rId="103" sId="7">
    <nc r="C15">
      <v>51</v>
    </nc>
  </rcc>
  <rcc rId="104" sId="7">
    <nc r="C17">
      <v>51</v>
    </nc>
  </rcc>
  <rcc rId="105" sId="7">
    <oc r="G8">
      <v>34</v>
    </oc>
    <nc r="G8">
      <v>51</v>
    </nc>
  </rcc>
  <rcc rId="106" sId="7">
    <nc r="G9">
      <v>17</v>
    </nc>
  </rcc>
  <rcc rId="107" sId="7">
    <nc r="H9">
      <v>17</v>
    </nc>
  </rcc>
  <rcc rId="108" sId="7">
    <nc r="C11">
      <v>17</v>
    </nc>
  </rcc>
  <rcc rId="109" sId="7">
    <nc r="E11">
      <v>17</v>
    </nc>
  </rcc>
  <rcc rId="110" sId="7">
    <oc r="E12">
      <v>17</v>
    </oc>
    <nc r="E12">
      <v>34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112" sId="3">
    <oc r="D11">
      <f>'التمام الصباحي'!F39*1000</f>
    </oc>
    <nc r="D11">
      <f>'التمام الصباحي'!F39*1000</f>
    </nc>
  </rcc>
  <rcc rId="113" sId="3">
    <oc r="E11">
      <f>D11/C11</f>
    </oc>
    <nc r="E11">
      <f>D11/C11</f>
    </nc>
  </rcc>
  <rcc rId="114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115" sId="3">
    <oc r="G11">
      <f>'التمام الصباحي'!L39*1000</f>
    </oc>
    <nc r="G11">
      <f>'التمام الصباحي'!L39*1000</f>
    </nc>
  </rcc>
  <rcc rId="116" sId="3">
    <oc r="H11">
      <f>G11/F11</f>
    </oc>
    <nc r="H11">
      <f>G11/F11</f>
    </nc>
  </rcc>
  <rcc rId="117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118" sId="3">
    <oc r="J11">
      <f>'التمام الصباحي'!R39*1000</f>
    </oc>
    <nc r="J11">
      <f>'التمام الصباحي'!R39*1000</f>
    </nc>
  </rcc>
  <rcc rId="119" sId="3">
    <oc r="K11">
      <f>J11/I11</f>
    </oc>
    <nc r="K11">
      <f>J11/I11</f>
    </nc>
  </rcc>
  <rcc rId="120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121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122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123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124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125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126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127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28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29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130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131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132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133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134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135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136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137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138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139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140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141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142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143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144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145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46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47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48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49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50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51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153" sId="3">
    <oc r="D11">
      <f>'التمام الصباحي'!F39*1000</f>
    </oc>
    <nc r="D11">
      <f>'التمام الصباحي'!F39*1000</f>
    </nc>
  </rcc>
  <rcc rId="154" sId="3">
    <oc r="E11">
      <f>D11/C11</f>
    </oc>
    <nc r="E11">
      <f>D11/C11</f>
    </nc>
  </rcc>
  <rcc rId="155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156" sId="3">
    <oc r="G11">
      <f>'التمام الصباحي'!L39*1000</f>
    </oc>
    <nc r="G11">
      <f>'التمام الصباحي'!L39*1000</f>
    </nc>
  </rcc>
  <rcc rId="157" sId="3">
    <oc r="H11">
      <f>G11/F11</f>
    </oc>
    <nc r="H11">
      <f>G11/F11</f>
    </nc>
  </rcc>
  <rcc rId="158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159" sId="3">
    <oc r="J11">
      <f>'التمام الصباحي'!R39*1000</f>
    </oc>
    <nc r="J11">
      <f>'التمام الصباحي'!R39*1000</f>
    </nc>
  </rcc>
  <rcc rId="160" sId="3">
    <oc r="K11">
      <f>J11/I11</f>
    </oc>
    <nc r="K11">
      <f>J11/I11</f>
    </nc>
  </rcc>
  <rcc rId="161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162" sId="14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163" sId="14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164" sId="14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165" sId="14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166" sId="16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167" sId="18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168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69" sId="21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170" sId="14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171" sId="14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172" sId="14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173" sId="16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174" sId="16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175" sId="18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176" sId="18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177" sId="18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178" sId="18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179" sId="18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180" sId="16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181" sId="16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182" sId="16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183" sId="16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184" sId="18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185" sId="18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186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87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88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89" sId="21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190" sId="21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191" sId="21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192" sId="16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15" sqref="I15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6" ht="15.75" x14ac:dyDescent="0.25">
      <c r="A2" s="394" t="s">
        <v>1</v>
      </c>
      <c r="B2" s="394"/>
      <c r="C2" s="394"/>
      <c r="D2" s="394"/>
      <c r="E2" s="394"/>
    </row>
    <row r="3" spans="1:26" ht="15.75" x14ac:dyDescent="0.25">
      <c r="A3" s="394" t="s">
        <v>2</v>
      </c>
      <c r="B3" s="394"/>
      <c r="C3" s="394"/>
      <c r="D3" s="394"/>
      <c r="E3" s="394"/>
    </row>
    <row r="5" spans="1:26" ht="18.75" thickBot="1" x14ac:dyDescent="0.3">
      <c r="G5" s="199"/>
      <c r="I5" s="393" t="s">
        <v>194</v>
      </c>
      <c r="J5" s="393"/>
      <c r="K5" s="393"/>
      <c r="L5" s="393"/>
      <c r="M5" s="393"/>
      <c r="N5" s="393"/>
      <c r="V5" s="200" t="s">
        <v>41</v>
      </c>
    </row>
    <row r="6" spans="1:26" ht="20.100000000000001" customHeight="1" thickBot="1" x14ac:dyDescent="0.25">
      <c r="A6" s="392" t="s">
        <v>14</v>
      </c>
      <c r="B6" s="392" t="s">
        <v>3</v>
      </c>
      <c r="C6" s="392" t="s">
        <v>4</v>
      </c>
      <c r="D6" s="392" t="s">
        <v>5</v>
      </c>
      <c r="E6" s="392"/>
      <c r="F6" s="392"/>
      <c r="G6" s="392"/>
      <c r="H6" s="392"/>
      <c r="I6" s="392" t="s">
        <v>4</v>
      </c>
      <c r="J6" s="392" t="s">
        <v>11</v>
      </c>
      <c r="K6" s="392"/>
      <c r="L6" s="392"/>
      <c r="M6" s="392"/>
      <c r="N6" s="392"/>
      <c r="O6" s="392" t="s">
        <v>4</v>
      </c>
      <c r="P6" s="392" t="s">
        <v>12</v>
      </c>
      <c r="Q6" s="392"/>
      <c r="R6" s="392"/>
      <c r="S6" s="392"/>
      <c r="T6" s="392"/>
      <c r="U6" s="392" t="s">
        <v>4</v>
      </c>
      <c r="V6" s="392" t="s">
        <v>13</v>
      </c>
      <c r="W6" s="392"/>
      <c r="X6" s="392"/>
      <c r="Y6" s="392"/>
      <c r="Z6" s="392"/>
    </row>
    <row r="7" spans="1:26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2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2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2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45</v>
      </c>
      <c r="K8" s="221">
        <f>I8-J8</f>
        <v>45</v>
      </c>
      <c r="L8" s="335">
        <f>'أخذ التمام الصباحي'!G5</f>
        <v>51</v>
      </c>
      <c r="M8" s="335">
        <v>25</v>
      </c>
      <c r="N8" s="203">
        <f>J8/M8</f>
        <v>1.8</v>
      </c>
      <c r="O8" s="336">
        <v>30</v>
      </c>
      <c r="P8" s="335">
        <f>'أخذ التمام الصباحي'!I5</f>
        <v>7</v>
      </c>
      <c r="Q8" s="221">
        <f>O8-P8</f>
        <v>23</v>
      </c>
      <c r="R8" s="335">
        <f>'أخذ التمام الصباحي'!J5</f>
        <v>17</v>
      </c>
      <c r="S8" s="335">
        <v>8</v>
      </c>
      <c r="T8" s="203">
        <f>P8/S8</f>
        <v>0.875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55</v>
      </c>
      <c r="K9" s="221">
        <f>I9-J9</f>
        <v>35</v>
      </c>
      <c r="L9" s="355">
        <f>'أخذ التمام الصباحي'!G6</f>
        <v>0</v>
      </c>
      <c r="M9" s="335">
        <v>29</v>
      </c>
      <c r="N9" s="203">
        <f>J9/M9</f>
        <v>1.896551724137931</v>
      </c>
      <c r="O9" s="336">
        <v>30</v>
      </c>
      <c r="P9" s="338">
        <f>'أخذ التمام الصباحي'!I6</f>
        <v>21</v>
      </c>
      <c r="Q9" s="221">
        <f>O9-P9</f>
        <v>9</v>
      </c>
      <c r="R9" s="338">
        <f>'أخذ التمام الصباحي'!J6</f>
        <v>0</v>
      </c>
      <c r="S9" s="335">
        <v>9</v>
      </c>
      <c r="T9" s="203">
        <f>P9/S9</f>
        <v>2.3333333333333335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74</v>
      </c>
      <c r="E10" s="221">
        <f t="shared" ref="E10:E23" si="0">C10-D10</f>
        <v>16</v>
      </c>
      <c r="F10" s="335">
        <f>'أخذ التمام الصباحي'!D7</f>
        <v>51</v>
      </c>
      <c r="G10" s="335">
        <v>36</v>
      </c>
      <c r="H10" s="204">
        <f t="shared" ref="H10:H23" si="1">D10/G10</f>
        <v>2.0555555555555554</v>
      </c>
      <c r="I10" s="336">
        <v>45</v>
      </c>
      <c r="J10" s="338">
        <f>'أخذ التمام الصباحي'!F7</f>
        <v>37</v>
      </c>
      <c r="K10" s="221">
        <f t="shared" ref="K10:K34" si="2">I10-J10</f>
        <v>8</v>
      </c>
      <c r="L10" s="355">
        <f>'أخذ التمام الصباحي'!G7</f>
        <v>17</v>
      </c>
      <c r="M10" s="335">
        <v>24</v>
      </c>
      <c r="N10" s="203">
        <f t="shared" ref="N10:N34" si="3">J10/M10</f>
        <v>1.5416666666666667</v>
      </c>
      <c r="O10" s="336">
        <v>45</v>
      </c>
      <c r="P10" s="338">
        <f>'أخذ التمام الصباحي'!I7</f>
        <v>28</v>
      </c>
      <c r="Q10" s="221">
        <f t="shared" ref="Q10:Q34" si="4">O10-P10</f>
        <v>17</v>
      </c>
      <c r="R10" s="338">
        <f>'أخذ التمام الصباحي'!J7</f>
        <v>0</v>
      </c>
      <c r="S10" s="335">
        <v>4</v>
      </c>
      <c r="T10" s="203">
        <f t="shared" ref="T10:T34" si="5">P10/S10</f>
        <v>7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15</v>
      </c>
      <c r="E11" s="221">
        <f t="shared" si="0"/>
        <v>15</v>
      </c>
      <c r="F11" s="338">
        <f>'أخذ التمام الصباحي'!D8</f>
        <v>17</v>
      </c>
      <c r="G11" s="335">
        <v>5</v>
      </c>
      <c r="H11" s="204">
        <f t="shared" si="1"/>
        <v>3</v>
      </c>
      <c r="I11" s="336">
        <v>60</v>
      </c>
      <c r="J11" s="338">
        <f>'أخذ التمام الصباحي'!F8</f>
        <v>40</v>
      </c>
      <c r="K11" s="221">
        <f t="shared" si="2"/>
        <v>20</v>
      </c>
      <c r="L11" s="355">
        <f>'أخذ التمام الصباحي'!G8</f>
        <v>17</v>
      </c>
      <c r="M11" s="335">
        <v>25</v>
      </c>
      <c r="N11" s="203">
        <f t="shared" si="3"/>
        <v>1.6</v>
      </c>
      <c r="O11" s="336">
        <v>30</v>
      </c>
      <c r="P11" s="338">
        <f>'أخذ التمام الصباحي'!I8</f>
        <v>14</v>
      </c>
      <c r="Q11" s="221">
        <f t="shared" si="4"/>
        <v>16</v>
      </c>
      <c r="R11" s="338">
        <f>'أخذ التمام الصباحي'!J8</f>
        <v>0</v>
      </c>
      <c r="S11" s="335">
        <v>8</v>
      </c>
      <c r="T11" s="203">
        <f t="shared" si="5"/>
        <v>1.75</v>
      </c>
      <c r="U11" s="336">
        <v>180</v>
      </c>
      <c r="V11" s="335">
        <f>'أخذ التمام الصباحي'!L8</f>
        <v>168</v>
      </c>
      <c r="W11" s="221">
        <f t="shared" ref="W11:W29" si="6">U11-V11</f>
        <v>12</v>
      </c>
      <c r="X11" s="335">
        <f>'أخذ التمام الصباحي'!M8</f>
        <v>0</v>
      </c>
      <c r="Y11" s="335">
        <v>6</v>
      </c>
      <c r="Z11" s="203">
        <f>V11/Y11</f>
        <v>28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59</v>
      </c>
      <c r="K12" s="221">
        <f t="shared" si="2"/>
        <v>31</v>
      </c>
      <c r="L12" s="355">
        <f>'أخذ التمام الصباحي'!G9</f>
        <v>34</v>
      </c>
      <c r="M12" s="335">
        <v>42</v>
      </c>
      <c r="N12" s="203">
        <f t="shared" si="3"/>
        <v>1.4047619047619047</v>
      </c>
      <c r="O12" s="336">
        <v>30</v>
      </c>
      <c r="P12" s="338">
        <f>'أخذ التمام الصباحي'!I9</f>
        <v>15</v>
      </c>
      <c r="Q12" s="221">
        <f t="shared" si="4"/>
        <v>15</v>
      </c>
      <c r="R12" s="338">
        <f>'أخذ التمام الصباحي'!J9</f>
        <v>17</v>
      </c>
      <c r="S12" s="335">
        <v>12</v>
      </c>
      <c r="T12" s="203">
        <f t="shared" si="5"/>
        <v>1.25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18</v>
      </c>
      <c r="E13" s="221">
        <f t="shared" si="0"/>
        <v>12</v>
      </c>
      <c r="F13" s="338">
        <f>'أخذ التمام الصباحي'!D10</f>
        <v>0</v>
      </c>
      <c r="G13" s="335">
        <v>4</v>
      </c>
      <c r="H13" s="204">
        <f t="shared" si="1"/>
        <v>4.5</v>
      </c>
      <c r="I13" s="336">
        <v>90</v>
      </c>
      <c r="J13" s="338">
        <f>'أخذ التمام الصباحي'!F10</f>
        <v>75</v>
      </c>
      <c r="K13" s="221">
        <f t="shared" si="2"/>
        <v>15</v>
      </c>
      <c r="L13" s="355">
        <f>'أخذ التمام الصباحي'!G10</f>
        <v>17</v>
      </c>
      <c r="M13" s="335">
        <v>27</v>
      </c>
      <c r="N13" s="203">
        <f t="shared" si="3"/>
        <v>2.7777777777777777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164</v>
      </c>
      <c r="W13" s="221">
        <f t="shared" si="6"/>
        <v>16</v>
      </c>
      <c r="X13" s="335">
        <f>'أخذ التمام الصباحي'!M10</f>
        <v>17</v>
      </c>
      <c r="Y13" s="335">
        <v>8</v>
      </c>
      <c r="Z13" s="203">
        <f t="shared" ref="Z13:Z29" si="7">V13/Y13</f>
        <v>20.5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18</v>
      </c>
      <c r="E14" s="221">
        <f t="shared" si="0"/>
        <v>12</v>
      </c>
      <c r="F14" s="338">
        <f>'أخذ التمام الصباحي'!D11</f>
        <v>0</v>
      </c>
      <c r="G14" s="335">
        <v>7</v>
      </c>
      <c r="H14" s="204">
        <f t="shared" si="1"/>
        <v>2.5714285714285716</v>
      </c>
      <c r="I14" s="336">
        <v>90</v>
      </c>
      <c r="J14" s="338">
        <f>'أخذ التمام الصباحي'!F11</f>
        <v>55</v>
      </c>
      <c r="K14" s="221">
        <f t="shared" si="2"/>
        <v>35</v>
      </c>
      <c r="L14" s="355">
        <f>'أخذ التمام الصباحي'!G11</f>
        <v>34</v>
      </c>
      <c r="M14" s="335">
        <v>22</v>
      </c>
      <c r="N14" s="203">
        <f t="shared" si="3"/>
        <v>2.5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135</v>
      </c>
      <c r="W14" s="221">
        <f t="shared" si="6"/>
        <v>45</v>
      </c>
      <c r="X14" s="338">
        <f>'أخذ التمام الصباحي'!M11</f>
        <v>34</v>
      </c>
      <c r="Y14" s="335">
        <v>20</v>
      </c>
      <c r="Z14" s="203">
        <f t="shared" si="7"/>
        <v>6.75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175</v>
      </c>
      <c r="K15" s="221">
        <f t="shared" si="2"/>
        <v>5</v>
      </c>
      <c r="L15" s="355">
        <f>'أخذ التمام الصباحي'!G12</f>
        <v>34</v>
      </c>
      <c r="M15" s="335">
        <v>52</v>
      </c>
      <c r="N15" s="203">
        <f t="shared" si="3"/>
        <v>3.3653846153846154</v>
      </c>
      <c r="O15" s="336">
        <v>60</v>
      </c>
      <c r="P15" s="335">
        <f>'أخذ التمام الصباحي'!I12</f>
        <v>50</v>
      </c>
      <c r="Q15" s="221">
        <f t="shared" si="4"/>
        <v>10</v>
      </c>
      <c r="R15" s="335">
        <f>'أخذ التمام الصباحي'!J12</f>
        <v>17</v>
      </c>
      <c r="S15" s="335">
        <v>15</v>
      </c>
      <c r="T15" s="203">
        <f t="shared" si="5"/>
        <v>3.3333333333333335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125</v>
      </c>
      <c r="K16" s="221">
        <f t="shared" si="2"/>
        <v>55</v>
      </c>
      <c r="L16" s="355">
        <f>'أخذ التمام الصباحي'!G13</f>
        <v>34</v>
      </c>
      <c r="M16" s="335">
        <v>35</v>
      </c>
      <c r="N16" s="203">
        <f t="shared" si="3"/>
        <v>3.5714285714285716</v>
      </c>
      <c r="O16" s="336">
        <v>45</v>
      </c>
      <c r="P16" s="338">
        <f>'أخذ التمام الصباحي'!I13</f>
        <v>24</v>
      </c>
      <c r="Q16" s="221">
        <f t="shared" si="4"/>
        <v>21</v>
      </c>
      <c r="R16" s="338">
        <f>'أخذ التمام الصباحي'!J13</f>
        <v>17</v>
      </c>
      <c r="S16" s="335">
        <v>11</v>
      </c>
      <c r="T16" s="203">
        <f t="shared" si="5"/>
        <v>2.1818181818181817</v>
      </c>
      <c r="U16" s="336">
        <v>120</v>
      </c>
      <c r="V16" s="335">
        <f>'أخذ التمام الصباحي'!L13</f>
        <v>66</v>
      </c>
      <c r="W16" s="221">
        <f t="shared" si="6"/>
        <v>54</v>
      </c>
      <c r="X16" s="335">
        <f>'أخذ التمام الصباحي'!M13</f>
        <v>51</v>
      </c>
      <c r="Y16" s="335">
        <v>25</v>
      </c>
      <c r="Z16" s="203">
        <f t="shared" si="7"/>
        <v>2.64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73</v>
      </c>
      <c r="K17" s="221">
        <f t="shared" si="2"/>
        <v>17</v>
      </c>
      <c r="L17" s="355">
        <f>'أخذ التمام الصباحي'!G14</f>
        <v>17</v>
      </c>
      <c r="M17" s="335">
        <v>12</v>
      </c>
      <c r="N17" s="203">
        <f t="shared" si="3"/>
        <v>6.083333333333333</v>
      </c>
      <c r="O17" s="336">
        <v>30</v>
      </c>
      <c r="P17" s="338">
        <f>'أخذ التمام الصباحي'!I14</f>
        <v>25</v>
      </c>
      <c r="Q17" s="221">
        <f t="shared" si="4"/>
        <v>5</v>
      </c>
      <c r="R17" s="338">
        <f>'أخذ التمام الصباحي'!J14</f>
        <v>0</v>
      </c>
      <c r="S17" s="335">
        <v>6</v>
      </c>
      <c r="T17" s="203">
        <f>P17/S17</f>
        <v>4.166666666666667</v>
      </c>
      <c r="U17" s="336">
        <v>180</v>
      </c>
      <c r="V17" s="338">
        <f>'أخذ التمام الصباحي'!L14</f>
        <v>165</v>
      </c>
      <c r="W17" s="221">
        <f t="shared" si="6"/>
        <v>15</v>
      </c>
      <c r="X17" s="338">
        <f>'أخذ التمام الصباحي'!M14</f>
        <v>85</v>
      </c>
      <c r="Y17" s="335">
        <v>31</v>
      </c>
      <c r="Z17" s="203">
        <f t="shared" si="7"/>
        <v>5.32258064516129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61</v>
      </c>
      <c r="K18" s="221">
        <f t="shared" si="2"/>
        <v>29</v>
      </c>
      <c r="L18" s="355">
        <f>'أخذ التمام الصباحي'!G15</f>
        <v>0</v>
      </c>
      <c r="M18" s="335">
        <v>12</v>
      </c>
      <c r="N18" s="203">
        <f t="shared" si="3"/>
        <v>5.083333333333333</v>
      </c>
      <c r="O18" s="336">
        <v>30</v>
      </c>
      <c r="P18" s="338">
        <f>'أخذ التمام الصباحي'!I15</f>
        <v>18</v>
      </c>
      <c r="Q18" s="221">
        <f t="shared" si="4"/>
        <v>12</v>
      </c>
      <c r="R18" s="338">
        <f>'أخذ التمام الصباحي'!J15</f>
        <v>0</v>
      </c>
      <c r="S18" s="335">
        <v>4</v>
      </c>
      <c r="T18" s="203">
        <f t="shared" si="5"/>
        <v>4.5</v>
      </c>
      <c r="U18" s="336">
        <v>60</v>
      </c>
      <c r="V18" s="338">
        <f>'أخذ التمام الصباحي'!L15</f>
        <v>51</v>
      </c>
      <c r="W18" s="194">
        <f t="shared" si="6"/>
        <v>9</v>
      </c>
      <c r="X18" s="338">
        <f>'أخذ التمام الصباحي'!M15</f>
        <v>0</v>
      </c>
      <c r="Y18" s="335">
        <v>5</v>
      </c>
      <c r="Z18" s="335">
        <f t="shared" si="7"/>
        <v>10.199999999999999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43</v>
      </c>
      <c r="K19" s="221">
        <f t="shared" si="2"/>
        <v>17</v>
      </c>
      <c r="L19" s="355">
        <f>'أخذ التمام الصباحي'!G16</f>
        <v>0</v>
      </c>
      <c r="M19" s="335">
        <v>5</v>
      </c>
      <c r="N19" s="203">
        <f t="shared" si="3"/>
        <v>8.6</v>
      </c>
      <c r="O19" s="336">
        <v>30</v>
      </c>
      <c r="P19" s="338">
        <f>'أخذ التمام الصباحي'!I16</f>
        <v>15</v>
      </c>
      <c r="Q19" s="221">
        <f t="shared" si="4"/>
        <v>15</v>
      </c>
      <c r="R19" s="338">
        <f>'أخذ التمام الصباحي'!J16</f>
        <v>0</v>
      </c>
      <c r="S19" s="335">
        <v>2</v>
      </c>
      <c r="T19" s="203">
        <f t="shared" si="5"/>
        <v>7.5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77</v>
      </c>
      <c r="K20" s="221">
        <f t="shared" si="2"/>
        <v>13</v>
      </c>
      <c r="L20" s="355">
        <f>'أخذ التمام الصباحي'!G17</f>
        <v>0</v>
      </c>
      <c r="M20" s="335">
        <v>4</v>
      </c>
      <c r="N20" s="203">
        <f t="shared" si="3"/>
        <v>19.25</v>
      </c>
      <c r="O20" s="336">
        <v>30</v>
      </c>
      <c r="P20" s="338">
        <f>'أخذ التمام الصباحي'!I17</f>
        <v>16</v>
      </c>
      <c r="Q20" s="221">
        <f t="shared" si="4"/>
        <v>14</v>
      </c>
      <c r="R20" s="338">
        <f>'أخذ التمام الصباحي'!J17</f>
        <v>0</v>
      </c>
      <c r="S20" s="335">
        <v>2</v>
      </c>
      <c r="T20" s="203">
        <f t="shared" si="5"/>
        <v>8</v>
      </c>
      <c r="U20" s="336">
        <v>180</v>
      </c>
      <c r="V20" s="335">
        <f>'أخذ التمام الصباحي'!L17</f>
        <v>148</v>
      </c>
      <c r="W20" s="221">
        <f t="shared" si="6"/>
        <v>32</v>
      </c>
      <c r="X20" s="335">
        <f>'أخذ التمام الصباحي'!M17</f>
        <v>0</v>
      </c>
      <c r="Y20" s="335">
        <v>7</v>
      </c>
      <c r="Z20" s="203">
        <f t="shared" si="7"/>
        <v>21.142857142857142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77</v>
      </c>
      <c r="K21" s="221">
        <f t="shared" si="2"/>
        <v>13</v>
      </c>
      <c r="L21" s="355">
        <f>'أخذ التمام الصباحي'!G18</f>
        <v>0</v>
      </c>
      <c r="M21" s="335">
        <v>34</v>
      </c>
      <c r="N21" s="203">
        <f t="shared" si="3"/>
        <v>2.2647058823529411</v>
      </c>
      <c r="O21" s="336">
        <v>30</v>
      </c>
      <c r="P21" s="338">
        <f>'أخذ التمام الصباحي'!I18</f>
        <v>15</v>
      </c>
      <c r="Q21" s="221">
        <f t="shared" si="4"/>
        <v>15</v>
      </c>
      <c r="R21" s="338">
        <f>'أخذ التمام الصباحي'!J18</f>
        <v>0</v>
      </c>
      <c r="S21" s="335">
        <v>13</v>
      </c>
      <c r="T21" s="203">
        <f t="shared" si="5"/>
        <v>1.1538461538461537</v>
      </c>
      <c r="U21" s="336">
        <v>180</v>
      </c>
      <c r="V21" s="338">
        <f>'أخذ التمام الصباحي'!L18</f>
        <v>160</v>
      </c>
      <c r="W21" s="221">
        <f t="shared" si="6"/>
        <v>20</v>
      </c>
      <c r="X21" s="338">
        <f>'أخذ التمام الصباحي'!M18</f>
        <v>0</v>
      </c>
      <c r="Y21" s="335">
        <v>22</v>
      </c>
      <c r="Z21" s="203">
        <f t="shared" si="7"/>
        <v>7.2727272727272725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80</v>
      </c>
      <c r="K22" s="221">
        <f t="shared" si="2"/>
        <v>10</v>
      </c>
      <c r="L22" s="355">
        <f>'أخذ التمام الصباحي'!G19</f>
        <v>0</v>
      </c>
      <c r="M22" s="335">
        <v>8</v>
      </c>
      <c r="N22" s="203">
        <f t="shared" si="3"/>
        <v>10</v>
      </c>
      <c r="O22" s="336">
        <v>30</v>
      </c>
      <c r="P22" s="338">
        <f>'أخذ التمام الصباحي'!I19</f>
        <v>18</v>
      </c>
      <c r="Q22" s="221">
        <f t="shared" si="4"/>
        <v>12</v>
      </c>
      <c r="R22" s="338">
        <f>'أخذ التمام الصباحي'!J19</f>
        <v>0</v>
      </c>
      <c r="S22" s="335">
        <v>2</v>
      </c>
      <c r="T22" s="203">
        <f t="shared" si="5"/>
        <v>9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13</v>
      </c>
      <c r="E23" s="194">
        <f t="shared" si="0"/>
        <v>17</v>
      </c>
      <c r="F23" s="194">
        <f>'أخذ التمام الصباحي'!D20</f>
        <v>17</v>
      </c>
      <c r="G23" s="194">
        <v>0.6</v>
      </c>
      <c r="H23" s="194">
        <f t="shared" si="1"/>
        <v>21.666666666666668</v>
      </c>
      <c r="I23" s="336">
        <v>60</v>
      </c>
      <c r="J23" s="338">
        <f>'أخذ التمام الصباحي'!F20</f>
        <v>53</v>
      </c>
      <c r="K23" s="221">
        <f t="shared" si="2"/>
        <v>7</v>
      </c>
      <c r="L23" s="355">
        <f>'أخذ التمام الصباحي'!G20</f>
        <v>0</v>
      </c>
      <c r="M23" s="335">
        <v>3</v>
      </c>
      <c r="N23" s="203">
        <f t="shared" si="3"/>
        <v>17.666666666666668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98</v>
      </c>
      <c r="W23" s="221">
        <f t="shared" si="6"/>
        <v>22</v>
      </c>
      <c r="X23" s="335">
        <f>'أخذ التمام الصباحي'!M20</f>
        <v>17</v>
      </c>
      <c r="Y23" s="335">
        <v>7</v>
      </c>
      <c r="Z23" s="203">
        <f t="shared" si="7"/>
        <v>14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54</v>
      </c>
      <c r="K24" s="221">
        <f t="shared" si="2"/>
        <v>6</v>
      </c>
      <c r="L24" s="355">
        <f>'أخذ التمام الصباحي'!G21</f>
        <v>0</v>
      </c>
      <c r="M24" s="335">
        <v>6</v>
      </c>
      <c r="N24" s="203">
        <f t="shared" si="3"/>
        <v>9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92</v>
      </c>
      <c r="W24" s="221">
        <f t="shared" si="6"/>
        <v>28</v>
      </c>
      <c r="X24" s="338">
        <f>'أخذ التمام الصباحي'!M21</f>
        <v>17</v>
      </c>
      <c r="Y24" s="335">
        <v>5</v>
      </c>
      <c r="Z24" s="203">
        <f t="shared" si="7"/>
        <v>18.399999999999999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62</v>
      </c>
      <c r="K25" s="221">
        <f t="shared" si="2"/>
        <v>28</v>
      </c>
      <c r="L25" s="355">
        <f>'أخذ التمام الصباحي'!G22</f>
        <v>17</v>
      </c>
      <c r="M25" s="335">
        <v>15</v>
      </c>
      <c r="N25" s="203">
        <f t="shared" si="3"/>
        <v>4.1333333333333337</v>
      </c>
      <c r="O25" s="336">
        <v>30</v>
      </c>
      <c r="P25" s="335">
        <f>'أخذ التمام الصباحي'!I22</f>
        <v>18</v>
      </c>
      <c r="Q25" s="221">
        <f t="shared" si="4"/>
        <v>12</v>
      </c>
      <c r="R25" s="335">
        <f>'أخذ التمام الصباحي'!J22</f>
        <v>0</v>
      </c>
      <c r="S25" s="335">
        <v>3</v>
      </c>
      <c r="T25" s="203">
        <f t="shared" si="5"/>
        <v>6</v>
      </c>
      <c r="U25" s="336">
        <v>180</v>
      </c>
      <c r="V25" s="338">
        <f>'أخذ التمام الصباحي'!L22</f>
        <v>126</v>
      </c>
      <c r="W25" s="221">
        <f t="shared" si="6"/>
        <v>54</v>
      </c>
      <c r="X25" s="338">
        <f>'أخذ التمام الصباحي'!M22</f>
        <v>51</v>
      </c>
      <c r="Y25" s="335">
        <v>43</v>
      </c>
      <c r="Z25" s="203">
        <f t="shared" si="7"/>
        <v>2.9302325581395348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55</v>
      </c>
      <c r="K26" s="221">
        <f t="shared" si="2"/>
        <v>35</v>
      </c>
      <c r="L26" s="355">
        <f>'أخذ التمام الصباحي'!G23</f>
        <v>34</v>
      </c>
      <c r="M26" s="335">
        <v>17</v>
      </c>
      <c r="N26" s="203">
        <f t="shared" si="3"/>
        <v>3.2352941176470589</v>
      </c>
      <c r="O26" s="336">
        <v>30</v>
      </c>
      <c r="P26" s="338">
        <f>'أخذ التمام الصباحي'!I23</f>
        <v>23</v>
      </c>
      <c r="Q26" s="221">
        <f t="shared" si="4"/>
        <v>7</v>
      </c>
      <c r="R26" s="338">
        <f>'أخذ التمام الصباحي'!J23</f>
        <v>0</v>
      </c>
      <c r="S26" s="335">
        <v>4</v>
      </c>
      <c r="T26" s="203">
        <f t="shared" si="5"/>
        <v>5.75</v>
      </c>
      <c r="U26" s="336">
        <v>180</v>
      </c>
      <c r="V26" s="338">
        <f>'أخذ التمام الصباحي'!L23</f>
        <v>112</v>
      </c>
      <c r="W26" s="221">
        <f t="shared" si="6"/>
        <v>68</v>
      </c>
      <c r="X26" s="338">
        <f>'أخذ التمام الصباحي'!M23</f>
        <v>51</v>
      </c>
      <c r="Y26" s="335">
        <v>40</v>
      </c>
      <c r="Z26" s="203">
        <f t="shared" si="7"/>
        <v>2.8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70</v>
      </c>
      <c r="K27" s="221">
        <f t="shared" si="2"/>
        <v>20</v>
      </c>
      <c r="L27" s="355">
        <f>'أخذ التمام الصباحي'!G24</f>
        <v>17</v>
      </c>
      <c r="M27" s="335">
        <v>12</v>
      </c>
      <c r="N27" s="203">
        <f t="shared" si="3"/>
        <v>5.833333333333333</v>
      </c>
      <c r="O27" s="336">
        <v>30</v>
      </c>
      <c r="P27" s="338">
        <f>'أخذ التمام الصباحي'!I24</f>
        <v>26</v>
      </c>
      <c r="Q27" s="221">
        <f t="shared" si="4"/>
        <v>4</v>
      </c>
      <c r="R27" s="338">
        <f>'أخذ التمام الصباحي'!J24</f>
        <v>0</v>
      </c>
      <c r="S27" s="335">
        <v>2</v>
      </c>
      <c r="T27" s="203">
        <f t="shared" si="5"/>
        <v>13</v>
      </c>
      <c r="U27" s="336">
        <v>180</v>
      </c>
      <c r="V27" s="338">
        <f>'أخذ التمام الصباحي'!L24</f>
        <v>140</v>
      </c>
      <c r="W27" s="221">
        <f t="shared" si="6"/>
        <v>40</v>
      </c>
      <c r="X27" s="338">
        <f>'أخذ التمام الصباحي'!M24</f>
        <v>34</v>
      </c>
      <c r="Y27" s="335">
        <v>22</v>
      </c>
      <c r="Z27" s="203">
        <f t="shared" si="7"/>
        <v>6.3636363636363633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57</v>
      </c>
      <c r="K28" s="221">
        <f t="shared" si="2"/>
        <v>33</v>
      </c>
      <c r="L28" s="355">
        <f>'أخذ التمام الصباحي'!G25</f>
        <v>34</v>
      </c>
      <c r="M28" s="335">
        <v>9</v>
      </c>
      <c r="N28" s="203">
        <f t="shared" si="3"/>
        <v>6.333333333333333</v>
      </c>
      <c r="O28" s="336">
        <v>30</v>
      </c>
      <c r="P28" s="338">
        <f>'أخذ التمام الصباحي'!I25</f>
        <v>17</v>
      </c>
      <c r="Q28" s="221">
        <f t="shared" si="4"/>
        <v>13</v>
      </c>
      <c r="R28" s="338">
        <f>'أخذ التمام الصباحي'!J25</f>
        <v>0</v>
      </c>
      <c r="S28" s="335">
        <v>2</v>
      </c>
      <c r="T28" s="203">
        <f t="shared" si="5"/>
        <v>8.5</v>
      </c>
      <c r="U28" s="336">
        <v>180</v>
      </c>
      <c r="V28" s="338">
        <f>'أخذ التمام الصباحي'!L25</f>
        <v>156</v>
      </c>
      <c r="W28" s="221">
        <f t="shared" si="6"/>
        <v>24</v>
      </c>
      <c r="X28" s="338">
        <f>'أخذ التمام الصباحي'!M25</f>
        <v>17</v>
      </c>
      <c r="Y28" s="335">
        <v>19</v>
      </c>
      <c r="Z28" s="203">
        <f t="shared" si="7"/>
        <v>8.2105263157894743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75</v>
      </c>
      <c r="E29" s="194">
        <f t="shared" ref="E29:E35" si="8">C29-D29</f>
        <v>15</v>
      </c>
      <c r="F29" s="194">
        <f>'أخذ التمام الصباحي'!D26</f>
        <v>0</v>
      </c>
      <c r="G29" s="194">
        <v>5</v>
      </c>
      <c r="H29" s="194">
        <f t="shared" ref="H29:H35" si="9">D29/G29</f>
        <v>15</v>
      </c>
      <c r="I29" s="336">
        <v>45</v>
      </c>
      <c r="J29" s="338">
        <f>'أخذ التمام الصباحي'!F26</f>
        <v>28</v>
      </c>
      <c r="K29" s="221">
        <f t="shared" si="2"/>
        <v>17</v>
      </c>
      <c r="L29" s="355">
        <f>'أخذ التمام الصباحي'!G26</f>
        <v>17</v>
      </c>
      <c r="M29" s="335">
        <v>9</v>
      </c>
      <c r="N29" s="203">
        <f t="shared" si="3"/>
        <v>3.1111111111111112</v>
      </c>
      <c r="O29" s="336">
        <v>45</v>
      </c>
      <c r="P29" s="338">
        <f>'أخذ التمام الصباحي'!I26</f>
        <v>41</v>
      </c>
      <c r="Q29" s="221">
        <f t="shared" si="4"/>
        <v>4</v>
      </c>
      <c r="R29" s="338">
        <f>'أخذ التمام الصباحي'!J26</f>
        <v>0</v>
      </c>
      <c r="S29" s="335">
        <v>2</v>
      </c>
      <c r="T29" s="203">
        <f t="shared" si="5"/>
        <v>20.5</v>
      </c>
      <c r="U29" s="336">
        <v>180</v>
      </c>
      <c r="V29" s="338">
        <f>'أخذ التمام الصباحي'!L26</f>
        <v>143</v>
      </c>
      <c r="W29" s="221">
        <f t="shared" si="6"/>
        <v>37</v>
      </c>
      <c r="X29" s="338">
        <f>'أخذ التمام الصباحي'!M26</f>
        <v>34</v>
      </c>
      <c r="Y29" s="335">
        <v>16</v>
      </c>
      <c r="Z29" s="203">
        <f t="shared" si="7"/>
        <v>8.9375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98</v>
      </c>
      <c r="K30" s="221">
        <f t="shared" si="2"/>
        <v>37</v>
      </c>
      <c r="L30" s="355">
        <f>'أخذ التمام الصباحي'!G27</f>
        <v>34</v>
      </c>
      <c r="M30" s="335">
        <v>6</v>
      </c>
      <c r="N30" s="203">
        <f t="shared" si="3"/>
        <v>16.333333333333332</v>
      </c>
      <c r="O30" s="336">
        <v>45</v>
      </c>
      <c r="P30" s="338">
        <f>'أخذ التمام الصباحي'!I27</f>
        <v>37</v>
      </c>
      <c r="Q30" s="221">
        <f t="shared" si="4"/>
        <v>8</v>
      </c>
      <c r="R30" s="338">
        <f>'أخذ التمام الصباحي'!J27</f>
        <v>0</v>
      </c>
      <c r="S30" s="335">
        <v>2</v>
      </c>
      <c r="T30" s="203">
        <f t="shared" si="5"/>
        <v>18.5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138</v>
      </c>
      <c r="K31" s="221">
        <f t="shared" si="2"/>
        <v>42</v>
      </c>
      <c r="L31" s="355">
        <f>'أخذ التمام الصباحي'!G28</f>
        <v>51</v>
      </c>
      <c r="M31" s="339">
        <v>27</v>
      </c>
      <c r="N31" s="203">
        <f t="shared" si="3"/>
        <v>5.1111111111111107</v>
      </c>
      <c r="O31" s="336">
        <v>90</v>
      </c>
      <c r="P31" s="338">
        <f>'أخذ التمام الصباحي'!I28</f>
        <v>74</v>
      </c>
      <c r="Q31" s="221">
        <f t="shared" si="4"/>
        <v>16</v>
      </c>
      <c r="R31" s="338">
        <f>'أخذ التمام الصباحي'!J28</f>
        <v>17</v>
      </c>
      <c r="S31" s="339">
        <v>10</v>
      </c>
      <c r="T31" s="203">
        <f t="shared" si="5"/>
        <v>7.4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161</v>
      </c>
      <c r="K32" s="221">
        <f t="shared" si="2"/>
        <v>19</v>
      </c>
      <c r="L32" s="355">
        <f>'أخذ التمام الصباحي'!G29</f>
        <v>0</v>
      </c>
      <c r="M32" s="339">
        <v>27</v>
      </c>
      <c r="N32" s="203">
        <f t="shared" si="3"/>
        <v>5.9629629629629628</v>
      </c>
      <c r="O32" s="336">
        <v>90</v>
      </c>
      <c r="P32" s="338">
        <f>'أخذ التمام الصباحي'!I29</f>
        <v>69</v>
      </c>
      <c r="Q32" s="221">
        <f t="shared" si="4"/>
        <v>21</v>
      </c>
      <c r="R32" s="338">
        <f>'أخذ التمام الصباحي'!J29</f>
        <v>34</v>
      </c>
      <c r="S32" s="339">
        <v>9</v>
      </c>
      <c r="T32" s="203">
        <f t="shared" si="5"/>
        <v>7.666666666666667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126</v>
      </c>
      <c r="K33" s="221">
        <f t="shared" si="2"/>
        <v>54</v>
      </c>
      <c r="L33" s="355">
        <f>'أخذ التمام الصباحي'!G30</f>
        <v>51</v>
      </c>
      <c r="M33" s="339">
        <v>33</v>
      </c>
      <c r="N33" s="203">
        <f t="shared" si="3"/>
        <v>3.8181818181818183</v>
      </c>
      <c r="O33" s="336">
        <v>90</v>
      </c>
      <c r="P33" s="338">
        <f>'أخذ التمام الصباحي'!I30</f>
        <v>53</v>
      </c>
      <c r="Q33" s="221">
        <f t="shared" si="4"/>
        <v>37</v>
      </c>
      <c r="R33" s="338">
        <f>'أخذ التمام الصباحي'!J30</f>
        <v>0</v>
      </c>
      <c r="S33" s="339">
        <v>8</v>
      </c>
      <c r="T33" s="203">
        <f t="shared" si="5"/>
        <v>6.625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119</v>
      </c>
      <c r="K34" s="221">
        <f t="shared" si="2"/>
        <v>61</v>
      </c>
      <c r="L34" s="355">
        <f>'أخذ التمام الصباحي'!G31</f>
        <v>51</v>
      </c>
      <c r="M34" s="339">
        <v>52</v>
      </c>
      <c r="N34" s="203">
        <f t="shared" si="3"/>
        <v>2.2884615384615383</v>
      </c>
      <c r="O34" s="336">
        <v>90</v>
      </c>
      <c r="P34" s="338">
        <f>'أخذ التمام الصباحي'!I31</f>
        <v>80</v>
      </c>
      <c r="Q34" s="221">
        <f t="shared" si="4"/>
        <v>10</v>
      </c>
      <c r="R34" s="338">
        <f>'أخذ التمام الصباحي'!J31</f>
        <v>51</v>
      </c>
      <c r="S34" s="339">
        <v>11</v>
      </c>
      <c r="T34" s="203">
        <f t="shared" si="5"/>
        <v>7.2727272727272725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79</v>
      </c>
      <c r="E35" s="194">
        <f t="shared" si="8"/>
        <v>11</v>
      </c>
      <c r="F35" s="194">
        <f>'أخذ التمام الصباحي'!D32</f>
        <v>0</v>
      </c>
      <c r="G35" s="194">
        <v>20</v>
      </c>
      <c r="H35" s="194">
        <f t="shared" si="9"/>
        <v>3.95</v>
      </c>
      <c r="I35" s="357">
        <v>135</v>
      </c>
      <c r="J35" s="356">
        <f>'أخذ التمام الصباحي'!F32</f>
        <v>78</v>
      </c>
      <c r="K35" s="221">
        <f t="shared" ref="K35:K38" si="10">I35-J35</f>
        <v>57</v>
      </c>
      <c r="L35" s="356">
        <f>'أخذ التمام الصباحي'!G32</f>
        <v>0</v>
      </c>
      <c r="M35" s="356">
        <v>27</v>
      </c>
      <c r="N35" s="203">
        <f t="shared" ref="N35:N38" si="11">J35/M35</f>
        <v>2.8888888888888888</v>
      </c>
      <c r="O35" s="357">
        <v>45</v>
      </c>
      <c r="P35" s="356">
        <f>'أخذ التمام الصباحي'!I32</f>
        <v>86</v>
      </c>
      <c r="Q35" s="221">
        <f t="shared" ref="Q35:Q38" si="12">O35-P35</f>
        <v>-41</v>
      </c>
      <c r="R35" s="356">
        <f>'أخذ التمام الصباحي'!J32</f>
        <v>0</v>
      </c>
      <c r="S35" s="356">
        <v>7</v>
      </c>
      <c r="T35" s="203">
        <f t="shared" ref="T35:T38" si="13">P35/S35</f>
        <v>12.285714285714286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404" t="s">
        <v>34</v>
      </c>
      <c r="B39" s="404"/>
      <c r="C39" s="206">
        <f>SUM(C8:C38)</f>
        <v>390</v>
      </c>
      <c r="D39" s="206">
        <f t="shared" ref="D39:Z39" si="16">SUM(D8:D38)</f>
        <v>292</v>
      </c>
      <c r="E39" s="206">
        <f t="shared" si="16"/>
        <v>98</v>
      </c>
      <c r="F39" s="206">
        <f t="shared" si="16"/>
        <v>85</v>
      </c>
      <c r="G39" s="206">
        <f t="shared" si="16"/>
        <v>77.599999999999994</v>
      </c>
      <c r="H39" s="206">
        <f t="shared" si="16"/>
        <v>52.743650793650801</v>
      </c>
      <c r="I39" s="206">
        <f t="shared" si="16"/>
        <v>3480</v>
      </c>
      <c r="J39" s="206">
        <f t="shared" si="16"/>
        <v>2176</v>
      </c>
      <c r="K39" s="206">
        <f t="shared" si="16"/>
        <v>1304</v>
      </c>
      <c r="L39" s="206">
        <f t="shared" si="16"/>
        <v>561</v>
      </c>
      <c r="M39" s="206">
        <f t="shared" si="16"/>
        <v>684</v>
      </c>
      <c r="N39" s="206">
        <f t="shared" si="16"/>
        <v>157.45495535754156</v>
      </c>
      <c r="O39" s="206">
        <f t="shared" si="16"/>
        <v>1335</v>
      </c>
      <c r="P39" s="206">
        <f t="shared" si="16"/>
        <v>790</v>
      </c>
      <c r="Q39" s="206">
        <f t="shared" si="16"/>
        <v>545</v>
      </c>
      <c r="R39" s="206">
        <f t="shared" si="16"/>
        <v>170</v>
      </c>
      <c r="S39" s="206">
        <f t="shared" si="16"/>
        <v>174</v>
      </c>
      <c r="T39" s="206">
        <f t="shared" si="16"/>
        <v>166.54410589410588</v>
      </c>
      <c r="U39" s="206">
        <f t="shared" si="16"/>
        <v>2520</v>
      </c>
      <c r="V39" s="206">
        <f t="shared" si="16"/>
        <v>1924</v>
      </c>
      <c r="W39" s="206">
        <f t="shared" si="16"/>
        <v>596</v>
      </c>
      <c r="X39" s="206">
        <f t="shared" si="16"/>
        <v>408</v>
      </c>
      <c r="Y39" s="206">
        <f t="shared" si="16"/>
        <v>306</v>
      </c>
      <c r="Z39" s="206">
        <f t="shared" si="16"/>
        <v>163.47006029831107</v>
      </c>
    </row>
    <row r="40" spans="1:26" ht="20.100000000000001" customHeight="1" thickBot="1" x14ac:dyDescent="0.25">
      <c r="A40" s="391" t="s">
        <v>35</v>
      </c>
      <c r="B40" s="391"/>
      <c r="C40" s="395">
        <f>C39+I39+O39+U39</f>
        <v>7725</v>
      </c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7"/>
    </row>
    <row r="41" spans="1:26" ht="20.100000000000001" customHeight="1" thickBot="1" x14ac:dyDescent="0.25">
      <c r="A41" s="391" t="s">
        <v>36</v>
      </c>
      <c r="B41" s="391"/>
      <c r="C41" s="395">
        <f>D39+J39+P39+V39</f>
        <v>5182</v>
      </c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7"/>
    </row>
    <row r="42" spans="1:26" ht="20.100000000000001" customHeight="1" thickBot="1" x14ac:dyDescent="0.25">
      <c r="A42" s="391" t="s">
        <v>37</v>
      </c>
      <c r="B42" s="391"/>
      <c r="C42" s="395">
        <f>E39+K39+Q39+W39</f>
        <v>2543</v>
      </c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7"/>
    </row>
    <row r="43" spans="1:26" ht="20.100000000000001" customHeight="1" thickBot="1" x14ac:dyDescent="0.25">
      <c r="A43" s="391" t="s">
        <v>38</v>
      </c>
      <c r="B43" s="391"/>
      <c r="C43" s="398">
        <f>C41/C40</f>
        <v>0.67080906148867314</v>
      </c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0"/>
    </row>
    <row r="44" spans="1:26" ht="20.100000000000001" customHeight="1" thickBot="1" x14ac:dyDescent="0.25">
      <c r="A44" s="391" t="s">
        <v>39</v>
      </c>
      <c r="B44" s="391"/>
      <c r="C44" s="395">
        <f>F39+L39+R39+X39</f>
        <v>1224</v>
      </c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7"/>
    </row>
    <row r="45" spans="1:26" ht="15.75" thickBot="1" x14ac:dyDescent="0.25">
      <c r="A45" s="391" t="s">
        <v>40</v>
      </c>
      <c r="B45" s="391"/>
      <c r="C45" s="401">
        <f>C44/'التمام الصباحي'!$C$41:$Z$41</f>
        <v>0.23620223851794675</v>
      </c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3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I15" sqref="I15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5" ht="15.75" x14ac:dyDescent="0.25">
      <c r="A2" s="394" t="s">
        <v>1</v>
      </c>
      <c r="B2" s="394"/>
      <c r="C2" s="394"/>
      <c r="D2" s="394"/>
      <c r="E2" s="394"/>
    </row>
    <row r="3" spans="1:25" ht="15.75" x14ac:dyDescent="0.25">
      <c r="A3" s="394" t="s">
        <v>2</v>
      </c>
      <c r="B3" s="394"/>
      <c r="C3" s="394"/>
      <c r="D3" s="394"/>
      <c r="E3" s="394"/>
    </row>
    <row r="5" spans="1:25" ht="36.75" customHeight="1" thickBot="1" x14ac:dyDescent="0.3">
      <c r="G5" s="199"/>
      <c r="H5" s="393" t="s">
        <v>161</v>
      </c>
      <c r="I5" s="393"/>
      <c r="J5" s="393"/>
      <c r="K5" s="393"/>
      <c r="L5" s="393"/>
      <c r="M5" s="393"/>
      <c r="N5" s="393"/>
      <c r="O5" s="393"/>
      <c r="T5" s="200" t="s">
        <v>41</v>
      </c>
    </row>
    <row r="6" spans="1:25" ht="20.100000000000001" customHeight="1" thickBot="1" x14ac:dyDescent="0.25">
      <c r="A6" s="392" t="s">
        <v>14</v>
      </c>
      <c r="B6" s="392" t="s">
        <v>3</v>
      </c>
      <c r="C6" s="392" t="s">
        <v>4</v>
      </c>
      <c r="D6" s="537" t="s">
        <v>5</v>
      </c>
      <c r="E6" s="538"/>
      <c r="F6" s="538"/>
      <c r="G6" s="539"/>
      <c r="H6" s="392" t="s">
        <v>4</v>
      </c>
      <c r="I6" s="537" t="s">
        <v>11</v>
      </c>
      <c r="J6" s="538"/>
      <c r="K6" s="538"/>
      <c r="L6" s="539"/>
      <c r="M6" s="392" t="s">
        <v>4</v>
      </c>
      <c r="N6" s="537" t="s">
        <v>12</v>
      </c>
      <c r="O6" s="538"/>
      <c r="P6" s="538"/>
      <c r="Q6" s="539"/>
      <c r="R6" s="39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9</v>
      </c>
      <c r="G7" s="201" t="s">
        <v>10</v>
      </c>
      <c r="H7" s="392"/>
      <c r="I7" s="201" t="s">
        <v>6</v>
      </c>
      <c r="J7" s="201" t="s">
        <v>7</v>
      </c>
      <c r="K7" s="201" t="s">
        <v>9</v>
      </c>
      <c r="L7" s="201" t="s">
        <v>10</v>
      </c>
      <c r="M7" s="392"/>
      <c r="N7" s="201" t="s">
        <v>6</v>
      </c>
      <c r="O7" s="201" t="s">
        <v>7</v>
      </c>
      <c r="P7" s="201" t="s">
        <v>9</v>
      </c>
      <c r="Q7" s="201" t="s">
        <v>10</v>
      </c>
      <c r="R7" s="39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404" t="s">
        <v>34</v>
      </c>
      <c r="B28" s="40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91" t="s">
        <v>35</v>
      </c>
      <c r="B29" s="391"/>
      <c r="C29" s="395">
        <f>C28+H28+M28+R28</f>
        <v>4605</v>
      </c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7"/>
    </row>
    <row r="30" spans="1:26" ht="20.100000000000001" customHeight="1" thickBot="1" x14ac:dyDescent="0.25">
      <c r="A30" s="391" t="s">
        <v>36</v>
      </c>
      <c r="B30" s="391"/>
      <c r="C30" s="395">
        <f>D28+I28+N28+S28</f>
        <v>4605</v>
      </c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7"/>
    </row>
    <row r="31" spans="1:26" ht="20.100000000000001" customHeight="1" thickBot="1" x14ac:dyDescent="0.25">
      <c r="A31" s="391" t="s">
        <v>37</v>
      </c>
      <c r="B31" s="391"/>
      <c r="C31" s="395">
        <f>E28+J28+O28+T28</f>
        <v>0</v>
      </c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7"/>
    </row>
    <row r="32" spans="1:26" ht="15.75" thickBot="1" x14ac:dyDescent="0.25">
      <c r="A32" s="391" t="s">
        <v>38</v>
      </c>
      <c r="B32" s="391"/>
      <c r="C32" s="398">
        <f>C30/C29</f>
        <v>1</v>
      </c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400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5" ht="15.75" x14ac:dyDescent="0.25">
      <c r="A2" s="394" t="s">
        <v>1</v>
      </c>
      <c r="B2" s="394"/>
      <c r="C2" s="394"/>
      <c r="D2" s="394"/>
      <c r="E2" s="394"/>
    </row>
    <row r="3" spans="1:25" ht="15.75" x14ac:dyDescent="0.25">
      <c r="A3" s="394" t="s">
        <v>2</v>
      </c>
      <c r="B3" s="394"/>
      <c r="C3" s="394"/>
      <c r="D3" s="394"/>
      <c r="E3" s="394"/>
    </row>
    <row r="5" spans="1:25" ht="32.25" customHeight="1" thickBot="1" x14ac:dyDescent="0.3">
      <c r="G5" s="199"/>
      <c r="H5" s="393" t="s">
        <v>162</v>
      </c>
      <c r="I5" s="393"/>
      <c r="J5" s="393"/>
      <c r="K5" s="393"/>
      <c r="L5" s="393"/>
      <c r="M5" s="393"/>
      <c r="N5" s="393"/>
      <c r="O5" s="393"/>
      <c r="T5" s="200" t="s">
        <v>41</v>
      </c>
    </row>
    <row r="6" spans="1:25" ht="20.100000000000001" customHeight="1" thickBot="1" x14ac:dyDescent="0.25">
      <c r="A6" s="392" t="s">
        <v>14</v>
      </c>
      <c r="B6" s="392" t="s">
        <v>3</v>
      </c>
      <c r="C6" s="392" t="s">
        <v>4</v>
      </c>
      <c r="D6" s="537" t="s">
        <v>5</v>
      </c>
      <c r="E6" s="538"/>
      <c r="F6" s="538"/>
      <c r="G6" s="539"/>
      <c r="H6" s="392" t="s">
        <v>4</v>
      </c>
      <c r="I6" s="537" t="s">
        <v>11</v>
      </c>
      <c r="J6" s="538"/>
      <c r="K6" s="538"/>
      <c r="L6" s="539"/>
      <c r="M6" s="392" t="s">
        <v>4</v>
      </c>
      <c r="N6" s="537" t="s">
        <v>12</v>
      </c>
      <c r="O6" s="538"/>
      <c r="P6" s="538"/>
      <c r="Q6" s="539"/>
      <c r="R6" s="39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9</v>
      </c>
      <c r="G7" s="201" t="s">
        <v>10</v>
      </c>
      <c r="H7" s="392"/>
      <c r="I7" s="201" t="s">
        <v>6</v>
      </c>
      <c r="J7" s="201" t="s">
        <v>7</v>
      </c>
      <c r="K7" s="201" t="s">
        <v>9</v>
      </c>
      <c r="L7" s="201" t="s">
        <v>10</v>
      </c>
      <c r="M7" s="392"/>
      <c r="N7" s="201" t="s">
        <v>6</v>
      </c>
      <c r="O7" s="201" t="s">
        <v>7</v>
      </c>
      <c r="P7" s="201" t="s">
        <v>9</v>
      </c>
      <c r="Q7" s="201" t="s">
        <v>10</v>
      </c>
      <c r="R7" s="39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20</v>
      </c>
      <c r="J8" s="221">
        <f>'خطة الإمداد'!F32</f>
        <v>70</v>
      </c>
      <c r="K8" s="261">
        <v>19</v>
      </c>
      <c r="L8" s="203">
        <f>I8/K8</f>
        <v>1.0526315789473684</v>
      </c>
      <c r="M8" s="262">
        <v>30</v>
      </c>
      <c r="N8" s="261">
        <f>M8-O8</f>
        <v>-1</v>
      </c>
      <c r="O8" s="221">
        <f>'خطة الإمداد'!G32</f>
        <v>31</v>
      </c>
      <c r="P8" s="261">
        <v>5</v>
      </c>
      <c r="Q8" s="203">
        <f>N8/P8</f>
        <v>-0.2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10</v>
      </c>
      <c r="E10" s="261">
        <f>'خطة الإمداد'!E35</f>
        <v>20</v>
      </c>
      <c r="F10" s="261">
        <v>4</v>
      </c>
      <c r="G10" s="204">
        <f>D10/F10</f>
        <v>2.5</v>
      </c>
      <c r="H10" s="262">
        <v>60</v>
      </c>
      <c r="I10" s="261">
        <f t="shared" ref="I10:I27" si="1">H10-J10</f>
        <v>15</v>
      </c>
      <c r="J10" s="221">
        <f>'خطة الإمداد'!F35</f>
        <v>45</v>
      </c>
      <c r="K10" s="261">
        <v>21</v>
      </c>
      <c r="L10" s="203">
        <f t="shared" ref="L10:L21" si="2">I10/K10</f>
        <v>0.7142857142857143</v>
      </c>
      <c r="M10" s="262">
        <v>30</v>
      </c>
      <c r="N10" s="261">
        <f t="shared" ref="N10:N27" si="3">M10-O10</f>
        <v>6</v>
      </c>
      <c r="O10" s="221">
        <f>'خطة الإمداد'!G35</f>
        <v>24</v>
      </c>
      <c r="P10" s="261">
        <v>5</v>
      </c>
      <c r="Q10" s="203">
        <f>N10/P10</f>
        <v>1.2</v>
      </c>
      <c r="R10" s="262">
        <v>180</v>
      </c>
      <c r="S10" s="221">
        <f t="shared" ref="S10:S27" si="4">R10-T10</f>
        <v>162</v>
      </c>
      <c r="T10" s="261">
        <f>'خطة الإمداد'!H35</f>
        <v>18</v>
      </c>
      <c r="U10" s="261">
        <v>3</v>
      </c>
      <c r="V10" s="203">
        <f>S10/U10</f>
        <v>54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-13</v>
      </c>
      <c r="J11" s="221">
        <f>'خطة الإمداد'!F36</f>
        <v>73</v>
      </c>
      <c r="K11" s="261">
        <v>34</v>
      </c>
      <c r="L11" s="203">
        <f t="shared" si="2"/>
        <v>-0.38235294117647056</v>
      </c>
      <c r="M11" s="262">
        <v>30</v>
      </c>
      <c r="N11" s="261">
        <f t="shared" si="3"/>
        <v>3</v>
      </c>
      <c r="O11" s="221">
        <f>'خطة الإمداد'!G36</f>
        <v>27</v>
      </c>
      <c r="P11" s="261">
        <v>8</v>
      </c>
      <c r="Q11" s="203">
        <f>N11/P11</f>
        <v>0.375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14</v>
      </c>
      <c r="E12" s="261">
        <f>'خطة الإمداد'!E37</f>
        <v>16</v>
      </c>
      <c r="F12" s="261">
        <v>4</v>
      </c>
      <c r="G12" s="204">
        <f>D12/F12</f>
        <v>3.5</v>
      </c>
      <c r="H12" s="262">
        <v>90</v>
      </c>
      <c r="I12" s="261">
        <f t="shared" si="1"/>
        <v>48</v>
      </c>
      <c r="J12" s="221">
        <f>'خطة الإمداد'!F37</f>
        <v>42</v>
      </c>
      <c r="K12" s="261">
        <v>19</v>
      </c>
      <c r="L12" s="203">
        <f t="shared" si="2"/>
        <v>2.5263157894736841</v>
      </c>
      <c r="M12" s="263"/>
      <c r="N12" s="263"/>
      <c r="O12" s="263"/>
      <c r="P12" s="263"/>
      <c r="Q12" s="205"/>
      <c r="R12" s="262">
        <v>180</v>
      </c>
      <c r="S12" s="221">
        <f t="shared" si="4"/>
        <v>156</v>
      </c>
      <c r="T12" s="261">
        <f>'خطة الإمداد'!H37</f>
        <v>24</v>
      </c>
      <c r="U12" s="261">
        <v>8</v>
      </c>
      <c r="V12" s="203">
        <f>S12/U12</f>
        <v>19.5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11</v>
      </c>
      <c r="E13" s="261">
        <f>'خطة الإمداد'!E38</f>
        <v>19</v>
      </c>
      <c r="F13" s="261">
        <v>4</v>
      </c>
      <c r="G13" s="204">
        <f>D13/F13</f>
        <v>2.75</v>
      </c>
      <c r="H13" s="262">
        <v>90</v>
      </c>
      <c r="I13" s="261">
        <f t="shared" si="1"/>
        <v>33</v>
      </c>
      <c r="J13" s="221">
        <f>'خطة الإمداد'!F38</f>
        <v>57</v>
      </c>
      <c r="K13" s="261">
        <v>16</v>
      </c>
      <c r="L13" s="203">
        <f t="shared" si="2"/>
        <v>2.0625</v>
      </c>
      <c r="M13" s="263"/>
      <c r="N13" s="263"/>
      <c r="O13" s="263"/>
      <c r="P13" s="263"/>
      <c r="Q13" s="205"/>
      <c r="R13" s="262">
        <v>180</v>
      </c>
      <c r="S13" s="221">
        <f t="shared" si="4"/>
        <v>115</v>
      </c>
      <c r="T13" s="261">
        <f>'خطة الإمداد'!H38</f>
        <v>65</v>
      </c>
      <c r="U13" s="261">
        <v>19</v>
      </c>
      <c r="V13" s="203">
        <f>S13/U13</f>
        <v>6.0526315789473681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123</v>
      </c>
      <c r="J14" s="221">
        <f>'خطة الإمداد'!F39</f>
        <v>57</v>
      </c>
      <c r="K14" s="261">
        <v>39</v>
      </c>
      <c r="L14" s="203">
        <f t="shared" si="2"/>
        <v>3.1538461538461537</v>
      </c>
      <c r="M14" s="262">
        <v>60</v>
      </c>
      <c r="N14" s="261">
        <f t="shared" si="3"/>
        <v>35</v>
      </c>
      <c r="O14" s="221">
        <f>'خطة الإمداد'!G39</f>
        <v>25</v>
      </c>
      <c r="P14" s="261">
        <v>7</v>
      </c>
      <c r="Q14" s="203">
        <f t="shared" ref="Q14:Q21" si="5">N14/P14</f>
        <v>5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90</v>
      </c>
      <c r="J15" s="221">
        <f>'خطة الإمداد'!F40</f>
        <v>90</v>
      </c>
      <c r="K15" s="261">
        <v>36</v>
      </c>
      <c r="L15" s="203">
        <f t="shared" si="2"/>
        <v>2.5</v>
      </c>
      <c r="M15" s="262">
        <v>45</v>
      </c>
      <c r="N15" s="261">
        <f t="shared" si="3"/>
        <v>13</v>
      </c>
      <c r="O15" s="221">
        <f>'خطة الإمداد'!G40</f>
        <v>32</v>
      </c>
      <c r="P15" s="261">
        <v>8</v>
      </c>
      <c r="Q15" s="203">
        <f t="shared" si="5"/>
        <v>1.625</v>
      </c>
      <c r="R15" s="262">
        <v>120</v>
      </c>
      <c r="S15" s="221">
        <f t="shared" si="4"/>
        <v>41</v>
      </c>
      <c r="T15" s="261">
        <f>'خطة الإمداد'!H40</f>
        <v>79</v>
      </c>
      <c r="U15" s="261">
        <v>26</v>
      </c>
      <c r="V15" s="203">
        <f>S15/U15</f>
        <v>1.5769230769230769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61</v>
      </c>
      <c r="J16" s="221">
        <f>'خطة الإمداد'!F41</f>
        <v>29</v>
      </c>
      <c r="K16" s="261">
        <v>6</v>
      </c>
      <c r="L16" s="203">
        <f t="shared" si="2"/>
        <v>10.166666666666666</v>
      </c>
      <c r="M16" s="262">
        <v>30</v>
      </c>
      <c r="N16" s="261">
        <f t="shared" si="3"/>
        <v>19</v>
      </c>
      <c r="O16" s="221">
        <f>'خطة الإمداد'!G41</f>
        <v>11</v>
      </c>
      <c r="P16" s="261">
        <v>2</v>
      </c>
      <c r="Q16" s="203">
        <f t="shared" si="5"/>
        <v>9.5</v>
      </c>
      <c r="R16" s="262">
        <v>180</v>
      </c>
      <c r="S16" s="221">
        <f t="shared" si="4"/>
        <v>134</v>
      </c>
      <c r="T16" s="261">
        <f>'خطة الإمداد'!H41</f>
        <v>46</v>
      </c>
      <c r="U16" s="261">
        <v>56</v>
      </c>
      <c r="V16" s="203">
        <f>S16/U16</f>
        <v>2.3928571428571428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49</v>
      </c>
      <c r="J17" s="221">
        <f>'خطة الإمداد'!F42</f>
        <v>41</v>
      </c>
      <c r="K17" s="261">
        <v>5</v>
      </c>
      <c r="L17" s="203">
        <f t="shared" si="2"/>
        <v>9.8000000000000007</v>
      </c>
      <c r="M17" s="262">
        <v>30</v>
      </c>
      <c r="N17" s="261">
        <f t="shared" si="3"/>
        <v>14</v>
      </c>
      <c r="O17" s="221">
        <f>'خطة الإمداد'!G42</f>
        <v>16</v>
      </c>
      <c r="P17" s="261">
        <v>1</v>
      </c>
      <c r="Q17" s="203">
        <f t="shared" si="5"/>
        <v>14</v>
      </c>
      <c r="R17" s="262">
        <v>60</v>
      </c>
      <c r="S17" s="194">
        <f t="shared" si="4"/>
        <v>46</v>
      </c>
      <c r="T17" s="261">
        <f>'خطة الإمداد'!H42</f>
        <v>14</v>
      </c>
      <c r="U17" s="261">
        <v>2</v>
      </c>
      <c r="V17" s="261">
        <f>S17/U17</f>
        <v>23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38</v>
      </c>
      <c r="J18" s="221">
        <f>'خطة الإمداد'!F43</f>
        <v>22</v>
      </c>
      <c r="K18" s="261">
        <v>2</v>
      </c>
      <c r="L18" s="203">
        <f t="shared" si="2"/>
        <v>19</v>
      </c>
      <c r="M18" s="262">
        <v>30</v>
      </c>
      <c r="N18" s="261">
        <f t="shared" si="3"/>
        <v>13</v>
      </c>
      <c r="O18" s="221">
        <f>'خطة الإمداد'!G43</f>
        <v>17</v>
      </c>
      <c r="P18" s="261">
        <v>5</v>
      </c>
      <c r="Q18" s="203">
        <f t="shared" si="5"/>
        <v>2.6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73</v>
      </c>
      <c r="J19" s="221">
        <f>'خطة الإمداد'!F44</f>
        <v>17</v>
      </c>
      <c r="K19" s="261">
        <v>6</v>
      </c>
      <c r="L19" s="203">
        <f t="shared" si="2"/>
        <v>12.166666666666666</v>
      </c>
      <c r="M19" s="262">
        <v>30</v>
      </c>
      <c r="N19" s="261">
        <f t="shared" si="3"/>
        <v>14</v>
      </c>
      <c r="O19" s="221">
        <f>'خطة الإمداد'!G44</f>
        <v>16</v>
      </c>
      <c r="P19" s="261">
        <v>2</v>
      </c>
      <c r="Q19" s="203">
        <f t="shared" si="5"/>
        <v>7</v>
      </c>
      <c r="R19" s="262">
        <v>180</v>
      </c>
      <c r="S19" s="221">
        <f t="shared" si="4"/>
        <v>141</v>
      </c>
      <c r="T19" s="261">
        <f>'خطة الإمداد'!H44</f>
        <v>39</v>
      </c>
      <c r="U19" s="261">
        <v>16</v>
      </c>
      <c r="V19" s="203">
        <f>S19/U19</f>
        <v>8.8125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43</v>
      </c>
      <c r="J20" s="221">
        <f>'خطة الإمداد'!F45</f>
        <v>47</v>
      </c>
      <c r="K20" s="261">
        <v>7</v>
      </c>
      <c r="L20" s="203">
        <f t="shared" si="2"/>
        <v>6.1428571428571432</v>
      </c>
      <c r="M20" s="262">
        <v>30</v>
      </c>
      <c r="N20" s="261">
        <f t="shared" si="3"/>
        <v>2</v>
      </c>
      <c r="O20" s="221">
        <f>'خطة الإمداد'!G45</f>
        <v>28</v>
      </c>
      <c r="P20" s="261">
        <v>1</v>
      </c>
      <c r="Q20" s="203">
        <f t="shared" si="5"/>
        <v>2</v>
      </c>
      <c r="R20" s="262">
        <v>180</v>
      </c>
      <c r="S20" s="221">
        <f t="shared" si="4"/>
        <v>138</v>
      </c>
      <c r="T20" s="261">
        <f>'خطة الإمداد'!H45</f>
        <v>42</v>
      </c>
      <c r="U20" s="261">
        <v>18</v>
      </c>
      <c r="V20" s="203">
        <f>S20/U20</f>
        <v>7.666666666666667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72</v>
      </c>
      <c r="J21" s="221">
        <f>'خطة الإمداد'!F46</f>
        <v>18</v>
      </c>
      <c r="K21" s="261">
        <v>5</v>
      </c>
      <c r="L21" s="203">
        <f t="shared" si="2"/>
        <v>14.4</v>
      </c>
      <c r="M21" s="262">
        <v>30</v>
      </c>
      <c r="N21" s="261">
        <f t="shared" si="3"/>
        <v>16</v>
      </c>
      <c r="O21" s="221">
        <f>'خطة الإمداد'!G46</f>
        <v>14</v>
      </c>
      <c r="P21" s="261">
        <v>1</v>
      </c>
      <c r="Q21" s="203">
        <f t="shared" si="5"/>
        <v>16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12.399999999999999</v>
      </c>
      <c r="E22" s="194">
        <f>'خطة الإمداد'!E47</f>
        <v>17.600000000000001</v>
      </c>
      <c r="F22" s="194">
        <v>0.2</v>
      </c>
      <c r="G22" s="194">
        <f>D22/F22</f>
        <v>61.999999999999993</v>
      </c>
      <c r="H22" s="262">
        <v>60</v>
      </c>
      <c r="I22" s="261">
        <f t="shared" si="1"/>
        <v>50</v>
      </c>
      <c r="J22" s="221">
        <f>'خطة الإمداد'!F47</f>
        <v>10</v>
      </c>
      <c r="K22" s="261">
        <v>1</v>
      </c>
      <c r="L22" s="203">
        <f t="shared" ref="L22:L27" si="6">I22/K22</f>
        <v>50</v>
      </c>
      <c r="M22" s="263"/>
      <c r="N22" s="263"/>
      <c r="O22" s="263"/>
      <c r="P22" s="263"/>
      <c r="Q22" s="205"/>
      <c r="R22" s="262">
        <v>120</v>
      </c>
      <c r="S22" s="221">
        <f t="shared" si="4"/>
        <v>91</v>
      </c>
      <c r="T22" s="261">
        <f>'خطة الإمداد'!H47</f>
        <v>29</v>
      </c>
      <c r="U22" s="261">
        <v>14</v>
      </c>
      <c r="V22" s="203">
        <f t="shared" ref="V22:V27" si="7">S22/U22</f>
        <v>6.5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48</v>
      </c>
      <c r="J23" s="221">
        <f>'خطة الإمداد'!F48</f>
        <v>12</v>
      </c>
      <c r="K23" s="261">
        <v>1</v>
      </c>
      <c r="L23" s="203">
        <f t="shared" si="6"/>
        <v>48</v>
      </c>
      <c r="M23" s="263"/>
      <c r="N23" s="263"/>
      <c r="O23" s="263"/>
      <c r="P23" s="263"/>
      <c r="Q23" s="205"/>
      <c r="R23" s="262">
        <v>120</v>
      </c>
      <c r="S23" s="221">
        <f t="shared" si="4"/>
        <v>87</v>
      </c>
      <c r="T23" s="261">
        <f>'خطة الإمداد'!H48</f>
        <v>33</v>
      </c>
      <c r="U23" s="261">
        <v>7</v>
      </c>
      <c r="V23" s="203">
        <f t="shared" si="7"/>
        <v>12.428571428571429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47</v>
      </c>
      <c r="J24" s="221">
        <f>'خطة الإمداد'!F49</f>
        <v>43</v>
      </c>
      <c r="K24" s="261">
        <v>11</v>
      </c>
      <c r="L24" s="203">
        <f t="shared" si="6"/>
        <v>4.2727272727272725</v>
      </c>
      <c r="M24" s="262">
        <v>30</v>
      </c>
      <c r="N24" s="261">
        <f t="shared" si="3"/>
        <v>15</v>
      </c>
      <c r="O24" s="221">
        <f>'خطة الإمداد'!G49</f>
        <v>15</v>
      </c>
      <c r="P24" s="261">
        <v>1</v>
      </c>
      <c r="Q24" s="203">
        <f>N24/P24</f>
        <v>15</v>
      </c>
      <c r="R24" s="262">
        <v>180</v>
      </c>
      <c r="S24" s="221">
        <f t="shared" si="4"/>
        <v>83</v>
      </c>
      <c r="T24" s="261">
        <f>'خطة الإمداد'!H49</f>
        <v>97</v>
      </c>
      <c r="U24" s="261">
        <v>42</v>
      </c>
      <c r="V24" s="203">
        <f t="shared" si="7"/>
        <v>1.9761904761904763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38</v>
      </c>
      <c r="J25" s="221">
        <f>'خطة الإمداد'!F50</f>
        <v>52</v>
      </c>
      <c r="K25" s="261">
        <v>14</v>
      </c>
      <c r="L25" s="203">
        <f t="shared" si="6"/>
        <v>2.7142857142857144</v>
      </c>
      <c r="M25" s="262">
        <v>30</v>
      </c>
      <c r="N25" s="261">
        <f t="shared" si="3"/>
        <v>19</v>
      </c>
      <c r="O25" s="221">
        <f>'خطة الإمداد'!G50</f>
        <v>11</v>
      </c>
      <c r="P25" s="261">
        <v>2</v>
      </c>
      <c r="Q25" s="203">
        <f>N25/P25</f>
        <v>9.5</v>
      </c>
      <c r="R25" s="262">
        <v>180</v>
      </c>
      <c r="S25" s="221">
        <f t="shared" si="4"/>
        <v>72</v>
      </c>
      <c r="T25" s="261">
        <f>'خطة الإمداد'!H50</f>
        <v>108</v>
      </c>
      <c r="U25" s="261">
        <v>35</v>
      </c>
      <c r="V25" s="203">
        <f t="shared" si="7"/>
        <v>2.0571428571428569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58</v>
      </c>
      <c r="J26" s="221">
        <f>'خطة الإمداد'!F51</f>
        <v>32</v>
      </c>
      <c r="K26" s="261">
        <v>6</v>
      </c>
      <c r="L26" s="203">
        <f t="shared" si="6"/>
        <v>9.6666666666666661</v>
      </c>
      <c r="M26" s="262">
        <v>30</v>
      </c>
      <c r="N26" s="261">
        <f t="shared" si="3"/>
        <v>24</v>
      </c>
      <c r="O26" s="221">
        <f>'خطة الإمداد'!G51</f>
        <v>6</v>
      </c>
      <c r="P26" s="261">
        <v>1</v>
      </c>
      <c r="Q26" s="203">
        <f>N26/P26</f>
        <v>24</v>
      </c>
      <c r="R26" s="262">
        <v>180</v>
      </c>
      <c r="S26" s="221">
        <f t="shared" si="4"/>
        <v>118</v>
      </c>
      <c r="T26" s="261">
        <f>'خطة الإمداد'!H51</f>
        <v>62</v>
      </c>
      <c r="U26" s="261">
        <v>21</v>
      </c>
      <c r="V26" s="203">
        <f t="shared" si="7"/>
        <v>5.6190476190476186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48</v>
      </c>
      <c r="J27" s="221">
        <f>'خطة الإمداد'!F52</f>
        <v>42</v>
      </c>
      <c r="K27" s="261">
        <v>7</v>
      </c>
      <c r="L27" s="203">
        <f t="shared" si="6"/>
        <v>6.8571428571428568</v>
      </c>
      <c r="M27" s="262">
        <v>30</v>
      </c>
      <c r="N27" s="261">
        <f t="shared" si="3"/>
        <v>15</v>
      </c>
      <c r="O27" s="221">
        <f>'خطة الإمداد'!G52</f>
        <v>15</v>
      </c>
      <c r="P27" s="261">
        <v>1</v>
      </c>
      <c r="Q27" s="203">
        <f>N27/P27</f>
        <v>15</v>
      </c>
      <c r="R27" s="262">
        <v>180</v>
      </c>
      <c r="S27" s="221">
        <f t="shared" si="4"/>
        <v>137</v>
      </c>
      <c r="T27" s="261">
        <f>'خطة الإمداد'!H52</f>
        <v>43</v>
      </c>
      <c r="U27" s="261">
        <v>22</v>
      </c>
      <c r="V27" s="203">
        <f t="shared" si="7"/>
        <v>6.2272727272727275</v>
      </c>
    </row>
    <row r="28" spans="1:23" ht="24.75" customHeight="1" thickBot="1" x14ac:dyDescent="0.25">
      <c r="A28" s="404" t="s">
        <v>34</v>
      </c>
      <c r="B28" s="404"/>
      <c r="C28" s="206">
        <f>SUM(C8:C27)</f>
        <v>150</v>
      </c>
      <c r="D28" s="206">
        <f>SUM(D8:D27)</f>
        <v>77.400000000000006</v>
      </c>
      <c r="E28" s="206">
        <f t="shared" ref="E28:V28" si="8">SUM(E8:E27)</f>
        <v>72.599999999999994</v>
      </c>
      <c r="F28" s="206">
        <f t="shared" si="8"/>
        <v>21.2</v>
      </c>
      <c r="G28" s="206">
        <f t="shared" si="8"/>
        <v>74.083333333333329</v>
      </c>
      <c r="H28" s="262">
        <f t="shared" si="8"/>
        <v>1740</v>
      </c>
      <c r="I28" s="206">
        <f t="shared" si="8"/>
        <v>941</v>
      </c>
      <c r="J28" s="206">
        <f t="shared" si="8"/>
        <v>799</v>
      </c>
      <c r="K28" s="206">
        <f t="shared" si="8"/>
        <v>255</v>
      </c>
      <c r="L28" s="207">
        <f t="shared" si="8"/>
        <v>204.81423928238945</v>
      </c>
      <c r="M28" s="262">
        <f t="shared" si="8"/>
        <v>495</v>
      </c>
      <c r="N28" s="206">
        <f t="shared" si="8"/>
        <v>207</v>
      </c>
      <c r="O28" s="206">
        <f t="shared" si="8"/>
        <v>288</v>
      </c>
      <c r="P28" s="206">
        <f t="shared" si="8"/>
        <v>50</v>
      </c>
      <c r="Q28" s="207">
        <f t="shared" si="8"/>
        <v>122.6</v>
      </c>
      <c r="R28" s="262">
        <f t="shared" si="8"/>
        <v>2220</v>
      </c>
      <c r="S28" s="206">
        <f t="shared" si="8"/>
        <v>1521</v>
      </c>
      <c r="T28" s="206">
        <f t="shared" si="8"/>
        <v>699</v>
      </c>
      <c r="U28" s="206">
        <f t="shared" si="8"/>
        <v>289</v>
      </c>
      <c r="V28" s="207">
        <f t="shared" si="8"/>
        <v>157.80980357361935</v>
      </c>
    </row>
    <row r="29" spans="1:23" ht="20.100000000000001" customHeight="1" thickBot="1" x14ac:dyDescent="0.25">
      <c r="A29" s="391" t="s">
        <v>35</v>
      </c>
      <c r="B29" s="391"/>
      <c r="C29" s="395">
        <f>C28+H28+M28+R28</f>
        <v>4605</v>
      </c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7"/>
    </row>
    <row r="30" spans="1:23" ht="20.100000000000001" customHeight="1" thickBot="1" x14ac:dyDescent="0.25">
      <c r="A30" s="391" t="s">
        <v>36</v>
      </c>
      <c r="B30" s="391"/>
      <c r="C30" s="395">
        <f>D28+I28+N28+S28</f>
        <v>2746.4</v>
      </c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7"/>
    </row>
    <row r="31" spans="1:23" ht="20.100000000000001" customHeight="1" thickBot="1" x14ac:dyDescent="0.25">
      <c r="A31" s="391" t="s">
        <v>37</v>
      </c>
      <c r="B31" s="391"/>
      <c r="C31" s="395">
        <f>E28+J28+O28+T28</f>
        <v>1858.6</v>
      </c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7"/>
    </row>
    <row r="32" spans="1:23" ht="20.100000000000001" customHeight="1" thickBot="1" x14ac:dyDescent="0.25">
      <c r="A32" s="391" t="s">
        <v>38</v>
      </c>
      <c r="B32" s="391"/>
      <c r="C32" s="398">
        <f>C30/C29</f>
        <v>0.59639522258414768</v>
      </c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400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4" t="s">
        <v>94</v>
      </c>
      <c r="R5" s="414"/>
      <c r="S5" s="414"/>
      <c r="T5" s="414"/>
      <c r="U5" s="414"/>
    </row>
    <row r="6" spans="1:21" ht="15.75" customHeight="1" thickBot="1" x14ac:dyDescent="0.25">
      <c r="A6" s="507" t="s">
        <v>3</v>
      </c>
      <c r="B6" s="546">
        <v>80</v>
      </c>
      <c r="C6" s="547"/>
      <c r="D6" s="546">
        <v>92</v>
      </c>
      <c r="E6" s="547"/>
      <c r="F6" s="546">
        <v>95</v>
      </c>
      <c r="G6" s="547"/>
      <c r="H6" s="546" t="s">
        <v>50</v>
      </c>
      <c r="I6" s="547"/>
      <c r="K6" s="507" t="s">
        <v>3</v>
      </c>
      <c r="L6" s="73">
        <v>80</v>
      </c>
      <c r="M6" s="73">
        <v>92</v>
      </c>
      <c r="N6" s="73">
        <v>95</v>
      </c>
      <c r="O6" s="73" t="s">
        <v>50</v>
      </c>
      <c r="Q6" s="548" t="s">
        <v>3</v>
      </c>
      <c r="R6" s="549" t="s">
        <v>95</v>
      </c>
      <c r="S6" s="549" t="s">
        <v>96</v>
      </c>
      <c r="T6" s="549" t="s">
        <v>97</v>
      </c>
      <c r="U6" s="551" t="s">
        <v>98</v>
      </c>
    </row>
    <row r="7" spans="1:21" ht="15.75" thickBot="1" x14ac:dyDescent="0.25">
      <c r="A7" s="509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9"/>
      <c r="L7" s="74" t="s">
        <v>7</v>
      </c>
      <c r="M7" s="74" t="s">
        <v>7</v>
      </c>
      <c r="N7" s="74" t="s">
        <v>7</v>
      </c>
      <c r="O7" s="74" t="s">
        <v>7</v>
      </c>
      <c r="Q7" s="548"/>
      <c r="R7" s="550"/>
      <c r="S7" s="550"/>
      <c r="T7" s="550"/>
      <c r="U7" s="551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45</v>
      </c>
      <c r="E8" s="10">
        <f>'التمام الصباحي'!N8</f>
        <v>1.8</v>
      </c>
      <c r="F8" s="72">
        <f>'التمام الصباحي'!Q8</f>
        <v>23</v>
      </c>
      <c r="G8" s="10">
        <f>'التمام الصباحي'!T8</f>
        <v>0.875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1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15</v>
      </c>
      <c r="C9" s="9">
        <f>'التمام الصباحي'!H11</f>
        <v>3</v>
      </c>
      <c r="D9" s="72">
        <f>'التمام الصباحي'!K11</f>
        <v>20</v>
      </c>
      <c r="E9" s="10">
        <f>'التمام الصباحي'!N11</f>
        <v>1.6</v>
      </c>
      <c r="F9" s="72">
        <f>'التمام الصباحي'!Q11</f>
        <v>16</v>
      </c>
      <c r="G9" s="10">
        <f>'التمام الصباحي'!T11</f>
        <v>1.75</v>
      </c>
      <c r="H9" s="5">
        <f>'التمام الصباحي'!W11</f>
        <v>12</v>
      </c>
      <c r="I9" s="10">
        <f>'التمام الصباحي'!Z11</f>
        <v>28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4">
        <f>IF((ROUNDDOWN((SUM(M9:M10)/51)-(R9+R10),0.9))&lt;0,0,(ROUNDDOWN((SUM(M9:M10)/51)-(R9+R10),0.9)))</f>
        <v>0</v>
      </c>
      <c r="T9" s="544">
        <f>IF((ROUNDDOWN((SUM(O9:O10)/51)-(R9+R10),0.9))&lt;0,0,(ROUNDDOWN((SUM(O9:O10)/51)-(R9+R10),0.9)))</f>
        <v>0</v>
      </c>
      <c r="U9" s="544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31</v>
      </c>
      <c r="E10" s="10">
        <f>'التمام الصباحي'!N12</f>
        <v>1.4047619047619047</v>
      </c>
      <c r="F10" s="72">
        <f>'التمام الصباحي'!Q12</f>
        <v>15</v>
      </c>
      <c r="G10" s="10">
        <f>'التمام الصباحي'!T12</f>
        <v>1.25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5"/>
      <c r="T10" s="545"/>
      <c r="U10" s="545"/>
    </row>
    <row r="11" spans="1:21" ht="17.25" thickTop="1" thickBot="1" x14ac:dyDescent="0.3">
      <c r="A11" s="77" t="s">
        <v>18</v>
      </c>
      <c r="B11" s="5">
        <f>'التمام الصباحي'!E13</f>
        <v>12</v>
      </c>
      <c r="C11" s="9">
        <f>'التمام الصباحي'!H13</f>
        <v>4.5</v>
      </c>
      <c r="D11" s="72">
        <f>'التمام الصباحي'!K13</f>
        <v>15</v>
      </c>
      <c r="E11" s="10">
        <f>'التمام الصباحي'!N13</f>
        <v>2.7777777777777777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16</v>
      </c>
      <c r="I11" s="10">
        <f>'التمام الصباحي'!Z13</f>
        <v>20.5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0">
        <f>IF((ROUNDDOWN((SUM(M11:M12)/51)-(R11+R12),0.9))&lt;0,0,(ROUNDDOWN((SUM(M11:M12)/51)-(R11+R12),0.9)))</f>
        <v>0</v>
      </c>
      <c r="T11" s="540">
        <f t="shared" ref="T11" si="5">IF((ROUNDDOWN((SUM(O11:O12)/51)-(R11+R12),0.9))&lt;0,0,(ROUNDDOWN((SUM(O11:O12)/51)-(R11+R12),0.9)))</f>
        <v>0</v>
      </c>
      <c r="U11" s="540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12</v>
      </c>
      <c r="C12" s="9">
        <f>'التمام الصباحي'!H14</f>
        <v>2.5714285714285716</v>
      </c>
      <c r="D12" s="72">
        <f>'التمام الصباحي'!K14</f>
        <v>35</v>
      </c>
      <c r="E12" s="10">
        <f>'التمام الصباحي'!N14</f>
        <v>2.5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45</v>
      </c>
      <c r="I12" s="10">
        <f>'التمام الصباحي'!Z14</f>
        <v>6.75</v>
      </c>
      <c r="K12" s="79" t="s">
        <v>19</v>
      </c>
      <c r="L12" s="41">
        <f t="shared" si="3"/>
        <v>0</v>
      </c>
      <c r="M12" s="41">
        <f t="shared" si="1"/>
        <v>34</v>
      </c>
      <c r="N12" s="80"/>
      <c r="O12" s="41">
        <f t="shared" si="4"/>
        <v>34</v>
      </c>
      <c r="P12" s="81"/>
      <c r="Q12" s="94" t="s">
        <v>19</v>
      </c>
      <c r="R12" s="95">
        <f t="shared" si="0"/>
        <v>1</v>
      </c>
      <c r="S12" s="540"/>
      <c r="T12" s="540"/>
      <c r="U12" s="540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5</v>
      </c>
      <c r="E13" s="10">
        <f>'التمام الصباحي'!N15</f>
        <v>3.3653846153846154</v>
      </c>
      <c r="F13" s="72">
        <f>'التمام الصباحي'!Q15</f>
        <v>10</v>
      </c>
      <c r="G13" s="10">
        <f>'التمام الصباحي'!T15</f>
        <v>3.3333333333333335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4">
        <f>IF((ROUNDDOWN((SUM(M13:M14)/51)-(R13+R14),0.9))&lt;0,0,(ROUNDDOWN((SUM(M13:M14)/51)-(R13+R14),0.9)))</f>
        <v>0</v>
      </c>
      <c r="T13" s="544">
        <f t="shared" ref="T13" si="7">IF((ROUNDDOWN((SUM(O13:O14)/51)-(R13+R14),0.9))&lt;0,0,(ROUNDDOWN((SUM(O13:O14)/51)-(R13+R14),0.9)))</f>
        <v>0</v>
      </c>
      <c r="U13" s="544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55</v>
      </c>
      <c r="E14" s="10">
        <f>'التمام الصباحي'!N16</f>
        <v>3.5714285714285716</v>
      </c>
      <c r="F14" s="72">
        <f>'التمام الصباحي'!Q16</f>
        <v>21</v>
      </c>
      <c r="G14" s="10">
        <f>'التمام الصباحي'!T16</f>
        <v>2.1818181818181817</v>
      </c>
      <c r="H14" s="5">
        <f>'التمام الصباحي'!W16</f>
        <v>54</v>
      </c>
      <c r="I14" s="10">
        <f>'التمام الصباحي'!Z16</f>
        <v>2.64</v>
      </c>
      <c r="K14" s="88" t="s">
        <v>21</v>
      </c>
      <c r="L14" s="80"/>
      <c r="M14" s="41">
        <f t="shared" si="1"/>
        <v>51</v>
      </c>
      <c r="N14" s="41">
        <f t="shared" si="2"/>
        <v>17</v>
      </c>
      <c r="O14" s="41">
        <f t="shared" si="4"/>
        <v>51</v>
      </c>
      <c r="P14" s="81"/>
      <c r="Q14" s="89" t="s">
        <v>21</v>
      </c>
      <c r="R14" s="90">
        <f t="shared" si="0"/>
        <v>2</v>
      </c>
      <c r="S14" s="545"/>
      <c r="T14" s="545"/>
      <c r="U14" s="545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17</v>
      </c>
      <c r="E15" s="10">
        <f>'التمام الصباحي'!N17</f>
        <v>6.083333333333333</v>
      </c>
      <c r="F15" s="72">
        <f>'التمام الصباحي'!Q17</f>
        <v>5</v>
      </c>
      <c r="G15" s="10">
        <f>'التمام الصباحي'!T17</f>
        <v>4.166666666666667</v>
      </c>
      <c r="H15" s="5">
        <f>'التمام الصباحي'!W17</f>
        <v>15</v>
      </c>
      <c r="I15" s="10">
        <f>'التمام الصباحي'!Z17</f>
        <v>5.32258064516129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0</v>
      </c>
      <c r="P15" s="81"/>
      <c r="Q15" s="97" t="s">
        <v>22</v>
      </c>
      <c r="R15" s="98">
        <f t="shared" si="0"/>
        <v>0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29</v>
      </c>
      <c r="E16" s="10">
        <f>'التمام الصباحي'!N18</f>
        <v>5.083333333333333</v>
      </c>
      <c r="F16" s="72">
        <f>'التمام الصباحي'!Q18</f>
        <v>12</v>
      </c>
      <c r="G16" s="10">
        <f>'التمام الصباحي'!T18</f>
        <v>4.5</v>
      </c>
      <c r="H16" s="5">
        <f>'التمام الصباحي'!W18</f>
        <v>9</v>
      </c>
      <c r="I16" s="10">
        <f>'التمام الصباحي'!Z18</f>
        <v>10.199999999999999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2">
        <f>IF((ROUNDDOWN((SUM(M16:M17)/51)-(R16+R17),0.9))&lt;0,0,(ROUNDDOWN((SUM(M16:M17)/51)-(R16+R17),0.9)))</f>
        <v>0</v>
      </c>
      <c r="T16" s="542">
        <f>IF((ROUNDDOWN((SUM(O16:O17)/51)-(R16+R17),0.9))&lt;0,0,(ROUNDDOWN((SUM(O16:O17)/51)-(R16+R17),0.9)))</f>
        <v>0</v>
      </c>
      <c r="U16" s="542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17</v>
      </c>
      <c r="E17" s="10">
        <f>'التمام الصباحي'!N19</f>
        <v>8.6</v>
      </c>
      <c r="F17" s="72">
        <f>'التمام الصباحي'!Q19</f>
        <v>15</v>
      </c>
      <c r="G17" s="10">
        <f>'التمام الصباحي'!T19</f>
        <v>7.5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3"/>
      <c r="T17" s="543"/>
      <c r="U17" s="543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13</v>
      </c>
      <c r="E18" s="10">
        <f>'التمام الصباحي'!N20</f>
        <v>19.25</v>
      </c>
      <c r="F18" s="72">
        <f>'التمام الصباحي'!Q20</f>
        <v>14</v>
      </c>
      <c r="G18" s="10">
        <f>'التمام الصباحي'!T20</f>
        <v>8</v>
      </c>
      <c r="H18" s="5">
        <f>'التمام الصباحي'!W20</f>
        <v>32</v>
      </c>
      <c r="I18" s="10">
        <f>'التمام الصباحي'!Z20</f>
        <v>21.142857142857142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13</v>
      </c>
      <c r="E19" s="10">
        <f>'التمام الصباحي'!N21</f>
        <v>2.2647058823529411</v>
      </c>
      <c r="F19" s="72">
        <f>'التمام الصباحي'!Q21</f>
        <v>15</v>
      </c>
      <c r="G19" s="10">
        <f>'التمام الصباحي'!T21</f>
        <v>1.1538461538461537</v>
      </c>
      <c r="H19" s="5">
        <f>'التمام الصباحي'!W21</f>
        <v>20</v>
      </c>
      <c r="I19" s="10">
        <f>'التمام الصباحي'!Z21</f>
        <v>7.2727272727272725</v>
      </c>
      <c r="K19" s="85" t="s">
        <v>25</v>
      </c>
      <c r="L19" s="80"/>
      <c r="M19" s="41">
        <f t="shared" si="1"/>
        <v>0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4">
        <f>IF((ROUNDDOWN((SUM(M19:M20)/51)-(R19+R20),0.9))&lt;0,0,(ROUNDDOWN((SUM(M19:M20)/51)-(R19+R20),0.9)))</f>
        <v>0</v>
      </c>
      <c r="T19" s="544">
        <f>IF((ROUNDDOWN((SUM(O19:O20)/51)-(R19+R20),0.9))&lt;0,0,(ROUNDDOWN((SUM(O19:O20)/51)-(R19+R20),0.9)))</f>
        <v>0</v>
      </c>
      <c r="U19" s="544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10</v>
      </c>
      <c r="E20" s="10">
        <f>'التمام الصباحي'!N22</f>
        <v>10</v>
      </c>
      <c r="F20" s="72">
        <f>'التمام الصباحي'!Q22</f>
        <v>12</v>
      </c>
      <c r="G20" s="10">
        <f>'التمام الصباحي'!T22</f>
        <v>9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5"/>
      <c r="T20" s="545"/>
      <c r="U20" s="545"/>
    </row>
    <row r="21" spans="1:21" ht="17.25" thickTop="1" thickBot="1" x14ac:dyDescent="0.3">
      <c r="A21" s="77" t="s">
        <v>28</v>
      </c>
      <c r="B21" s="5">
        <f>'التمام الصباحي'!E23</f>
        <v>17</v>
      </c>
      <c r="C21" s="9">
        <f>'التمام الصباحي'!H23</f>
        <v>21.666666666666668</v>
      </c>
      <c r="D21" s="72">
        <f>'التمام الصباحي'!K23</f>
        <v>7</v>
      </c>
      <c r="E21" s="10">
        <f>'التمام الصباحي'!N23</f>
        <v>17.666666666666668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22</v>
      </c>
      <c r="I21" s="10">
        <f>'التمام الصباحي'!Z23</f>
        <v>14</v>
      </c>
      <c r="K21" s="91" t="s">
        <v>28</v>
      </c>
      <c r="L21" s="41">
        <f t="shared" si="3"/>
        <v>17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0">
        <f>IF((ROUNDDOWN((SUM(M21:M22)/51)-(R21+R22),0.9))&lt;0,0,(ROUNDDOWN((SUM(M21:M22)/51)-(R21+R22),0.9)))</f>
        <v>0</v>
      </c>
      <c r="T21" s="542">
        <f>IF((ROUNDDOWN((SUM(O21:O22)/51)-(R21+R22),0.9))&lt;0,0,(ROUNDDOWN((SUM(O21:O22)/51)-(R21+R22),0.9)))</f>
        <v>0</v>
      </c>
      <c r="U21" s="542">
        <f t="shared" ref="U21" si="9">IF((ROUNDDOWN((SUM(L21:O22)/51)-(R21+R22+S21+T21),0.9))&lt;0,0,ROUNDDOWN((SUM(L21:O22)/51)-(R21+R22+S21+T21),0.9))</f>
        <v>1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6</v>
      </c>
      <c r="E22" s="10">
        <f>'التمام الصباحي'!N24</f>
        <v>9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28</v>
      </c>
      <c r="I22" s="10">
        <f>'التمام الصباحي'!Z24</f>
        <v>18.399999999999999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0"/>
      <c r="T22" s="543"/>
      <c r="U22" s="543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28</v>
      </c>
      <c r="E23" s="10">
        <f>'التمام الصباحي'!N25</f>
        <v>4.1333333333333337</v>
      </c>
      <c r="F23" s="72">
        <f>'التمام الصباحي'!Q25</f>
        <v>12</v>
      </c>
      <c r="G23" s="10">
        <f>'التمام الصباحي'!T25</f>
        <v>6</v>
      </c>
      <c r="H23" s="5">
        <f>'التمام الصباحي'!W25</f>
        <v>54</v>
      </c>
      <c r="I23" s="10">
        <f>'التمام الصباحي'!Z25</f>
        <v>2.9302325581395348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544">
        <f>IF((ROUNDDOWN((SUM(M23:M24)/51)-(R23+R24),0.9))&lt;0,0,(ROUNDDOWN((SUM(M23:M24)/51)-(R23+R24),0.9)))</f>
        <v>0</v>
      </c>
      <c r="T23" s="544">
        <f>IF((ROUNDDOWN((SUM(O23:O24)/51)-(R23+R24),0.9))&lt;0,0,(ROUNDDOWN((SUM(O23:O24)/51)-(R23+R24),0.9)))</f>
        <v>0</v>
      </c>
      <c r="U23" s="544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35</v>
      </c>
      <c r="E24" s="10">
        <f>'التمام الصباحي'!N26</f>
        <v>3.2352941176470589</v>
      </c>
      <c r="F24" s="72">
        <f>'التمام الصباحي'!Q26</f>
        <v>7</v>
      </c>
      <c r="G24" s="10">
        <f>'التمام الصباحي'!T26</f>
        <v>5.75</v>
      </c>
      <c r="H24" s="5">
        <f>'التمام الصباحي'!W26</f>
        <v>68</v>
      </c>
      <c r="I24" s="10">
        <f>'التمام الصباحي'!Z26</f>
        <v>2.8</v>
      </c>
      <c r="K24" s="88" t="s">
        <v>31</v>
      </c>
      <c r="L24" s="80"/>
      <c r="M24" s="41">
        <f t="shared" si="1"/>
        <v>34</v>
      </c>
      <c r="N24" s="41">
        <f t="shared" si="2"/>
        <v>0</v>
      </c>
      <c r="O24" s="41">
        <f t="shared" si="4"/>
        <v>68</v>
      </c>
      <c r="P24" s="81"/>
      <c r="Q24" s="89" t="s">
        <v>31</v>
      </c>
      <c r="R24" s="90">
        <f t="shared" si="0"/>
        <v>2</v>
      </c>
      <c r="S24" s="545"/>
      <c r="T24" s="545"/>
      <c r="U24" s="545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20</v>
      </c>
      <c r="E25" s="10">
        <f>'التمام الصباحي'!N27</f>
        <v>5.833333333333333</v>
      </c>
      <c r="F25" s="72">
        <f>'التمام الصباحي'!Q27</f>
        <v>4</v>
      </c>
      <c r="G25" s="10">
        <f>'التمام الصباحي'!T27</f>
        <v>13</v>
      </c>
      <c r="H25" s="5">
        <f>'التمام الصباحي'!W27</f>
        <v>40</v>
      </c>
      <c r="I25" s="10">
        <f>'التمام الصباحي'!Z27</f>
        <v>6.3636363636363633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540">
        <f>IF((ROUNDDOWN((SUM(M25:M26)/51)-(R25+R26),0.9))&lt;0,0,(ROUNDDOWN((SUM(M25:M26)/51)-(R25+R26),0.9)))</f>
        <v>0</v>
      </c>
      <c r="T25" s="540">
        <f>IF((ROUNDDOWN((SUM(O25:O26)/51)-(R25+R26),0.9))&lt;0,0,(ROUNDDOWN((SUM(O25:O26)/51)-(R25+R26),0.9)))</f>
        <v>0</v>
      </c>
      <c r="U25" s="540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33</v>
      </c>
      <c r="E26" s="10">
        <f>'التمام الصباحي'!N28</f>
        <v>6.333333333333333</v>
      </c>
      <c r="F26" s="72">
        <f>'التمام الصباحي'!Q28</f>
        <v>13</v>
      </c>
      <c r="G26" s="10">
        <f>'التمام الصباحي'!T28</f>
        <v>8.5</v>
      </c>
      <c r="H26" s="5">
        <f>'التمام الصباحي'!W28</f>
        <v>24</v>
      </c>
      <c r="I26" s="10">
        <f>'التمام الصباحي'!Z28</f>
        <v>8.2105263157894743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1"/>
      <c r="T26" s="541"/>
      <c r="U26" s="541"/>
    </row>
    <row r="29" spans="1:21" ht="15.75" x14ac:dyDescent="0.2">
      <c r="K29" s="159" t="s">
        <v>117</v>
      </c>
      <c r="M29">
        <f>SUM(L8:O26)</f>
        <v>663</v>
      </c>
      <c r="U29" s="138">
        <f>SUM(R8:U26)</f>
        <v>9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4" t="s">
        <v>123</v>
      </c>
      <c r="C3" s="554"/>
      <c r="D3" s="554"/>
      <c r="F3" s="554" t="s">
        <v>124</v>
      </c>
      <c r="G3" s="554"/>
      <c r="H3" s="554"/>
      <c r="J3" s="432" t="s">
        <v>125</v>
      </c>
      <c r="K3" s="432"/>
      <c r="M3" s="432" t="s">
        <v>127</v>
      </c>
      <c r="N3" s="432"/>
      <c r="P3" s="432" t="s">
        <v>126</v>
      </c>
      <c r="Q3" s="432"/>
    </row>
    <row r="4" spans="2:20" ht="15.75" thickBot="1" x14ac:dyDescent="0.25">
      <c r="B4" s="507" t="s">
        <v>3</v>
      </c>
      <c r="C4" s="424" t="s">
        <v>84</v>
      </c>
      <c r="D4" s="424" t="s">
        <v>88</v>
      </c>
      <c r="F4" s="507" t="s">
        <v>3</v>
      </c>
      <c r="G4" s="424" t="s">
        <v>84</v>
      </c>
      <c r="H4" s="424" t="s">
        <v>88</v>
      </c>
      <c r="J4" s="507" t="s">
        <v>3</v>
      </c>
      <c r="K4" s="424" t="s">
        <v>85</v>
      </c>
      <c r="L4" s="566"/>
      <c r="M4" s="507" t="s">
        <v>3</v>
      </c>
      <c r="N4" s="424" t="s">
        <v>109</v>
      </c>
      <c r="P4" s="507" t="s">
        <v>3</v>
      </c>
      <c r="Q4" s="424" t="s">
        <v>90</v>
      </c>
    </row>
    <row r="5" spans="2:20" ht="15.75" thickBot="1" x14ac:dyDescent="0.25">
      <c r="B5" s="509"/>
      <c r="C5" s="424"/>
      <c r="D5" s="424"/>
      <c r="F5" s="509"/>
      <c r="G5" s="424"/>
      <c r="H5" s="424"/>
      <c r="J5" s="509"/>
      <c r="K5" s="424"/>
      <c r="L5" s="566"/>
      <c r="M5" s="509"/>
      <c r="N5" s="424"/>
      <c r="P5" s="509"/>
      <c r="Q5" s="424"/>
    </row>
    <row r="6" spans="2:20" ht="16.5" thickBot="1" x14ac:dyDescent="0.25">
      <c r="B6" s="165" t="s">
        <v>120</v>
      </c>
      <c r="C6" s="549">
        <f>IF(G20&gt;H20,$C$21*2*$K$21,IF(G20=H20,$C$21*2*$K$21,0))</f>
        <v>72</v>
      </c>
      <c r="D6" s="549">
        <f>IF(G20&gt;H20,$D$21*2*$L$21,IF(G20=H20,$D$21*2*$L$21,0))</f>
        <v>0</v>
      </c>
      <c r="F6" s="165" t="s">
        <v>120</v>
      </c>
      <c r="G6" s="549">
        <f>IF(H20&gt;G20,$C$21*2*$K$21,0)</f>
        <v>0</v>
      </c>
      <c r="H6" s="549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9">
        <f>C36*2*P25</f>
        <v>0</v>
      </c>
      <c r="P6" s="165" t="s">
        <v>30</v>
      </c>
      <c r="Q6" s="549">
        <f>C42*2*O28</f>
        <v>0</v>
      </c>
    </row>
    <row r="7" spans="2:20" ht="16.5" thickBot="1" x14ac:dyDescent="0.25">
      <c r="B7" s="165" t="s">
        <v>121</v>
      </c>
      <c r="C7" s="550"/>
      <c r="D7" s="550"/>
      <c r="F7" s="165" t="s">
        <v>121</v>
      </c>
      <c r="G7" s="550"/>
      <c r="H7" s="550"/>
      <c r="J7" s="165" t="s">
        <v>23</v>
      </c>
      <c r="K7" s="549">
        <f>C32*2*N23</f>
        <v>0</v>
      </c>
      <c r="M7" s="165" t="s">
        <v>27</v>
      </c>
      <c r="N7" s="550"/>
      <c r="P7" s="165" t="s">
        <v>31</v>
      </c>
      <c r="Q7" s="550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50"/>
      <c r="M8" s="165" t="s">
        <v>112</v>
      </c>
      <c r="N8" s="164"/>
      <c r="P8" s="165" t="s">
        <v>32</v>
      </c>
      <c r="Q8" s="549">
        <f>C44*2*O29</f>
        <v>0</v>
      </c>
    </row>
    <row r="9" spans="2:20" ht="16.5" thickBot="1" x14ac:dyDescent="0.25">
      <c r="B9" s="165" t="s">
        <v>16</v>
      </c>
      <c r="C9" s="549">
        <f>IF(G20&gt;H20,$C$24*2*$K$18,IF(G20=H20,$C$24*2*$K$18,0))</f>
        <v>0</v>
      </c>
      <c r="D9" s="549">
        <f>IF(G20&gt;H20,$D$24*2*$L$18,IF(G20=H20,$D$24*2*$L$18,0))</f>
        <v>70</v>
      </c>
      <c r="F9" s="165" t="s">
        <v>16</v>
      </c>
      <c r="G9" s="549">
        <f>IF(H20&gt;G20,$C$24*2*$K$18,0)</f>
        <v>0</v>
      </c>
      <c r="H9" s="549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9">
        <f>C39*2*P27</f>
        <v>0</v>
      </c>
      <c r="P9" s="165" t="s">
        <v>33</v>
      </c>
      <c r="Q9" s="550"/>
    </row>
    <row r="10" spans="2:20" ht="16.5" thickBot="1" x14ac:dyDescent="0.25">
      <c r="B10" s="165" t="s">
        <v>17</v>
      </c>
      <c r="C10" s="550"/>
      <c r="D10" s="550"/>
      <c r="F10" s="165" t="s">
        <v>17</v>
      </c>
      <c r="G10" s="550"/>
      <c r="H10" s="550"/>
      <c r="M10" s="165" t="s">
        <v>29</v>
      </c>
      <c r="N10" s="550"/>
    </row>
    <row r="11" spans="2:20" ht="16.5" thickBot="1" x14ac:dyDescent="0.25">
      <c r="B11" s="165" t="s">
        <v>18</v>
      </c>
      <c r="C11" s="549">
        <f>IF(G20&gt;H20,$C$26*2*$K$19,IF(G20=H20,$C$26*2*$K$19,0))</f>
        <v>128</v>
      </c>
      <c r="D11" s="549">
        <f>IF(G20&gt;H20,$D$26*2*$L$19,IF(G20=H20,$D$26*2*$L$19,0))</f>
        <v>0</v>
      </c>
      <c r="F11" s="165" t="s">
        <v>18</v>
      </c>
      <c r="G11" s="549">
        <f>IF(H20&gt;G20,$C$26*2*$K$19,0)</f>
        <v>0</v>
      </c>
      <c r="H11" s="549">
        <f>IF(H20&gt;G20,$D$26*2*$L$19,0)</f>
        <v>0</v>
      </c>
    </row>
    <row r="12" spans="2:20" ht="16.5" thickBot="1" x14ac:dyDescent="0.25">
      <c r="B12" s="165" t="s">
        <v>19</v>
      </c>
      <c r="C12" s="550"/>
      <c r="D12" s="550"/>
      <c r="F12" s="165" t="s">
        <v>19</v>
      </c>
      <c r="G12" s="550"/>
      <c r="H12" s="550"/>
      <c r="J12" s="555" t="s">
        <v>154</v>
      </c>
      <c r="K12" s="182">
        <f>K6+K7+K9</f>
        <v>0</v>
      </c>
      <c r="M12" s="555" t="s">
        <v>154</v>
      </c>
      <c r="N12" s="182">
        <f>SUM(N6:N10)</f>
        <v>0</v>
      </c>
      <c r="P12" s="555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9">
        <f>IF(G20&gt;H20,$C$28*2*$K$20,IF(G20=H20,$C$28*2*$K$20,0))</f>
        <v>234</v>
      </c>
      <c r="D13" s="549">
        <f>IF(G20&gt;H20,$D$28*2*$L$20,IF(G20=H20,$D$28*2*$L$20,0))</f>
        <v>0</v>
      </c>
      <c r="F13" s="165" t="s">
        <v>20</v>
      </c>
      <c r="G13" s="549">
        <f>IF(H20&gt;G20,$C$28*2*$K$20,0)</f>
        <v>0</v>
      </c>
      <c r="H13" s="549">
        <f>IF(H20&gt;G20,$D$28*2*$L$20,0)</f>
        <v>0</v>
      </c>
      <c r="J13" s="555"/>
      <c r="K13" s="182"/>
      <c r="M13" s="555"/>
      <c r="N13" s="182"/>
      <c r="P13" s="555"/>
      <c r="Q13" s="182"/>
    </row>
    <row r="14" spans="2:20" ht="16.5" thickBot="1" x14ac:dyDescent="0.25">
      <c r="B14" s="165" t="s">
        <v>21</v>
      </c>
      <c r="C14" s="550"/>
      <c r="D14" s="550"/>
      <c r="F14" s="165" t="s">
        <v>21</v>
      </c>
      <c r="G14" s="550"/>
      <c r="H14" s="550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504</v>
      </c>
      <c r="H16" s="166">
        <f>SUM(G6:H14)</f>
        <v>0</v>
      </c>
      <c r="J16" s="562" t="s">
        <v>130</v>
      </c>
      <c r="K16" s="556" t="s">
        <v>131</v>
      </c>
      <c r="L16" s="556"/>
      <c r="M16" s="556"/>
      <c r="N16" s="556" t="s">
        <v>85</v>
      </c>
      <c r="O16" s="556" t="s">
        <v>132</v>
      </c>
      <c r="P16" s="556" t="s">
        <v>86</v>
      </c>
      <c r="Q16" s="556" t="s">
        <v>119</v>
      </c>
      <c r="R16" s="552" t="s">
        <v>133</v>
      </c>
      <c r="S16" s="552" t="s">
        <v>134</v>
      </c>
      <c r="T16" s="552" t="s">
        <v>135</v>
      </c>
    </row>
    <row r="17" spans="2:20" ht="18" x14ac:dyDescent="0.2">
      <c r="B17" s="181"/>
      <c r="J17" s="563"/>
      <c r="K17" s="169" t="s">
        <v>136</v>
      </c>
      <c r="L17" s="169" t="s">
        <v>137</v>
      </c>
      <c r="M17" s="169" t="s">
        <v>138</v>
      </c>
      <c r="N17" s="557"/>
      <c r="O17" s="557"/>
      <c r="P17" s="557"/>
      <c r="Q17" s="557"/>
      <c r="R17" s="553"/>
      <c r="S17" s="553"/>
      <c r="T17" s="553"/>
    </row>
    <row r="18" spans="2:20" ht="16.5" thickBot="1" x14ac:dyDescent="0.25">
      <c r="B18" s="554" t="s">
        <v>129</v>
      </c>
      <c r="C18" s="554"/>
      <c r="D18" s="554"/>
      <c r="F18" s="554"/>
      <c r="G18" s="554"/>
      <c r="H18" s="554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7" t="s">
        <v>3</v>
      </c>
      <c r="C19" s="513" t="s">
        <v>84</v>
      </c>
      <c r="D19" s="513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9"/>
      <c r="C20" s="513"/>
      <c r="D20" s="513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9">
        <f>ROUNDDOWN(SUM(المستودعات!C5:F5)/51,0.9)</f>
        <v>1</v>
      </c>
      <c r="D21" s="549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50"/>
      <c r="D22" s="550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9">
        <f>ROUNDDOWN(SUM(المستودعات!C9:F10)/51,0.9)</f>
        <v>0</v>
      </c>
      <c r="D24" s="549">
        <f>ROUNDDOWN(SUM(المستودعات!G9:I10)/51,0.9)</f>
        <v>1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50"/>
      <c r="D25" s="550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9">
        <f>ROUNDDOWN(SUM(المستودعات!C11:F12)/51,0.9)</f>
        <v>2</v>
      </c>
      <c r="D26" s="549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50"/>
      <c r="D27" s="550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9">
        <f>ROUNDDOWN(SUM(المستودعات!C13:F14)/51,0.9)</f>
        <v>3</v>
      </c>
      <c r="D28" s="549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50"/>
      <c r="D29" s="550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10" t="s">
        <v>85</v>
      </c>
      <c r="C30" s="511"/>
      <c r="D30" s="512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4">
        <f>ROUNDDOWN(SUM(المستودعات!O5:Q5)/51,0.9)</f>
        <v>0</v>
      </c>
      <c r="D31" s="565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8">
        <f>ROUNDDOWN(SUM(المستودعات!O6:Q7)/51,0.9)</f>
        <v>0</v>
      </c>
      <c r="D32" s="559"/>
    </row>
    <row r="33" spans="2:4" ht="16.5" thickBot="1" x14ac:dyDescent="0.25">
      <c r="B33" s="165" t="s">
        <v>24</v>
      </c>
      <c r="C33" s="560"/>
      <c r="D33" s="561"/>
    </row>
    <row r="34" spans="2:4" ht="16.5" thickBot="1" x14ac:dyDescent="0.25">
      <c r="B34" s="165" t="s">
        <v>26</v>
      </c>
      <c r="C34" s="564">
        <f>ROUNDDOWN(SUM(المستودعات!O8:Q8)/51,0.9)</f>
        <v>0</v>
      </c>
      <c r="D34" s="565"/>
    </row>
    <row r="35" spans="2:4" ht="22.5" customHeight="1" thickBot="1" x14ac:dyDescent="0.25">
      <c r="B35" s="510" t="s">
        <v>128</v>
      </c>
      <c r="C35" s="511"/>
      <c r="D35" s="512"/>
    </row>
    <row r="36" spans="2:4" ht="16.5" thickBot="1" x14ac:dyDescent="0.25">
      <c r="B36" s="165" t="s">
        <v>25</v>
      </c>
      <c r="C36" s="558">
        <f>ROUNDDOWN(SUM(المستودعات!J23:K24)/51,0.9)</f>
        <v>0</v>
      </c>
      <c r="D36" s="559"/>
    </row>
    <row r="37" spans="2:4" ht="16.5" thickBot="1" x14ac:dyDescent="0.25">
      <c r="B37" s="165" t="s">
        <v>27</v>
      </c>
      <c r="C37" s="560"/>
      <c r="D37" s="561"/>
    </row>
    <row r="38" spans="2:4" ht="16.5" thickBot="1" x14ac:dyDescent="0.25">
      <c r="B38" s="96" t="s">
        <v>112</v>
      </c>
      <c r="C38" s="564"/>
      <c r="D38" s="565"/>
    </row>
    <row r="39" spans="2:4" ht="16.5" thickBot="1" x14ac:dyDescent="0.25">
      <c r="B39" s="165" t="s">
        <v>28</v>
      </c>
      <c r="C39" s="558">
        <f>ROUNDDOWN(SUM(المستودعات!C28:I29)/51,0.9)</f>
        <v>0</v>
      </c>
      <c r="D39" s="559"/>
    </row>
    <row r="40" spans="2:4" ht="16.5" thickBot="1" x14ac:dyDescent="0.25">
      <c r="B40" s="165" t="s">
        <v>29</v>
      </c>
      <c r="C40" s="560"/>
      <c r="D40" s="561"/>
    </row>
    <row r="41" spans="2:4" ht="21.75" customHeight="1" thickBot="1" x14ac:dyDescent="0.25">
      <c r="B41" s="510" t="s">
        <v>90</v>
      </c>
      <c r="C41" s="511"/>
      <c r="D41" s="512"/>
    </row>
    <row r="42" spans="2:4" ht="16.5" thickBot="1" x14ac:dyDescent="0.25">
      <c r="B42" s="165" t="s">
        <v>30</v>
      </c>
      <c r="C42" s="558">
        <f>ROUNDDOWN(SUM(المستودعات!Q15:Q16)/51,0.9)</f>
        <v>0</v>
      </c>
      <c r="D42" s="559"/>
    </row>
    <row r="43" spans="2:4" ht="16.5" thickBot="1" x14ac:dyDescent="0.25">
      <c r="B43" s="165" t="s">
        <v>31</v>
      </c>
      <c r="C43" s="560"/>
      <c r="D43" s="561"/>
    </row>
    <row r="44" spans="2:4" ht="16.5" thickBot="1" x14ac:dyDescent="0.25">
      <c r="B44" s="165" t="s">
        <v>32</v>
      </c>
      <c r="C44" s="558">
        <f>ROUNDDOWN(SUM(المستودعات!Q17:Q18)/51,0.9)</f>
        <v>0</v>
      </c>
      <c r="D44" s="559"/>
    </row>
    <row r="45" spans="2:4" ht="16.5" thickBot="1" x14ac:dyDescent="0.25">
      <c r="B45" s="165" t="s">
        <v>33</v>
      </c>
      <c r="C45" s="560"/>
      <c r="D45" s="56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7" t="s">
        <v>103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05" t="s">
        <v>104</v>
      </c>
      <c r="C4" s="405"/>
      <c r="D4" s="456"/>
      <c r="E4" s="568" t="s">
        <v>84</v>
      </c>
      <c r="F4" s="569"/>
      <c r="G4" s="569"/>
      <c r="H4" s="413"/>
    </row>
    <row r="5" spans="1:15" ht="15.75" thickBot="1" x14ac:dyDescent="0.25">
      <c r="A5" s="455"/>
      <c r="B5" s="412" t="s">
        <v>81</v>
      </c>
      <c r="C5" s="569"/>
      <c r="D5" s="570"/>
      <c r="E5" s="112" t="s">
        <v>81</v>
      </c>
      <c r="F5" s="412" t="s">
        <v>87</v>
      </c>
      <c r="G5" s="569"/>
      <c r="H5" s="413"/>
      <c r="K5" s="507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5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9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68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17</v>
      </c>
      <c r="N9" s="41">
        <f>'خطة الإمداد'!N34</f>
        <v>17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51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253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448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1634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52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7" t="s">
        <v>105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12" t="s">
        <v>85</v>
      </c>
      <c r="C4" s="569"/>
      <c r="D4" s="569"/>
      <c r="E4" s="569"/>
      <c r="F4" s="569"/>
      <c r="G4" s="569"/>
      <c r="H4" s="413"/>
      <c r="I4" s="278" t="s">
        <v>119</v>
      </c>
    </row>
    <row r="5" spans="1:15" ht="15.75" thickBot="1" x14ac:dyDescent="0.25">
      <c r="A5" s="455"/>
      <c r="B5" s="120" t="s">
        <v>81</v>
      </c>
      <c r="C5" s="576" t="s">
        <v>87</v>
      </c>
      <c r="D5" s="546"/>
      <c r="E5" s="577"/>
      <c r="F5" s="546" t="s">
        <v>83</v>
      </c>
      <c r="G5" s="546"/>
      <c r="H5" s="547"/>
      <c r="I5" s="279" t="s">
        <v>83</v>
      </c>
      <c r="K5" s="50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85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0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34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4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5"/>
      <c r="C16" s="52" t="s">
        <v>93</v>
      </c>
      <c r="D16" s="53">
        <f>[1]التعاون.ملخص!$D$6</f>
        <v>0</v>
      </c>
    </row>
    <row r="17" spans="2:4" ht="16.5" thickBot="1" x14ac:dyDescent="0.25">
      <c r="B17" s="575"/>
      <c r="C17" s="59" t="s">
        <v>87</v>
      </c>
      <c r="D17" s="60" t="e">
        <f>[1]موبيل.ملخص!$D$5</f>
        <v>#REF!</v>
      </c>
    </row>
    <row r="18" spans="2:4" ht="16.5" thickBot="1" x14ac:dyDescent="0.25">
      <c r="B18" s="572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71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72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71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73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0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7" t="s">
        <v>106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12" t="s">
        <v>91</v>
      </c>
      <c r="C4" s="569"/>
      <c r="D4" s="569"/>
      <c r="E4" s="569"/>
      <c r="F4" s="569"/>
      <c r="G4" s="569"/>
      <c r="H4" s="569"/>
      <c r="I4" s="413"/>
    </row>
    <row r="5" spans="1:15" ht="15.75" thickBot="1" x14ac:dyDescent="0.25">
      <c r="A5" s="455"/>
      <c r="B5" s="548" t="s">
        <v>81</v>
      </c>
      <c r="C5" s="548"/>
      <c r="D5" s="564"/>
      <c r="E5" s="581" t="s">
        <v>83</v>
      </c>
      <c r="F5" s="582"/>
      <c r="G5" s="565" t="s">
        <v>87</v>
      </c>
      <c r="H5" s="548"/>
      <c r="I5" s="548"/>
      <c r="K5" s="50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17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8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9"/>
      <c r="C15" s="52" t="s">
        <v>93</v>
      </c>
      <c r="D15" s="57">
        <f>[1]التعاون.ملخص!$D$7</f>
        <v>81</v>
      </c>
    </row>
    <row r="16" spans="1:15" ht="16.5" thickBot="1" x14ac:dyDescent="0.3">
      <c r="B16" s="580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8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9"/>
      <c r="C20" s="70" t="s">
        <v>93</v>
      </c>
      <c r="D20" s="71">
        <f>[1]التعاون.ملخص!$D$9</f>
        <v>79</v>
      </c>
    </row>
    <row r="21" spans="2:4" ht="16.5" thickBot="1" x14ac:dyDescent="0.3">
      <c r="B21" s="580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7" t="s">
        <v>0</v>
      </c>
      <c r="B1" s="417"/>
      <c r="C1" s="417"/>
      <c r="D1" s="417"/>
      <c r="E1" s="417"/>
      <c r="Q1" s="415"/>
      <c r="R1" s="415"/>
    </row>
    <row r="2" spans="1:18" ht="15.75" x14ac:dyDescent="0.25">
      <c r="A2" s="417" t="s">
        <v>1</v>
      </c>
      <c r="B2" s="417"/>
      <c r="C2" s="417"/>
      <c r="D2" s="417"/>
      <c r="E2" s="417"/>
    </row>
    <row r="3" spans="1:18" ht="15.75" x14ac:dyDescent="0.25">
      <c r="A3" s="417" t="s">
        <v>2</v>
      </c>
      <c r="B3" s="417"/>
      <c r="C3" s="417"/>
      <c r="D3" s="417"/>
      <c r="E3" s="417"/>
    </row>
    <row r="4" spans="1:18" ht="48.75" customHeight="1" thickBot="1" x14ac:dyDescent="0.3">
      <c r="F4" s="414" t="s">
        <v>195</v>
      </c>
      <c r="G4" s="414"/>
      <c r="H4" s="414"/>
      <c r="I4" s="414"/>
      <c r="J4" s="414"/>
      <c r="K4" s="414"/>
      <c r="L4" s="414"/>
      <c r="M4" s="414"/>
      <c r="P4" s="414" t="s">
        <v>51</v>
      </c>
      <c r="Q4" s="414"/>
      <c r="R4" s="30"/>
    </row>
    <row r="5" spans="1:18" ht="20.100000000000001" customHeight="1" thickBot="1" x14ac:dyDescent="0.25">
      <c r="A5" s="424" t="s">
        <v>14</v>
      </c>
      <c r="B5" s="424" t="s">
        <v>3</v>
      </c>
      <c r="C5" s="405" t="s">
        <v>5</v>
      </c>
      <c r="D5" s="405"/>
      <c r="E5" s="405"/>
      <c r="F5" s="405" t="s">
        <v>11</v>
      </c>
      <c r="G5" s="405"/>
      <c r="H5" s="405"/>
      <c r="I5" s="405" t="s">
        <v>12</v>
      </c>
      <c r="J5" s="405"/>
      <c r="K5" s="405"/>
      <c r="L5" s="405" t="s">
        <v>50</v>
      </c>
      <c r="M5" s="405"/>
      <c r="N5" s="405"/>
      <c r="O5" s="412" t="s">
        <v>45</v>
      </c>
      <c r="P5" s="413"/>
      <c r="Q5" s="421" t="s">
        <v>49</v>
      </c>
    </row>
    <row r="6" spans="1:18" ht="20.100000000000001" customHeight="1" thickBot="1" x14ac:dyDescent="0.25">
      <c r="A6" s="424"/>
      <c r="B6" s="424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22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30126</v>
      </c>
      <c r="G7" s="2">
        <f>F7*6.75</f>
        <v>203350.5</v>
      </c>
      <c r="H7" s="2">
        <f>F7*0.33</f>
        <v>9941.58</v>
      </c>
      <c r="I7" s="2">
        <f>'أخذ التمام الصباحي'!K5</f>
        <v>14054</v>
      </c>
      <c r="J7" s="2">
        <f>I7*7.75</f>
        <v>108918.5</v>
      </c>
      <c r="K7" s="2">
        <f>I7*0.45</f>
        <v>6324.3</v>
      </c>
      <c r="L7" s="6"/>
      <c r="M7" s="6"/>
      <c r="N7" s="6"/>
      <c r="O7" s="7">
        <f>SUM(D7,G7,J7,M7)/100</f>
        <v>3122.69</v>
      </c>
      <c r="P7" s="10">
        <f>'أخذ التمام الصباحي'!Q5</f>
        <v>2760</v>
      </c>
      <c r="Q7" s="7">
        <f t="shared" ref="Q7:Q27" si="0">P7-O7</f>
        <v>-362.69000000000005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31282</v>
      </c>
      <c r="G8" s="287">
        <f>F8*6.75</f>
        <v>211153.5</v>
      </c>
      <c r="H8" s="287">
        <f>F8*0.33</f>
        <v>10323.060000000001</v>
      </c>
      <c r="I8" s="287">
        <f>'أخذ التمام الصباحي'!K6</f>
        <v>10819</v>
      </c>
      <c r="J8" s="287">
        <f>I8*7.75</f>
        <v>83847.25</v>
      </c>
      <c r="K8" s="287">
        <f>I8*0.45</f>
        <v>4868.55</v>
      </c>
      <c r="L8" s="6"/>
      <c r="M8" s="6"/>
      <c r="N8" s="6"/>
      <c r="O8" s="7">
        <f>SUM(D8,G8,J8,M8)/100</f>
        <v>2950.0075000000002</v>
      </c>
      <c r="P8" s="10">
        <f>'أخذ التمام الصباحي'!Q6</f>
        <v>2710</v>
      </c>
      <c r="Q8" s="7">
        <f t="shared" si="0"/>
        <v>-240.00750000000016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38292</v>
      </c>
      <c r="D9" s="5">
        <f t="shared" ref="D9" si="1">C9*5.5</f>
        <v>210606</v>
      </c>
      <c r="E9" s="5">
        <f>C9*0.25</f>
        <v>9573</v>
      </c>
      <c r="F9" s="292">
        <f>'أخذ التمام الصباحي'!H7</f>
        <v>20671</v>
      </c>
      <c r="G9" s="292">
        <f t="shared" ref="G9:G27" si="2">F9*6.75</f>
        <v>139529.25</v>
      </c>
      <c r="H9" s="292">
        <f t="shared" ref="H9:H27" si="3">F9*0.33</f>
        <v>6821.43</v>
      </c>
      <c r="I9" s="292">
        <f>'أخذ التمام الصباحي'!K7</f>
        <v>4495</v>
      </c>
      <c r="J9" s="292">
        <f t="shared" ref="J9:J27" si="4">I9*7.75</f>
        <v>34836.25</v>
      </c>
      <c r="K9" s="292">
        <f t="shared" ref="K9:K27" si="5">I9*0.45</f>
        <v>2022.75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3849.7150000000001</v>
      </c>
      <c r="P9" s="10">
        <f>'أخذ التمام الصباحي'!Q7</f>
        <v>3620</v>
      </c>
      <c r="Q9" s="7">
        <f t="shared" si="0"/>
        <v>-229.71500000000015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2477</v>
      </c>
      <c r="D10" s="5">
        <f t="shared" ref="D10:D22" si="7">C10*5.5</f>
        <v>13623.5</v>
      </c>
      <c r="E10" s="5">
        <f>C10*0.25</f>
        <v>619.25</v>
      </c>
      <c r="F10" s="292">
        <f>'أخذ التمام الصباحي'!H8</f>
        <v>18412</v>
      </c>
      <c r="G10" s="292">
        <f t="shared" si="2"/>
        <v>124281</v>
      </c>
      <c r="H10" s="292">
        <f t="shared" si="3"/>
        <v>6075.96</v>
      </c>
      <c r="I10" s="292">
        <f>'أخذ التمام الصباحي'!K8</f>
        <v>7162</v>
      </c>
      <c r="J10" s="292">
        <f t="shared" si="4"/>
        <v>55505.5</v>
      </c>
      <c r="K10" s="292">
        <f t="shared" si="5"/>
        <v>3222.9</v>
      </c>
      <c r="L10" s="2">
        <f>'أخذ التمام الصباحي'!N8</f>
        <v>4882</v>
      </c>
      <c r="M10" s="2">
        <f t="shared" ref="M10:M27" si="8">L10*5.5</f>
        <v>26851</v>
      </c>
      <c r="N10" s="2">
        <f>L10*0.26</f>
        <v>1269.32</v>
      </c>
      <c r="O10" s="7">
        <f t="shared" ref="O10:O27" si="9">SUM(D10,G10,J10,M10)/100</f>
        <v>2202.61</v>
      </c>
      <c r="P10" s="10">
        <f>'أخذ التمام الصباحي'!Q8</f>
        <v>2640</v>
      </c>
      <c r="Q10" s="7">
        <f t="shared" si="0"/>
        <v>437.38999999999987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44075</v>
      </c>
      <c r="G11" s="292">
        <f t="shared" si="2"/>
        <v>297506.25</v>
      </c>
      <c r="H11" s="292">
        <f t="shared" si="3"/>
        <v>14544.75</v>
      </c>
      <c r="I11" s="292">
        <f>'أخذ التمام الصباحي'!K9</f>
        <v>11678</v>
      </c>
      <c r="J11" s="292">
        <f t="shared" si="4"/>
        <v>90504.5</v>
      </c>
      <c r="K11" s="292">
        <f t="shared" si="5"/>
        <v>5255.1</v>
      </c>
      <c r="L11" s="6"/>
      <c r="M11" s="6"/>
      <c r="N11" s="6"/>
      <c r="O11" s="7">
        <f t="shared" si="9"/>
        <v>3880.1075000000001</v>
      </c>
      <c r="P11" s="10">
        <f>'أخذ التمام الصباحي'!Q9</f>
        <v>3770</v>
      </c>
      <c r="Q11" s="7">
        <f t="shared" si="0"/>
        <v>-110.10750000000007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3246</v>
      </c>
      <c r="D12" s="5">
        <f t="shared" si="7"/>
        <v>17853</v>
      </c>
      <c r="E12" s="5">
        <f t="shared" si="10"/>
        <v>811.5</v>
      </c>
      <c r="F12" s="292">
        <f>'أخذ التمام الصباحي'!H10</f>
        <v>22542</v>
      </c>
      <c r="G12" s="292">
        <f t="shared" si="2"/>
        <v>152158.5</v>
      </c>
      <c r="H12" s="292">
        <f t="shared" si="3"/>
        <v>7438.8600000000006</v>
      </c>
      <c r="I12" s="6"/>
      <c r="J12" s="6"/>
      <c r="K12" s="6"/>
      <c r="L12" s="20">
        <f>'أخذ التمام الصباحي'!N10</f>
        <v>6559</v>
      </c>
      <c r="M12" s="2">
        <f t="shared" si="8"/>
        <v>36074.5</v>
      </c>
      <c r="N12" s="2">
        <f>L12*0.26</f>
        <v>1705.3400000000001</v>
      </c>
      <c r="O12" s="7">
        <f t="shared" si="9"/>
        <v>2060.86</v>
      </c>
      <c r="P12" s="10">
        <f>'أخذ التمام الصباحي'!Q10</f>
        <v>2418</v>
      </c>
      <c r="Q12" s="7">
        <f t="shared" si="0"/>
        <v>357.13999999999987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7935</v>
      </c>
      <c r="D13" s="5">
        <f t="shared" si="7"/>
        <v>43642.5</v>
      </c>
      <c r="E13" s="5">
        <f t="shared" si="10"/>
        <v>1983.75</v>
      </c>
      <c r="F13" s="292">
        <f>'أخذ التمام الصباحي'!H11</f>
        <v>25038</v>
      </c>
      <c r="G13" s="292">
        <f t="shared" si="2"/>
        <v>169006.5</v>
      </c>
      <c r="H13" s="292">
        <f t="shared" si="3"/>
        <v>8262.5400000000009</v>
      </c>
      <c r="I13" s="6"/>
      <c r="J13" s="6"/>
      <c r="K13" s="6"/>
      <c r="L13" s="20">
        <f>'أخذ التمام الصباحي'!N11</f>
        <v>20264</v>
      </c>
      <c r="M13" s="2">
        <f t="shared" si="8"/>
        <v>111452</v>
      </c>
      <c r="N13" s="2">
        <f>L13*0.26</f>
        <v>5268.64</v>
      </c>
      <c r="O13" s="7">
        <f t="shared" si="9"/>
        <v>3241.01</v>
      </c>
      <c r="P13" s="10">
        <f>'أخذ التمام الصباحي'!Q11</f>
        <v>3680</v>
      </c>
      <c r="Q13" s="7">
        <f t="shared" si="0"/>
        <v>438.98999999999978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45979</v>
      </c>
      <c r="G14" s="292">
        <f t="shared" si="2"/>
        <v>310358.25</v>
      </c>
      <c r="H14" s="292">
        <f t="shared" si="3"/>
        <v>15173.070000000002</v>
      </c>
      <c r="I14" s="292">
        <f>'أخذ التمام الصباحي'!K12</f>
        <v>14446</v>
      </c>
      <c r="J14" s="292">
        <f t="shared" si="4"/>
        <v>111956.5</v>
      </c>
      <c r="K14" s="292">
        <f t="shared" si="5"/>
        <v>6500.7</v>
      </c>
      <c r="L14" s="6"/>
      <c r="M14" s="6"/>
      <c r="N14" s="6"/>
      <c r="O14" s="7">
        <f t="shared" si="9"/>
        <v>4223.1475</v>
      </c>
      <c r="P14" s="10">
        <f>'أخذ التمام الصباحي'!Q12</f>
        <v>3740</v>
      </c>
      <c r="Q14" s="7">
        <f t="shared" si="0"/>
        <v>-483.14750000000004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42613</v>
      </c>
      <c r="G15" s="292">
        <f t="shared" si="2"/>
        <v>287637.75</v>
      </c>
      <c r="H15" s="292">
        <f t="shared" si="3"/>
        <v>14062.29</v>
      </c>
      <c r="I15" s="292">
        <f>'أخذ التمام الصباحي'!K13</f>
        <v>13651</v>
      </c>
      <c r="J15" s="292">
        <f t="shared" si="4"/>
        <v>105795.25</v>
      </c>
      <c r="K15" s="292">
        <f t="shared" si="5"/>
        <v>6142.95</v>
      </c>
      <c r="L15" s="20">
        <f>'أخذ التمام الصباحي'!N13</f>
        <v>31964</v>
      </c>
      <c r="M15" s="2">
        <f t="shared" si="8"/>
        <v>175802</v>
      </c>
      <c r="N15" s="2">
        <f>L15*0.26</f>
        <v>8310.64</v>
      </c>
      <c r="O15" s="7">
        <f t="shared" si="9"/>
        <v>5692.35</v>
      </c>
      <c r="P15" s="10">
        <f>'أخذ التمام الصباحي'!Q13</f>
        <v>0</v>
      </c>
      <c r="Q15" s="7">
        <f t="shared" si="0"/>
        <v>-5692.35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7730</v>
      </c>
      <c r="G16" s="292">
        <f t="shared" si="2"/>
        <v>52177.5</v>
      </c>
      <c r="H16" s="292">
        <f t="shared" si="3"/>
        <v>2550.9</v>
      </c>
      <c r="I16" s="292">
        <f>'أخذ التمام الصباحي'!K14</f>
        <v>4170</v>
      </c>
      <c r="J16" s="292">
        <f t="shared" si="4"/>
        <v>32317.5</v>
      </c>
      <c r="K16" s="292">
        <f t="shared" si="5"/>
        <v>1876.5</v>
      </c>
      <c r="L16" s="20">
        <f>'أخذ التمام الصباحي'!N14</f>
        <v>7083</v>
      </c>
      <c r="M16" s="2">
        <f t="shared" si="8"/>
        <v>38956.5</v>
      </c>
      <c r="N16" s="139">
        <f>L16*0.26</f>
        <v>1841.5800000000002</v>
      </c>
      <c r="O16" s="7">
        <f t="shared" si="9"/>
        <v>1234.5150000000001</v>
      </c>
      <c r="P16" s="10">
        <f>'أخذ التمام الصباحي'!Q14</f>
        <v>8304</v>
      </c>
      <c r="Q16" s="7">
        <f t="shared" si="0"/>
        <v>7069.4849999999997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12416</v>
      </c>
      <c r="G17" s="292">
        <f t="shared" si="2"/>
        <v>83808</v>
      </c>
      <c r="H17" s="292">
        <f t="shared" si="3"/>
        <v>4097.28</v>
      </c>
      <c r="I17" s="292">
        <f>'أخذ التمام الصباحي'!K15</f>
        <v>6119</v>
      </c>
      <c r="J17" s="292">
        <f t="shared" si="4"/>
        <v>47422.25</v>
      </c>
      <c r="K17" s="292">
        <f t="shared" si="5"/>
        <v>2753.55</v>
      </c>
      <c r="L17" s="20">
        <f>'أخذ التمام الصباحي'!N15</f>
        <v>3363</v>
      </c>
      <c r="M17" s="2">
        <f t="shared" si="8"/>
        <v>18496.5</v>
      </c>
      <c r="N17" s="139">
        <f>L17*0.26</f>
        <v>874.38</v>
      </c>
      <c r="O17" s="7">
        <f t="shared" si="9"/>
        <v>1497.2674999999999</v>
      </c>
      <c r="P17" s="10">
        <f>'أخذ التمام الصباحي'!Q15</f>
        <v>1910</v>
      </c>
      <c r="Q17" s="7">
        <f t="shared" si="0"/>
        <v>412.73250000000007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3369</v>
      </c>
      <c r="G18" s="292">
        <f t="shared" si="2"/>
        <v>22740.75</v>
      </c>
      <c r="H18" s="292">
        <f t="shared" si="3"/>
        <v>1111.77</v>
      </c>
      <c r="I18" s="292">
        <f>'أخذ التمام الصباحي'!K16</f>
        <v>909</v>
      </c>
      <c r="J18" s="292">
        <f t="shared" si="4"/>
        <v>7044.75</v>
      </c>
      <c r="K18" s="292">
        <f t="shared" si="5"/>
        <v>409.05</v>
      </c>
      <c r="L18" s="6"/>
      <c r="M18" s="6"/>
      <c r="N18" s="6"/>
      <c r="O18" s="7">
        <f t="shared" si="9"/>
        <v>297.85500000000002</v>
      </c>
      <c r="P18" s="10">
        <f>'أخذ التمام الصباحي'!Q16</f>
        <v>436</v>
      </c>
      <c r="Q18" s="7">
        <f t="shared" si="0"/>
        <v>138.14499999999998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3538</v>
      </c>
      <c r="G19" s="292">
        <f t="shared" si="2"/>
        <v>23881.5</v>
      </c>
      <c r="H19" s="292">
        <f t="shared" si="3"/>
        <v>1167.54</v>
      </c>
      <c r="I19" s="292">
        <f>'أخذ التمام الصباحي'!K17</f>
        <v>898</v>
      </c>
      <c r="J19" s="292">
        <f t="shared" si="4"/>
        <v>6959.5</v>
      </c>
      <c r="K19" s="292">
        <f t="shared" si="5"/>
        <v>404.1</v>
      </c>
      <c r="L19" s="20">
        <f>'أخذ التمام الصباحي'!N17</f>
        <v>6426</v>
      </c>
      <c r="M19" s="2">
        <f t="shared" si="8"/>
        <v>35343</v>
      </c>
      <c r="N19" s="2">
        <f>L19*0.26</f>
        <v>1670.76</v>
      </c>
      <c r="O19" s="7">
        <f t="shared" si="9"/>
        <v>661.84</v>
      </c>
      <c r="P19" s="10">
        <f>'أخذ التمام الصباحي'!Q17</f>
        <v>1200</v>
      </c>
      <c r="Q19" s="7">
        <f t="shared" si="0"/>
        <v>538.16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10685</v>
      </c>
      <c r="G20" s="292">
        <f t="shared" si="2"/>
        <v>72123.75</v>
      </c>
      <c r="H20" s="292">
        <f t="shared" si="3"/>
        <v>3526.05</v>
      </c>
      <c r="I20" s="292">
        <f>'أخذ التمام الصباحي'!K18</f>
        <v>3033</v>
      </c>
      <c r="J20" s="292">
        <f t="shared" si="4"/>
        <v>23505.75</v>
      </c>
      <c r="K20" s="292">
        <f t="shared" si="5"/>
        <v>1364.8500000000001</v>
      </c>
      <c r="L20" s="20">
        <f>'أخذ التمام الصباحي'!N18</f>
        <v>26078</v>
      </c>
      <c r="M20" s="2">
        <f t="shared" si="8"/>
        <v>143429</v>
      </c>
      <c r="N20" s="139">
        <f>L20*0.26</f>
        <v>6780.2800000000007</v>
      </c>
      <c r="O20" s="7">
        <f t="shared" si="9"/>
        <v>2390.585</v>
      </c>
      <c r="P20" s="10">
        <f>'أخذ التمام الصباحي'!Q18</f>
        <v>3020</v>
      </c>
      <c r="Q20" s="7">
        <f t="shared" si="0"/>
        <v>629.41499999999996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8426</v>
      </c>
      <c r="G21" s="292">
        <f t="shared" si="2"/>
        <v>56875.5</v>
      </c>
      <c r="H21" s="292">
        <f t="shared" si="3"/>
        <v>2780.58</v>
      </c>
      <c r="I21" s="292">
        <f>'أخذ التمام الصباحي'!K19</f>
        <v>1789</v>
      </c>
      <c r="J21" s="292">
        <f t="shared" si="4"/>
        <v>13864.75</v>
      </c>
      <c r="K21" s="292">
        <f t="shared" si="5"/>
        <v>805.05000000000007</v>
      </c>
      <c r="L21" s="6"/>
      <c r="M21" s="6"/>
      <c r="N21" s="6"/>
      <c r="O21" s="7">
        <f t="shared" si="9"/>
        <v>707.40250000000003</v>
      </c>
      <c r="P21" s="10">
        <f>'أخذ التمام الصباحي'!Q19</f>
        <v>880</v>
      </c>
      <c r="Q21" s="7">
        <f t="shared" si="0"/>
        <v>172.59749999999997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60</v>
      </c>
      <c r="D22" s="5">
        <f t="shared" si="7"/>
        <v>330</v>
      </c>
      <c r="E22" s="5">
        <f>C22*0.25</f>
        <v>15</v>
      </c>
      <c r="F22" s="292">
        <f>'أخذ التمام الصباحي'!H20</f>
        <v>638</v>
      </c>
      <c r="G22" s="292">
        <f t="shared" si="2"/>
        <v>4306.5</v>
      </c>
      <c r="H22" s="292">
        <f t="shared" si="3"/>
        <v>210.54000000000002</v>
      </c>
      <c r="I22" s="6"/>
      <c r="J22" s="6"/>
      <c r="K22" s="6"/>
      <c r="L22" s="20">
        <f>'أخذ التمام الصباحي'!N20</f>
        <v>8789</v>
      </c>
      <c r="M22" s="2">
        <f t="shared" si="8"/>
        <v>48339.5</v>
      </c>
      <c r="N22" s="2">
        <f t="shared" ref="N22:N27" si="11">L22*0.26</f>
        <v>2285.14</v>
      </c>
      <c r="O22" s="7">
        <f t="shared" si="9"/>
        <v>529.76</v>
      </c>
      <c r="P22" s="10">
        <f>'أخذ التمام الصباحي'!Q20</f>
        <v>680</v>
      </c>
      <c r="Q22" s="7">
        <f t="shared" si="0"/>
        <v>150.24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1272</v>
      </c>
      <c r="G23" s="292">
        <f t="shared" si="2"/>
        <v>8586</v>
      </c>
      <c r="H23" s="292">
        <f t="shared" si="3"/>
        <v>419.76000000000005</v>
      </c>
      <c r="I23" s="6"/>
      <c r="J23" s="6"/>
      <c r="K23" s="6"/>
      <c r="L23" s="20">
        <f>'أخذ التمام الصباحي'!N21</f>
        <v>4824</v>
      </c>
      <c r="M23" s="2">
        <f t="shared" si="8"/>
        <v>26532</v>
      </c>
      <c r="N23" s="183">
        <f t="shared" si="11"/>
        <v>1254.24</v>
      </c>
      <c r="O23" s="7">
        <f t="shared" si="9"/>
        <v>351.18</v>
      </c>
      <c r="P23" s="10">
        <f>'أخذ التمام الصباحي'!Q21</f>
        <v>350</v>
      </c>
      <c r="Q23" s="7">
        <f t="shared" si="0"/>
        <v>-1.1800000000000068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13516</v>
      </c>
      <c r="G24" s="292">
        <f t="shared" si="2"/>
        <v>91233</v>
      </c>
      <c r="H24" s="292">
        <f t="shared" si="3"/>
        <v>4460.2800000000007</v>
      </c>
      <c r="I24" s="292">
        <f>'أخذ التمام الصباحي'!K22</f>
        <v>2102</v>
      </c>
      <c r="J24" s="292">
        <f t="shared" si="4"/>
        <v>16290.5</v>
      </c>
      <c r="K24" s="292">
        <f t="shared" si="5"/>
        <v>945.9</v>
      </c>
      <c r="L24" s="20">
        <f>'أخذ التمام الصباحي'!N22</f>
        <v>50022</v>
      </c>
      <c r="M24" s="2">
        <f t="shared" si="8"/>
        <v>275121</v>
      </c>
      <c r="N24" s="183">
        <f t="shared" si="11"/>
        <v>13005.720000000001</v>
      </c>
      <c r="O24" s="7">
        <f t="shared" si="9"/>
        <v>3826.4450000000002</v>
      </c>
      <c r="P24" s="10">
        <f>'أخذ التمام الصباحي'!Q22</f>
        <v>5360</v>
      </c>
      <c r="Q24" s="7">
        <f t="shared" si="0"/>
        <v>1533.5549999999998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24861</v>
      </c>
      <c r="G25" s="292">
        <f t="shared" si="2"/>
        <v>167811.75</v>
      </c>
      <c r="H25" s="292">
        <f t="shared" si="3"/>
        <v>8204.130000000001</v>
      </c>
      <c r="I25" s="292">
        <f>'أخذ التمام الصباحي'!K23</f>
        <v>4952</v>
      </c>
      <c r="J25" s="292">
        <f t="shared" si="4"/>
        <v>38378</v>
      </c>
      <c r="K25" s="292">
        <f t="shared" si="5"/>
        <v>2228.4</v>
      </c>
      <c r="L25" s="20">
        <f>'أخذ التمام الصباحي'!N23</f>
        <v>61115</v>
      </c>
      <c r="M25" s="2">
        <f t="shared" si="8"/>
        <v>336132.5</v>
      </c>
      <c r="N25" s="183">
        <f t="shared" si="11"/>
        <v>15889.9</v>
      </c>
      <c r="O25" s="7">
        <f t="shared" si="9"/>
        <v>5423.2224999999999</v>
      </c>
      <c r="P25" s="10">
        <f>'أخذ التمام الصباحي'!Q23</f>
        <v>6940</v>
      </c>
      <c r="Q25" s="7">
        <f t="shared" si="0"/>
        <v>1516.7775000000001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10774</v>
      </c>
      <c r="G26" s="292">
        <f t="shared" si="2"/>
        <v>72724.5</v>
      </c>
      <c r="H26" s="292">
        <f t="shared" si="3"/>
        <v>3555.42</v>
      </c>
      <c r="I26" s="292">
        <f>'أخذ التمام الصباحي'!K24</f>
        <v>1781</v>
      </c>
      <c r="J26" s="292">
        <f t="shared" si="4"/>
        <v>13802.75</v>
      </c>
      <c r="K26" s="292">
        <f t="shared" si="5"/>
        <v>801.45</v>
      </c>
      <c r="L26" s="20">
        <f>'أخذ التمام الصباحي'!N24</f>
        <v>23919</v>
      </c>
      <c r="M26" s="2">
        <f t="shared" si="8"/>
        <v>131554.5</v>
      </c>
      <c r="N26" s="183">
        <f t="shared" si="11"/>
        <v>6218.9400000000005</v>
      </c>
      <c r="O26" s="7">
        <f t="shared" si="9"/>
        <v>2180.8175000000001</v>
      </c>
      <c r="P26" s="10">
        <f>'أخذ التمام الصباحي'!Q24</f>
        <v>2970</v>
      </c>
      <c r="Q26" s="7">
        <f t="shared" si="0"/>
        <v>789.18249999999989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10102</v>
      </c>
      <c r="G27" s="292">
        <f t="shared" si="2"/>
        <v>68188.5</v>
      </c>
      <c r="H27" s="292">
        <f t="shared" si="3"/>
        <v>3333.6600000000003</v>
      </c>
      <c r="I27" s="292">
        <f>'أخذ التمام الصباحي'!K25</f>
        <v>1600</v>
      </c>
      <c r="J27" s="292">
        <f t="shared" si="4"/>
        <v>12400</v>
      </c>
      <c r="K27" s="292">
        <f t="shared" si="5"/>
        <v>720</v>
      </c>
      <c r="L27" s="20">
        <f>'أخذ التمام الصباحي'!N25</f>
        <v>23898</v>
      </c>
      <c r="M27" s="2">
        <f t="shared" si="8"/>
        <v>131439</v>
      </c>
      <c r="N27" s="183">
        <f t="shared" si="11"/>
        <v>6213.4800000000005</v>
      </c>
      <c r="O27" s="7">
        <f t="shared" si="9"/>
        <v>2120.2750000000001</v>
      </c>
      <c r="P27" s="10">
        <f>'أخذ التمام الصباحي'!Q25</f>
        <v>2865</v>
      </c>
      <c r="Q27" s="7">
        <f t="shared" si="0"/>
        <v>744.72499999999991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4466</v>
      </c>
      <c r="D28" s="5">
        <f t="shared" ref="D28" si="12">C28*5.5</f>
        <v>24563</v>
      </c>
      <c r="E28" s="5">
        <f t="shared" ref="E28" si="13">C28*0.25</f>
        <v>1116.5</v>
      </c>
      <c r="F28" s="301">
        <f>'أخذ التمام الصباحي'!H26</f>
        <v>9677</v>
      </c>
      <c r="G28" s="301">
        <f t="shared" ref="G28" si="14">F28*6.75</f>
        <v>65319.75</v>
      </c>
      <c r="H28" s="301">
        <f t="shared" ref="H28" si="15">F28*0.33</f>
        <v>3193.4100000000003</v>
      </c>
      <c r="I28" s="301">
        <f>'أخذ التمام الصباحي'!K26</f>
        <v>1671</v>
      </c>
      <c r="J28" s="301">
        <f t="shared" ref="J28" si="16">I28*7.75</f>
        <v>12950.25</v>
      </c>
      <c r="K28" s="301">
        <f t="shared" ref="K28" si="17">I28*0.45</f>
        <v>751.95</v>
      </c>
      <c r="L28" s="301">
        <f>'أخذ التمام الصباحي'!N26</f>
        <v>14067</v>
      </c>
      <c r="M28" s="301">
        <f t="shared" ref="M28" si="18">L28*5.5</f>
        <v>77368.5</v>
      </c>
      <c r="N28" s="301">
        <f t="shared" ref="N28" si="19">L28*0.26</f>
        <v>3657.42</v>
      </c>
      <c r="O28" s="7">
        <f t="shared" ref="O28" si="20">SUM(D28,G28,J28,M28)/100</f>
        <v>1802.0150000000001</v>
      </c>
      <c r="P28" s="10">
        <f>'أخذ التمام الصباحي'!Q26</f>
        <v>1150</v>
      </c>
      <c r="Q28" s="7">
        <f t="shared" ref="Q28" si="21">P28-O28</f>
        <v>-652.0150000000001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9712</v>
      </c>
      <c r="G29" s="321">
        <f t="shared" ref="G29:G33" si="24">F29*6.75</f>
        <v>65556</v>
      </c>
      <c r="H29" s="321">
        <f t="shared" ref="H29:H33" si="25">F29*0.33</f>
        <v>3204.96</v>
      </c>
      <c r="I29" s="5">
        <f>'أخذ التمام الصباحي'!K27</f>
        <v>1942</v>
      </c>
      <c r="J29" s="321">
        <f t="shared" ref="J29:J33" si="26">I29*7.75</f>
        <v>15050.5</v>
      </c>
      <c r="K29" s="321">
        <f t="shared" ref="K29:K33" si="27">I29*0.45</f>
        <v>873.9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806.06500000000005</v>
      </c>
      <c r="P29" s="10">
        <f>'أخذ التمام الصباحي'!Q27</f>
        <v>273</v>
      </c>
      <c r="Q29" s="7">
        <f t="shared" ref="Q29:Q33" si="31">P29-O29</f>
        <v>-533.06500000000005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33357</v>
      </c>
      <c r="G30" s="321">
        <f t="shared" si="24"/>
        <v>225159.75</v>
      </c>
      <c r="H30" s="321">
        <f t="shared" si="25"/>
        <v>11007.810000000001</v>
      </c>
      <c r="I30" s="5">
        <f>'أخذ التمام الصباحي'!K28</f>
        <v>12042</v>
      </c>
      <c r="J30" s="321">
        <f t="shared" si="26"/>
        <v>93325.5</v>
      </c>
      <c r="K30" s="321">
        <f t="shared" si="27"/>
        <v>5418.9000000000005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3184.8525</v>
      </c>
      <c r="P30" s="10">
        <f>'أخذ التمام الصباحي'!Q28</f>
        <v>1600</v>
      </c>
      <c r="Q30" s="7">
        <f t="shared" si="31"/>
        <v>-1584.8525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35533</v>
      </c>
      <c r="G31" s="321">
        <f t="shared" si="24"/>
        <v>239847.75</v>
      </c>
      <c r="H31" s="321">
        <f t="shared" si="25"/>
        <v>11725.890000000001</v>
      </c>
      <c r="I31" s="5">
        <f>'أخذ التمام الصباحي'!K29</f>
        <v>13507</v>
      </c>
      <c r="J31" s="321">
        <f t="shared" si="26"/>
        <v>104679.25</v>
      </c>
      <c r="K31" s="321">
        <f t="shared" si="27"/>
        <v>6078.1500000000005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3445.27</v>
      </c>
      <c r="P31" s="10">
        <f>'أخذ التمام الصباحي'!Q29</f>
        <v>4100</v>
      </c>
      <c r="Q31" s="7">
        <f t="shared" si="31"/>
        <v>654.73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40323</v>
      </c>
      <c r="G32" s="321">
        <f t="shared" si="24"/>
        <v>272180.25</v>
      </c>
      <c r="H32" s="321">
        <f t="shared" si="25"/>
        <v>13306.59</v>
      </c>
      <c r="I32" s="5">
        <f>'أخذ التمام الصباحي'!K30</f>
        <v>10296</v>
      </c>
      <c r="J32" s="321">
        <f t="shared" si="26"/>
        <v>79794</v>
      </c>
      <c r="K32" s="321">
        <f t="shared" si="27"/>
        <v>4633.2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3519.7424999999998</v>
      </c>
      <c r="P32" s="10">
        <f>'أخذ التمام الصباحي'!Q30</f>
        <v>0</v>
      </c>
      <c r="Q32" s="7">
        <f t="shared" si="31"/>
        <v>-3519.7424999999998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62358</v>
      </c>
      <c r="G33" s="321">
        <f t="shared" si="24"/>
        <v>420916.5</v>
      </c>
      <c r="H33" s="321">
        <f t="shared" si="25"/>
        <v>20578.14</v>
      </c>
      <c r="I33" s="5">
        <f>'أخذ التمام الصباحي'!K31</f>
        <v>15815</v>
      </c>
      <c r="J33" s="321">
        <f t="shared" si="26"/>
        <v>122566.25</v>
      </c>
      <c r="K33" s="321">
        <f t="shared" si="27"/>
        <v>7116.75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5434.8275000000003</v>
      </c>
      <c r="P33" s="10">
        <f>'أخذ التمام الصباحي'!Q31</f>
        <v>6400</v>
      </c>
      <c r="Q33" s="7">
        <f t="shared" si="31"/>
        <v>965.17249999999967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7425</v>
      </c>
      <c r="D34" s="5">
        <f t="shared" ref="D34:D37" si="32">C34*5.5</f>
        <v>40837.5</v>
      </c>
      <c r="E34" s="5">
        <f t="shared" ref="E34:E37" si="33">C34*0.25</f>
        <v>1856.25</v>
      </c>
      <c r="F34" s="5">
        <f>'أخذ التمام الصباحي'!H32</f>
        <v>8104</v>
      </c>
      <c r="G34" s="361">
        <f t="shared" ref="G34:G37" si="34">F34*6.75</f>
        <v>54702</v>
      </c>
      <c r="H34" s="361">
        <f t="shared" ref="H34:H37" si="35">F34*0.33</f>
        <v>2674.32</v>
      </c>
      <c r="I34" s="5">
        <f>'أخذ التمام الصباحي'!K32</f>
        <v>1309</v>
      </c>
      <c r="J34" s="361">
        <f t="shared" ref="J34:J37" si="36">I34*7.75</f>
        <v>10144.75</v>
      </c>
      <c r="K34" s="361">
        <f t="shared" ref="K34:K37" si="37">I34*0.45</f>
        <v>589.05000000000007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1056.8425</v>
      </c>
      <c r="P34" s="10">
        <f>'أخذ التمام الصباحي'!Q32</f>
        <v>1280</v>
      </c>
      <c r="Q34" s="7">
        <f t="shared" ref="Q34:Q37" si="41">P34-O34</f>
        <v>223.15750000000003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23" t="s">
        <v>34</v>
      </c>
      <c r="B38" s="423"/>
      <c r="C38" s="43">
        <f>SUM(C7:C37)</f>
        <v>63901</v>
      </c>
      <c r="D38" s="43">
        <f t="shared" ref="D38:Q38" si="42">SUM(D7:D37)</f>
        <v>351455.5</v>
      </c>
      <c r="E38" s="43">
        <f t="shared" si="42"/>
        <v>15975.25</v>
      </c>
      <c r="F38" s="43">
        <f t="shared" si="42"/>
        <v>587129</v>
      </c>
      <c r="G38" s="43">
        <f t="shared" si="42"/>
        <v>3963120.75</v>
      </c>
      <c r="H38" s="43">
        <f t="shared" si="42"/>
        <v>193752.57</v>
      </c>
      <c r="I38" s="43">
        <f t="shared" si="42"/>
        <v>160240</v>
      </c>
      <c r="J38" s="43">
        <f t="shared" si="42"/>
        <v>1241860</v>
      </c>
      <c r="K38" s="43">
        <f t="shared" si="42"/>
        <v>72108.000000000015</v>
      </c>
      <c r="L38" s="43">
        <f t="shared" si="42"/>
        <v>293253</v>
      </c>
      <c r="M38" s="43">
        <f t="shared" si="42"/>
        <v>1612891.5</v>
      </c>
      <c r="N38" s="43">
        <f t="shared" si="42"/>
        <v>76245.78</v>
      </c>
      <c r="O38" s="43">
        <f t="shared" si="42"/>
        <v>71693.277499999997</v>
      </c>
      <c r="P38" s="43">
        <f t="shared" si="42"/>
        <v>75056</v>
      </c>
      <c r="Q38" s="43">
        <f t="shared" si="42"/>
        <v>3362.722499999998</v>
      </c>
    </row>
    <row r="39" spans="1:17" ht="32.25" customHeight="1" thickBot="1" x14ac:dyDescent="0.25">
      <c r="A39" s="416" t="s">
        <v>75</v>
      </c>
      <c r="B39" s="416"/>
      <c r="C39" s="406">
        <f>C38+F38+I38+L38</f>
        <v>1104523</v>
      </c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7"/>
      <c r="P39" s="407"/>
      <c r="Q39" s="408"/>
    </row>
    <row r="40" spans="1:17" ht="30.75" customHeight="1" thickBot="1" x14ac:dyDescent="0.25">
      <c r="A40" s="416" t="s">
        <v>47</v>
      </c>
      <c r="B40" s="416"/>
      <c r="C40" s="409">
        <f>D38+G38+J38+M38</f>
        <v>7169327.75</v>
      </c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1"/>
    </row>
    <row r="41" spans="1:17" ht="30.75" customHeight="1" thickBot="1" x14ac:dyDescent="0.25">
      <c r="A41" s="416" t="s">
        <v>48</v>
      </c>
      <c r="B41" s="416"/>
      <c r="C41" s="418">
        <f>E38+H38+K38+N38</f>
        <v>358081.6</v>
      </c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20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7" t="s">
        <v>3</v>
      </c>
      <c r="B4" s="412" t="s">
        <v>90</v>
      </c>
      <c r="C4" s="569"/>
      <c r="D4" s="569"/>
      <c r="E4" s="569"/>
      <c r="F4" s="413"/>
    </row>
    <row r="5" spans="1:13" ht="15.75" thickBot="1" x14ac:dyDescent="0.25">
      <c r="A5" s="508"/>
      <c r="B5" s="412" t="s">
        <v>83</v>
      </c>
      <c r="C5" s="569"/>
      <c r="D5" s="568" t="s">
        <v>81</v>
      </c>
      <c r="E5" s="570"/>
      <c r="F5" s="109" t="s">
        <v>107</v>
      </c>
      <c r="I5" s="507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9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9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0</v>
      </c>
      <c r="M9" s="41">
        <f>'خطة الإمداد'!O50</f>
        <v>102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4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3"/>
      <c r="C16" s="52" t="s">
        <v>93</v>
      </c>
      <c r="D16" s="53">
        <f>[1]التعاون.ملخص!$D$10</f>
        <v>0</v>
      </c>
    </row>
    <row r="17" spans="2:4" ht="16.5" thickBot="1" x14ac:dyDescent="0.25">
      <c r="B17" s="574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3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7" t="s">
        <v>3</v>
      </c>
      <c r="B4" s="412" t="s">
        <v>165</v>
      </c>
      <c r="C4" s="569"/>
      <c r="D4" s="569"/>
      <c r="E4" s="569"/>
      <c r="F4" s="413"/>
    </row>
    <row r="5" spans="1:13" ht="15.75" thickBot="1" x14ac:dyDescent="0.25">
      <c r="A5" s="508"/>
      <c r="B5" s="412" t="s">
        <v>83</v>
      </c>
      <c r="C5" s="569"/>
      <c r="D5" s="568" t="s">
        <v>81</v>
      </c>
      <c r="E5" s="570"/>
      <c r="F5" s="308" t="s">
        <v>107</v>
      </c>
      <c r="I5" s="507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9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9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34</v>
      </c>
      <c r="L8" s="41">
        <f>'خطة الإمداد'!N49</f>
        <v>0</v>
      </c>
      <c r="M8" s="41">
        <f>'خطة الإمداد'!O49</f>
        <v>85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0</v>
      </c>
      <c r="M9" s="41">
        <f>'خطة الإمداد'!O50</f>
        <v>102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51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4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3"/>
      <c r="C16" s="52" t="s">
        <v>93</v>
      </c>
      <c r="D16" s="53">
        <f>[1]التعاون.ملخص!$D$10</f>
        <v>0</v>
      </c>
    </row>
    <row r="17" spans="2:4" ht="16.5" thickBot="1" x14ac:dyDescent="0.25">
      <c r="B17" s="574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3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5" t="str">
        <f>'منطقة القاهرة'!A4</f>
        <v>المحطة</v>
      </c>
      <c r="B1" s="405" t="str">
        <f>'منطقة القاهرة'!B4</f>
        <v xml:space="preserve">الهايكستب </v>
      </c>
      <c r="C1" s="405">
        <f>'منطقة القاهرة'!C4</f>
        <v>0</v>
      </c>
      <c r="D1" s="456">
        <f>'منطقة القاهرة'!D4</f>
        <v>0</v>
      </c>
      <c r="E1" s="568" t="str">
        <f>'منطقة القاهرة'!E4</f>
        <v>مسطرد</v>
      </c>
      <c r="F1" s="569">
        <f>'منطقة القاهرة'!F4</f>
        <v>0</v>
      </c>
      <c r="G1" s="569">
        <f>'منطقة القاهرة'!G4</f>
        <v>0</v>
      </c>
      <c r="H1" s="413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5">
        <f>'منطقة القاهرة'!A5</f>
        <v>0</v>
      </c>
      <c r="B2" s="412" t="str">
        <f>'منطقة القاهرة'!B5</f>
        <v>تعاون</v>
      </c>
      <c r="C2" s="569">
        <f>'منطقة القاهرة'!C5</f>
        <v>0</v>
      </c>
      <c r="D2" s="570">
        <f>'منطقة القاهرة'!D5</f>
        <v>0</v>
      </c>
      <c r="E2" s="269" t="str">
        <f>'منطقة القاهرة'!E5</f>
        <v>تعاون</v>
      </c>
      <c r="F2" s="412" t="str">
        <f>'منطقة القاهرة'!F5</f>
        <v>موبيل</v>
      </c>
      <c r="G2" s="569">
        <f>'منطقة القاهرة'!G5</f>
        <v>0</v>
      </c>
      <c r="H2" s="413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253</v>
      </c>
    </row>
    <row r="3" spans="1:13" ht="16.5" thickBot="1" x14ac:dyDescent="0.3">
      <c r="A3" s="455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448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1634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4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52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73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4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5" t="str">
        <f>'منطقة السويس'!A4</f>
        <v>المحطة</v>
      </c>
      <c r="B13" s="412" t="str">
        <f>'منطقة السويس'!B4</f>
        <v>السويس</v>
      </c>
      <c r="C13" s="569">
        <f>'منطقة السويس'!C4</f>
        <v>0</v>
      </c>
      <c r="D13" s="569">
        <f>'منطقة السويس'!D4</f>
        <v>0</v>
      </c>
      <c r="E13" s="569">
        <f>'منطقة السويس'!E4</f>
        <v>0</v>
      </c>
      <c r="F13" s="569">
        <f>'منطقة السويس'!F4</f>
        <v>0</v>
      </c>
      <c r="G13" s="569">
        <f>'منطقة السويس'!G4</f>
        <v>0</v>
      </c>
      <c r="H13" s="413">
        <f>'منطقة السويس'!H4</f>
        <v>0</v>
      </c>
      <c r="I13" s="276" t="s">
        <v>119</v>
      </c>
      <c r="K13" s="575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5">
        <f>'منطقة السويس'!A5</f>
        <v>0</v>
      </c>
      <c r="B14" s="120" t="str">
        <f>'منطقة السويس'!B5</f>
        <v>تعاون</v>
      </c>
      <c r="C14" s="576" t="str">
        <f>'منطقة السويس'!C5</f>
        <v>موبيل</v>
      </c>
      <c r="D14" s="546">
        <f>'منطقة السويس'!D5</f>
        <v>0</v>
      </c>
      <c r="E14" s="577">
        <f>'منطقة السويس'!E5</f>
        <v>0</v>
      </c>
      <c r="F14" s="546" t="str">
        <f>'منطقة السويس'!F5</f>
        <v>مصر</v>
      </c>
      <c r="G14" s="546">
        <f>'منطقة السويس'!G5</f>
        <v>0</v>
      </c>
      <c r="H14" s="547">
        <f>'منطقة السويس'!H5</f>
        <v>0</v>
      </c>
      <c r="I14" s="275" t="s">
        <v>83</v>
      </c>
      <c r="K14" s="575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5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72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71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0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72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71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73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8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5" t="str">
        <f>'منطقة الاسكندرية'!A4</f>
        <v>المحطة</v>
      </c>
      <c r="B22" s="412" t="str">
        <f>'منطقة الاسكندرية'!B4</f>
        <v>الماكس</v>
      </c>
      <c r="C22" s="569">
        <f>'منطقة الاسكندرية'!C4</f>
        <v>0</v>
      </c>
      <c r="D22" s="569">
        <f>'منطقة الاسكندرية'!D4</f>
        <v>0</v>
      </c>
      <c r="E22" s="569">
        <f>'منطقة الاسكندرية'!E4</f>
        <v>0</v>
      </c>
      <c r="F22" s="569">
        <f>'منطقة الاسكندرية'!F4</f>
        <v>0</v>
      </c>
      <c r="G22" s="569">
        <f>'منطقة الاسكندرية'!G4</f>
        <v>0</v>
      </c>
      <c r="H22" s="569">
        <f>'منطقة الاسكندرية'!H4</f>
        <v>0</v>
      </c>
      <c r="I22" s="413">
        <f>'منطقة الاسكندرية'!I4</f>
        <v>0</v>
      </c>
      <c r="K22" s="579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81</v>
      </c>
    </row>
    <row r="23" spans="1:13" ht="16.5" thickBot="1" x14ac:dyDescent="0.3">
      <c r="A23" s="455">
        <f>'منطقة الاسكندرية'!A5</f>
        <v>0</v>
      </c>
      <c r="B23" s="548" t="str">
        <f>'منطقة الاسكندرية'!B5</f>
        <v>تعاون</v>
      </c>
      <c r="C23" s="548">
        <f>'منطقة الاسكندرية'!C5</f>
        <v>0</v>
      </c>
      <c r="D23" s="564">
        <f>'منطقة الاسكندرية'!D5</f>
        <v>0</v>
      </c>
      <c r="E23" s="581" t="str">
        <f>'منطقة الاسكندرية'!E5</f>
        <v>مصر</v>
      </c>
      <c r="F23" s="582">
        <f>'منطقة الاسكندرية'!F5</f>
        <v>0</v>
      </c>
      <c r="G23" s="565" t="str">
        <f>'منطقة الاسكندرية'!G5</f>
        <v>موبيل</v>
      </c>
      <c r="H23" s="548">
        <f>'منطقة الاسكندرية'!H5</f>
        <v>0</v>
      </c>
      <c r="I23" s="548">
        <f>'منطقة الاسكندرية'!I5</f>
        <v>0</v>
      </c>
      <c r="K23" s="580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5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8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9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80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83"/>
      <c r="D30" s="583"/>
    </row>
    <row r="31" spans="1:13" ht="16.5" thickBot="1" x14ac:dyDescent="0.3">
      <c r="A31" s="507" t="str">
        <f>'منطقة طنطا'!A4</f>
        <v>المحطة</v>
      </c>
      <c r="B31" s="412" t="str">
        <f>'منطقة طنطا'!B4</f>
        <v>طنطا</v>
      </c>
      <c r="C31" s="569">
        <f>'منطقة طنطا'!C4</f>
        <v>0</v>
      </c>
      <c r="D31" s="569">
        <f>'منطقة طنطا'!D4</f>
        <v>0</v>
      </c>
      <c r="E31" s="569">
        <f>'منطقة طنطا'!E4</f>
        <v>0</v>
      </c>
      <c r="F31" s="413">
        <f>'منطقة طنطا'!F4</f>
        <v>0</v>
      </c>
      <c r="H31" s="78"/>
      <c r="I31" s="78"/>
      <c r="J31" s="78"/>
      <c r="K31" s="574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8">
        <f>'منطقة طنطا'!A5</f>
        <v>0</v>
      </c>
      <c r="B32" s="412" t="str">
        <f>'منطقة طنطا'!B5</f>
        <v>مصر</v>
      </c>
      <c r="C32" s="569">
        <f>'منطقة طنطا'!C5</f>
        <v>0</v>
      </c>
      <c r="D32" s="568" t="str">
        <f>'منطقة طنطا'!D5</f>
        <v>تعاون</v>
      </c>
      <c r="E32" s="570">
        <f>'منطقة طنطا'!E5</f>
        <v>0</v>
      </c>
      <c r="F32" s="266" t="str">
        <f>'منطقة طنطا'!F5</f>
        <v>تعاون هايكستب</v>
      </c>
      <c r="K32" s="573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9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4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73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32" t="s">
        <v>0</v>
      </c>
      <c r="B1" s="432"/>
      <c r="C1" s="432"/>
      <c r="D1" s="432"/>
      <c r="O1" s="431"/>
      <c r="P1" s="431"/>
    </row>
    <row r="2" spans="1:17" ht="15" x14ac:dyDescent="0.2">
      <c r="A2" s="432" t="s">
        <v>1</v>
      </c>
      <c r="B2" s="432"/>
      <c r="C2" s="432"/>
      <c r="D2" s="432"/>
    </row>
    <row r="3" spans="1:17" ht="15" x14ac:dyDescent="0.2">
      <c r="A3" s="432" t="s">
        <v>2</v>
      </c>
      <c r="B3" s="432"/>
      <c r="C3" s="432"/>
      <c r="D3" s="432"/>
    </row>
    <row r="4" spans="1:17" ht="15" x14ac:dyDescent="0.2">
      <c r="A4" s="432" t="s">
        <v>53</v>
      </c>
      <c r="B4" s="432"/>
      <c r="C4" s="432"/>
      <c r="D4" s="432"/>
    </row>
    <row r="5" spans="1:17" ht="15" x14ac:dyDescent="0.2">
      <c r="A5" s="425" t="s">
        <v>196</v>
      </c>
      <c r="B5" s="425"/>
      <c r="C5" s="425"/>
      <c r="D5" s="425"/>
    </row>
    <row r="6" spans="1:17" ht="24" thickBot="1" x14ac:dyDescent="0.25">
      <c r="H6" s="436" t="s">
        <v>54</v>
      </c>
      <c r="I6" s="436"/>
      <c r="J6" s="436"/>
      <c r="K6" s="436"/>
    </row>
    <row r="7" spans="1:17" ht="20.25" customHeight="1" thickBot="1" x14ac:dyDescent="0.25">
      <c r="B7" s="427" t="s">
        <v>55</v>
      </c>
      <c r="C7" s="428"/>
      <c r="D7" s="428"/>
      <c r="E7" s="429"/>
      <c r="F7" s="17"/>
      <c r="G7" s="17"/>
      <c r="H7" s="17"/>
      <c r="I7" s="17"/>
      <c r="J7" s="17"/>
      <c r="K7" s="17"/>
      <c r="L7" s="17"/>
      <c r="M7" s="17"/>
      <c r="N7" s="17"/>
      <c r="O7" s="17"/>
      <c r="P7" s="427" t="s">
        <v>51</v>
      </c>
      <c r="Q7" s="429"/>
    </row>
    <row r="8" spans="1:17" ht="13.5" thickBot="1" x14ac:dyDescent="0.25">
      <c r="B8" s="430" t="s">
        <v>52</v>
      </c>
      <c r="C8" s="426" t="s">
        <v>5</v>
      </c>
      <c r="D8" s="426"/>
      <c r="E8" s="426"/>
      <c r="F8" s="426" t="s">
        <v>11</v>
      </c>
      <c r="G8" s="426"/>
      <c r="H8" s="426"/>
      <c r="I8" s="426" t="s">
        <v>12</v>
      </c>
      <c r="J8" s="426"/>
      <c r="K8" s="426"/>
      <c r="L8" s="426" t="s">
        <v>50</v>
      </c>
      <c r="M8" s="426"/>
      <c r="N8" s="426"/>
      <c r="O8" s="426" t="s">
        <v>56</v>
      </c>
      <c r="P8" s="426"/>
      <c r="Q8" s="426"/>
    </row>
    <row r="9" spans="1:17" ht="13.5" thickBot="1" x14ac:dyDescent="0.25">
      <c r="B9" s="430"/>
      <c r="C9" s="426"/>
      <c r="D9" s="426"/>
      <c r="E9" s="426"/>
      <c r="F9" s="426"/>
      <c r="G9" s="426"/>
      <c r="H9" s="426"/>
      <c r="I9" s="426"/>
      <c r="J9" s="426"/>
      <c r="K9" s="426"/>
      <c r="L9" s="426"/>
      <c r="M9" s="426"/>
      <c r="N9" s="426"/>
      <c r="O9" s="426"/>
      <c r="P9" s="426"/>
      <c r="Q9" s="426"/>
    </row>
    <row r="10" spans="1:17" ht="20.100000000000001" customHeight="1" thickBot="1" x14ac:dyDescent="0.25">
      <c r="B10" s="430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85000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561000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170000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408000</v>
      </c>
      <c r="N11" s="13" t="e">
        <f>M11/L11</f>
        <v>#DIV/0!</v>
      </c>
      <c r="O11" s="140">
        <f>C11+F11+I11+L11</f>
        <v>0</v>
      </c>
      <c r="P11" s="140">
        <f>D11+G11+J11+M11</f>
        <v>1224000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7" t="s">
        <v>61</v>
      </c>
      <c r="C15" s="428"/>
      <c r="D15" s="428"/>
      <c r="E15" s="429"/>
      <c r="P15" s="427" t="s">
        <v>51</v>
      </c>
      <c r="Q15" s="429"/>
    </row>
    <row r="16" spans="1:17" ht="13.5" thickBot="1" x14ac:dyDescent="0.25">
      <c r="B16" s="430" t="s">
        <v>52</v>
      </c>
      <c r="C16" s="426" t="s">
        <v>5</v>
      </c>
      <c r="D16" s="426"/>
      <c r="E16" s="426"/>
      <c r="F16" s="426" t="s">
        <v>11</v>
      </c>
      <c r="G16" s="426"/>
      <c r="H16" s="426"/>
      <c r="I16" s="426" t="s">
        <v>12</v>
      </c>
      <c r="J16" s="426"/>
      <c r="K16" s="426"/>
      <c r="L16" s="426" t="s">
        <v>50</v>
      </c>
      <c r="M16" s="426"/>
      <c r="N16" s="426"/>
      <c r="O16" s="426" t="s">
        <v>56</v>
      </c>
      <c r="P16" s="426"/>
      <c r="Q16" s="426"/>
    </row>
    <row r="17" spans="2:17" ht="13.5" thickBot="1" x14ac:dyDescent="0.25">
      <c r="B17" s="430"/>
      <c r="C17" s="426"/>
      <c r="D17" s="426"/>
      <c r="E17" s="426"/>
      <c r="F17" s="426"/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</row>
    <row r="18" spans="2:17" ht="20.100000000000001" customHeight="1" thickBot="1" x14ac:dyDescent="0.25">
      <c r="B18" s="430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63901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587129</v>
      </c>
      <c r="G19" s="209">
        <f>'موقف المحطات'!$G$20</f>
        <v>561000</v>
      </c>
      <c r="H19" s="13">
        <f>G19/F19</f>
        <v>0.95549700321394448</v>
      </c>
      <c r="I19" s="209">
        <f>'موقف المحطات'!$I$20</f>
        <v>160240</v>
      </c>
      <c r="J19" s="209">
        <f>'موقف المحطات'!$J$20</f>
        <v>170000</v>
      </c>
      <c r="K19" s="13">
        <f>J19/I19</f>
        <v>1.0609086370444334</v>
      </c>
      <c r="L19" s="209">
        <f>'موقف المحطات'!$L$20</f>
        <v>293253</v>
      </c>
      <c r="M19" s="209">
        <f>'موقف المحطات'!$M$20</f>
        <v>408000</v>
      </c>
      <c r="N19" s="13">
        <f>M19/L19</f>
        <v>1.3912901146791337</v>
      </c>
      <c r="O19" s="140">
        <f>C19+F19+I19+L19</f>
        <v>1104523</v>
      </c>
      <c r="P19" s="140">
        <f>D19+G19+J19+M19</f>
        <v>1139000</v>
      </c>
      <c r="Q19" s="13">
        <f>P19/O19</f>
        <v>1.0312143794198945</v>
      </c>
    </row>
    <row r="20" spans="2:17" ht="22.5" customHeight="1" thickBot="1" x14ac:dyDescent="0.25">
      <c r="B20" s="145" t="s">
        <v>64</v>
      </c>
      <c r="C20" s="140">
        <f>المبيعات!C38</f>
        <v>63901</v>
      </c>
      <c r="D20" s="140">
        <f>D11</f>
        <v>85000</v>
      </c>
      <c r="E20" s="13">
        <f>IFERROR(D20/C20,0)</f>
        <v>1.3301826262499805</v>
      </c>
      <c r="F20" s="140">
        <f>المبيعات!F38</f>
        <v>587129</v>
      </c>
      <c r="G20" s="140">
        <f>G11</f>
        <v>561000</v>
      </c>
      <c r="H20" s="13">
        <f>IFERROR(G20/F20,0)</f>
        <v>0.95549700321394448</v>
      </c>
      <c r="I20" s="140">
        <f>المبيعات!I38</f>
        <v>160240</v>
      </c>
      <c r="J20" s="140">
        <f>J11</f>
        <v>170000</v>
      </c>
      <c r="K20" s="13">
        <f>IFERROR(J20/I20,0)</f>
        <v>1.0609086370444334</v>
      </c>
      <c r="L20" s="140">
        <f>المبيعات!L38</f>
        <v>293253</v>
      </c>
      <c r="M20" s="140">
        <f>M11</f>
        <v>408000</v>
      </c>
      <c r="N20" s="13">
        <f>IFERROR(M20/L20,0)</f>
        <v>1.3912901146791337</v>
      </c>
      <c r="O20" s="140">
        <f>C20+F20+I20+L20</f>
        <v>1104523</v>
      </c>
      <c r="P20" s="140">
        <f>P11</f>
        <v>1224000</v>
      </c>
      <c r="Q20" s="13">
        <f>IFERROR(P20/O20,0)</f>
        <v>1.1081706763915282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7" t="s">
        <v>72</v>
      </c>
      <c r="C24" s="428"/>
      <c r="D24" s="428"/>
      <c r="E24" s="429"/>
      <c r="P24" s="439" t="s">
        <v>51</v>
      </c>
      <c r="Q24" s="440"/>
    </row>
    <row r="25" spans="2:17" ht="18" customHeight="1" thickBot="1" x14ac:dyDescent="0.25">
      <c r="B25" s="437" t="s">
        <v>52</v>
      </c>
      <c r="C25" s="433" t="s">
        <v>163</v>
      </c>
      <c r="D25" s="434"/>
      <c r="E25" s="435"/>
      <c r="F25" s="433" t="s">
        <v>158</v>
      </c>
      <c r="G25" s="434"/>
      <c r="H25" s="435"/>
      <c r="I25" s="433" t="s">
        <v>121</v>
      </c>
      <c r="J25" s="434"/>
      <c r="K25" s="435"/>
      <c r="L25" s="433" t="s">
        <v>112</v>
      </c>
      <c r="M25" s="434"/>
      <c r="N25" s="435"/>
      <c r="O25" s="433" t="s">
        <v>113</v>
      </c>
      <c r="P25" s="434"/>
      <c r="Q25" s="435"/>
    </row>
    <row r="26" spans="2:17" ht="16.5" customHeight="1" thickBot="1" x14ac:dyDescent="0.25">
      <c r="B26" s="438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31282</v>
      </c>
      <c r="D28" s="147">
        <f>'أخذ التمام الصباحي'!K6</f>
        <v>10819</v>
      </c>
      <c r="E28" s="224"/>
      <c r="F28" s="147">
        <f>'أخذ التمام الصباحي'!H7</f>
        <v>20671</v>
      </c>
      <c r="G28" s="147">
        <f>'أخذ التمام الصباحي'!K7</f>
        <v>4495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41" t="s">
        <v>173</v>
      </c>
      <c r="C32" s="442"/>
      <c r="D32" s="442"/>
      <c r="E32" s="442"/>
      <c r="F32" s="443" t="s">
        <v>60</v>
      </c>
      <c r="G32" s="444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3480</v>
      </c>
      <c r="E34" s="143">
        <f>'التمام الصباحي'!O39</f>
        <v>1335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292</v>
      </c>
      <c r="D35" s="147">
        <f>'التمام الصباحي'!J39</f>
        <v>2176</v>
      </c>
      <c r="E35" s="143">
        <f>'التمام الصباحي'!P39</f>
        <v>790</v>
      </c>
      <c r="F35" s="147">
        <f>'التمام الصباحي'!V39</f>
        <v>1924</v>
      </c>
      <c r="G35" s="147">
        <f>SUM(C35:F35)</f>
        <v>5182</v>
      </c>
    </row>
    <row r="36" spans="2:8" ht="20.25" customHeight="1" thickBot="1" x14ac:dyDescent="0.25">
      <c r="B36" s="39" t="s">
        <v>37</v>
      </c>
      <c r="C36" s="427">
        <f>'التمام الصباحي'!C42:Z42</f>
        <v>2543</v>
      </c>
      <c r="D36" s="428"/>
      <c r="E36" s="428"/>
      <c r="F36" s="428"/>
      <c r="G36" s="429"/>
      <c r="H36" s="157"/>
    </row>
    <row r="37" spans="2:8" ht="18.75" customHeight="1" thickBot="1" x14ac:dyDescent="0.25">
      <c r="B37" s="39" t="s">
        <v>68</v>
      </c>
      <c r="C37" s="427">
        <f>'احتياجات المحطات'!M29</f>
        <v>663</v>
      </c>
      <c r="D37" s="428"/>
      <c r="E37" s="428"/>
      <c r="F37" s="428"/>
      <c r="G37" s="429"/>
      <c r="H37" s="157"/>
    </row>
    <row r="38" spans="2:8" ht="21" customHeight="1" thickBot="1" x14ac:dyDescent="0.25">
      <c r="B38" s="39" t="s">
        <v>69</v>
      </c>
      <c r="C38" s="427">
        <f>G35+C37</f>
        <v>5845</v>
      </c>
      <c r="D38" s="428"/>
      <c r="E38" s="428"/>
      <c r="F38" s="428"/>
      <c r="G38" s="429"/>
      <c r="H38" s="157"/>
    </row>
    <row r="39" spans="2:8" ht="19.5" customHeight="1" thickBot="1" x14ac:dyDescent="0.25">
      <c r="B39" s="141" t="s">
        <v>70</v>
      </c>
      <c r="C39" s="427">
        <f>C36-C37</f>
        <v>1880</v>
      </c>
      <c r="D39" s="428"/>
      <c r="E39" s="428"/>
      <c r="F39" s="428"/>
      <c r="G39" s="429"/>
      <c r="H39" s="157"/>
    </row>
    <row r="40" spans="2:8" ht="20.100000000000001" customHeight="1" thickBot="1" x14ac:dyDescent="0.25">
      <c r="B40" s="141" t="s">
        <v>71</v>
      </c>
      <c r="C40" s="427">
        <f>P19/1000</f>
        <v>1139</v>
      </c>
      <c r="D40" s="428"/>
      <c r="E40" s="428"/>
      <c r="F40" s="428"/>
      <c r="G40" s="429"/>
      <c r="H40" s="157"/>
    </row>
    <row r="41" spans="2:8" ht="20.100000000000001" customHeight="1" thickBot="1" x14ac:dyDescent="0.25">
      <c r="B41" s="141" t="s">
        <v>110</v>
      </c>
      <c r="C41" s="445">
        <f>C37/C36</f>
        <v>0.26071569012976797</v>
      </c>
      <c r="D41" s="446"/>
      <c r="E41" s="446"/>
      <c r="F41" s="446"/>
      <c r="G41" s="447"/>
      <c r="H41" s="158"/>
    </row>
    <row r="42" spans="2:8" ht="20.100000000000001" customHeight="1" thickBot="1" x14ac:dyDescent="0.25">
      <c r="B42" s="147" t="s">
        <v>111</v>
      </c>
      <c r="C42" s="445">
        <f>'التمام الصباحي'!C45:Z45</f>
        <v>0.23620223851794675</v>
      </c>
      <c r="D42" s="446"/>
      <c r="E42" s="446"/>
      <c r="F42" s="446"/>
      <c r="G42" s="447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41" t="s">
        <v>174</v>
      </c>
      <c r="C46" s="442"/>
      <c r="D46" s="448"/>
      <c r="F46" s="444" t="s">
        <v>116</v>
      </c>
      <c r="G46" s="444"/>
    </row>
    <row r="47" spans="2:8" ht="18.75" customHeight="1" thickBot="1" x14ac:dyDescent="0.25">
      <c r="B47" s="144" t="s">
        <v>52</v>
      </c>
      <c r="C47" s="433" t="s">
        <v>114</v>
      </c>
      <c r="D47" s="435"/>
      <c r="E47" s="433" t="s">
        <v>115</v>
      </c>
      <c r="F47" s="435"/>
      <c r="G47" s="145" t="s">
        <v>34</v>
      </c>
    </row>
    <row r="48" spans="2:8" ht="18.75" customHeight="1" thickBot="1" x14ac:dyDescent="0.25">
      <c r="B48" s="210">
        <v>43647</v>
      </c>
      <c r="C48" s="452" t="e">
        <f>المستودعات!#REF!/51</f>
        <v>#REF!</v>
      </c>
      <c r="D48" s="429"/>
      <c r="E48" s="427"/>
      <c r="F48" s="429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41" t="s">
        <v>175</v>
      </c>
      <c r="C52" s="442"/>
      <c r="D52" s="442"/>
      <c r="E52" s="442"/>
      <c r="F52" s="442"/>
      <c r="G52" s="448"/>
    </row>
    <row r="53" spans="2:7" ht="20.100000000000001" customHeight="1" thickBot="1" x14ac:dyDescent="0.25">
      <c r="B53" s="437" t="s">
        <v>65</v>
      </c>
      <c r="C53" s="433" t="s">
        <v>73</v>
      </c>
      <c r="D53" s="434"/>
      <c r="E53" s="435"/>
      <c r="F53" s="453" t="s">
        <v>50</v>
      </c>
      <c r="G53" s="453" t="s">
        <v>74</v>
      </c>
    </row>
    <row r="54" spans="2:7" ht="20.100000000000001" customHeight="1" thickBot="1" x14ac:dyDescent="0.25">
      <c r="B54" s="438"/>
      <c r="C54" s="145">
        <v>80</v>
      </c>
      <c r="D54" s="145">
        <v>92</v>
      </c>
      <c r="E54" s="145">
        <v>95</v>
      </c>
      <c r="F54" s="454"/>
      <c r="G54" s="454"/>
    </row>
    <row r="55" spans="2:7" ht="19.5" customHeight="1" thickBot="1" x14ac:dyDescent="0.25">
      <c r="B55" s="29" t="s">
        <v>77</v>
      </c>
      <c r="C55" s="140">
        <f>المبيعات!D38</f>
        <v>351455.5</v>
      </c>
      <c r="D55" s="140">
        <f>المبيعات!G38</f>
        <v>3963120.75</v>
      </c>
      <c r="E55" s="149">
        <f>المبيعات!J38</f>
        <v>1241860</v>
      </c>
      <c r="F55" s="140">
        <f>المبيعات!M38</f>
        <v>1612891.5</v>
      </c>
      <c r="G55" s="35">
        <f>C55+D55+E55+F55</f>
        <v>7169327.75</v>
      </c>
    </row>
    <row r="56" spans="2:7" ht="17.25" customHeight="1" thickBot="1" x14ac:dyDescent="0.25">
      <c r="B56" s="145" t="s">
        <v>78</v>
      </c>
      <c r="C56" s="140">
        <f>المبيعات!E38</f>
        <v>15975.25</v>
      </c>
      <c r="D56" s="140">
        <f>المبيعات!H38</f>
        <v>193752.57</v>
      </c>
      <c r="E56" s="140">
        <f>المبيعات!K38</f>
        <v>72108.000000000015</v>
      </c>
      <c r="F56" s="140">
        <f>المبيعات!N38</f>
        <v>76245.78</v>
      </c>
      <c r="G56" s="35">
        <f>F56+E56+D56+C56</f>
        <v>358081.60000000003</v>
      </c>
    </row>
    <row r="57" spans="2:7" ht="17.25" customHeight="1" thickBot="1" x14ac:dyDescent="0.25">
      <c r="B57" s="145" t="s">
        <v>79</v>
      </c>
      <c r="C57" s="449">
        <f>المبيعات!P38</f>
        <v>75056</v>
      </c>
      <c r="D57" s="450"/>
      <c r="E57" s="450"/>
      <c r="F57" s="451"/>
      <c r="G57" s="36">
        <f>C57</f>
        <v>75056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topLeftCell="A7" zoomScale="85" zoomScaleNormal="85" workbookViewId="0">
      <selection activeCell="E32" sqref="E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5" t="s">
        <v>14</v>
      </c>
      <c r="B3" s="455" t="s">
        <v>3</v>
      </c>
      <c r="C3" s="405" t="s">
        <v>5</v>
      </c>
      <c r="D3" s="405"/>
      <c r="E3" s="456"/>
      <c r="F3" s="457" t="s">
        <v>11</v>
      </c>
      <c r="G3" s="405"/>
      <c r="H3" s="456"/>
      <c r="I3" s="413" t="s">
        <v>12</v>
      </c>
      <c r="J3" s="405"/>
      <c r="K3" s="412"/>
      <c r="L3" s="457" t="s">
        <v>50</v>
      </c>
      <c r="M3" s="405"/>
      <c r="N3" s="456"/>
      <c r="O3" s="413" t="s">
        <v>45</v>
      </c>
      <c r="P3" s="405"/>
      <c r="Q3" s="405"/>
      <c r="R3" s="421" t="s">
        <v>160</v>
      </c>
    </row>
    <row r="4" spans="1:20" ht="15.75" thickBot="1" x14ac:dyDescent="0.25">
      <c r="A4" s="455"/>
      <c r="B4" s="455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22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45</v>
      </c>
      <c r="G5" s="194">
        <v>51</v>
      </c>
      <c r="H5" s="213">
        <v>30126</v>
      </c>
      <c r="I5" s="211">
        <v>7</v>
      </c>
      <c r="J5" s="5">
        <v>17</v>
      </c>
      <c r="K5" s="213">
        <v>14054</v>
      </c>
      <c r="L5" s="214"/>
      <c r="M5" s="192"/>
      <c r="N5" s="215"/>
      <c r="O5" s="217">
        <v>2760</v>
      </c>
      <c r="P5" s="218"/>
      <c r="Q5" s="294">
        <f t="shared" ref="Q5:Q26" si="0">P5+O5</f>
        <v>2760</v>
      </c>
      <c r="R5" s="220" t="s">
        <v>246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55</v>
      </c>
      <c r="G6" s="194"/>
      <c r="H6" s="213">
        <v>31282</v>
      </c>
      <c r="I6" s="211">
        <v>21</v>
      </c>
      <c r="J6" s="5"/>
      <c r="K6" s="213">
        <v>10819</v>
      </c>
      <c r="L6" s="214"/>
      <c r="M6" s="192"/>
      <c r="N6" s="215"/>
      <c r="O6" s="217">
        <v>2710</v>
      </c>
      <c r="P6" s="218"/>
      <c r="Q6" s="294">
        <f t="shared" si="0"/>
        <v>2710</v>
      </c>
      <c r="R6" s="220" t="s">
        <v>232</v>
      </c>
      <c r="S6" s="195">
        <v>14770</v>
      </c>
      <c r="T6" s="195"/>
    </row>
    <row r="7" spans="1:20" ht="16.5" thickBot="1" x14ac:dyDescent="0.3">
      <c r="A7" s="299">
        <v>3</v>
      </c>
      <c r="B7" s="290" t="s">
        <v>158</v>
      </c>
      <c r="C7" s="197">
        <v>74</v>
      </c>
      <c r="D7" s="5">
        <v>51</v>
      </c>
      <c r="E7" s="213">
        <v>38292</v>
      </c>
      <c r="F7" s="211">
        <v>37</v>
      </c>
      <c r="G7" s="194">
        <v>17</v>
      </c>
      <c r="H7" s="213">
        <v>20671</v>
      </c>
      <c r="I7" s="211">
        <v>28</v>
      </c>
      <c r="J7" s="5"/>
      <c r="K7" s="213">
        <v>4495</v>
      </c>
      <c r="L7" s="214"/>
      <c r="M7" s="192"/>
      <c r="N7" s="215"/>
      <c r="O7" s="217">
        <v>3620</v>
      </c>
      <c r="P7" s="218"/>
      <c r="Q7" s="294">
        <f t="shared" si="0"/>
        <v>3620</v>
      </c>
      <c r="R7" s="220" t="s">
        <v>239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15</v>
      </c>
      <c r="D8" s="5">
        <v>17</v>
      </c>
      <c r="E8" s="213">
        <v>2477</v>
      </c>
      <c r="F8" s="211">
        <v>40</v>
      </c>
      <c r="G8" s="194">
        <v>17</v>
      </c>
      <c r="H8" s="213">
        <v>18412</v>
      </c>
      <c r="I8" s="211">
        <v>14</v>
      </c>
      <c r="J8" s="5"/>
      <c r="K8" s="213">
        <v>7162</v>
      </c>
      <c r="L8" s="211">
        <v>168</v>
      </c>
      <c r="M8" s="5"/>
      <c r="N8" s="216">
        <v>4882</v>
      </c>
      <c r="O8" s="217">
        <v>2640</v>
      </c>
      <c r="P8" s="219"/>
      <c r="Q8" s="294">
        <f t="shared" si="0"/>
        <v>2640</v>
      </c>
      <c r="R8" s="220" t="s">
        <v>222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59</v>
      </c>
      <c r="G9" s="194">
        <v>34</v>
      </c>
      <c r="H9" s="213">
        <v>44075</v>
      </c>
      <c r="I9" s="211">
        <v>15</v>
      </c>
      <c r="J9" s="5">
        <v>17</v>
      </c>
      <c r="K9" s="213">
        <v>11678</v>
      </c>
      <c r="L9" s="214"/>
      <c r="M9" s="192"/>
      <c r="N9" s="215"/>
      <c r="O9" s="217">
        <v>3770</v>
      </c>
      <c r="P9" s="218"/>
      <c r="Q9" s="294">
        <f t="shared" si="0"/>
        <v>3770</v>
      </c>
      <c r="R9" s="220" t="s">
        <v>219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18</v>
      </c>
      <c r="D10" s="5"/>
      <c r="E10" s="213">
        <v>3246</v>
      </c>
      <c r="F10" s="211">
        <v>75</v>
      </c>
      <c r="G10" s="194">
        <v>17</v>
      </c>
      <c r="H10" s="213">
        <v>22542</v>
      </c>
      <c r="I10" s="214"/>
      <c r="J10" s="192"/>
      <c r="K10" s="212"/>
      <c r="L10" s="211">
        <v>164</v>
      </c>
      <c r="M10" s="5">
        <v>17</v>
      </c>
      <c r="N10" s="216">
        <v>6559</v>
      </c>
      <c r="O10" s="217">
        <v>2418</v>
      </c>
      <c r="P10" s="219"/>
      <c r="Q10" s="294">
        <f t="shared" si="0"/>
        <v>2418</v>
      </c>
      <c r="R10" s="220" t="s">
        <v>247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18</v>
      </c>
      <c r="D11" s="5"/>
      <c r="E11" s="213">
        <v>7935</v>
      </c>
      <c r="F11" s="211">
        <v>55</v>
      </c>
      <c r="G11" s="194">
        <v>34</v>
      </c>
      <c r="H11" s="213">
        <v>25038</v>
      </c>
      <c r="I11" s="214"/>
      <c r="J11" s="192"/>
      <c r="K11" s="212"/>
      <c r="L11" s="211">
        <v>135</v>
      </c>
      <c r="M11" s="5">
        <v>34</v>
      </c>
      <c r="N11" s="216">
        <v>20264</v>
      </c>
      <c r="O11" s="217">
        <v>3680</v>
      </c>
      <c r="P11" s="219"/>
      <c r="Q11" s="294">
        <f t="shared" si="0"/>
        <v>3680</v>
      </c>
      <c r="R11" s="220" t="s">
        <v>230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175</v>
      </c>
      <c r="G12" s="194">
        <v>34</v>
      </c>
      <c r="H12" s="213">
        <v>45979</v>
      </c>
      <c r="I12" s="211">
        <v>50</v>
      </c>
      <c r="J12" s="5">
        <v>17</v>
      </c>
      <c r="K12" s="213">
        <v>14446</v>
      </c>
      <c r="L12" s="214"/>
      <c r="M12" s="192"/>
      <c r="N12" s="215"/>
      <c r="O12" s="217">
        <v>3740</v>
      </c>
      <c r="P12" s="218"/>
      <c r="Q12" s="294">
        <f t="shared" si="0"/>
        <v>3740</v>
      </c>
      <c r="R12" s="220" t="s">
        <v>236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125</v>
      </c>
      <c r="G13" s="194">
        <v>34</v>
      </c>
      <c r="H13" s="213">
        <v>42613</v>
      </c>
      <c r="I13" s="211">
        <v>24</v>
      </c>
      <c r="J13" s="5">
        <v>17</v>
      </c>
      <c r="K13" s="213">
        <v>13651</v>
      </c>
      <c r="L13" s="211">
        <v>66</v>
      </c>
      <c r="M13" s="5">
        <v>51</v>
      </c>
      <c r="N13" s="216">
        <v>31964</v>
      </c>
      <c r="O13" s="217"/>
      <c r="P13" s="219"/>
      <c r="Q13" s="294">
        <f t="shared" si="0"/>
        <v>0</v>
      </c>
      <c r="R13" s="220" t="s">
        <v>228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73</v>
      </c>
      <c r="G14" s="194">
        <v>17</v>
      </c>
      <c r="H14" s="213">
        <v>7730</v>
      </c>
      <c r="I14" s="211">
        <v>25</v>
      </c>
      <c r="J14" s="5"/>
      <c r="K14" s="213">
        <v>4170</v>
      </c>
      <c r="L14" s="211">
        <v>165</v>
      </c>
      <c r="M14" s="5">
        <v>85</v>
      </c>
      <c r="N14" s="216">
        <v>7083</v>
      </c>
      <c r="O14" s="217">
        <v>8304</v>
      </c>
      <c r="P14" s="219"/>
      <c r="Q14" s="294">
        <f t="shared" si="0"/>
        <v>8304</v>
      </c>
      <c r="R14" s="220" t="s">
        <v>235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61</v>
      </c>
      <c r="G15" s="194"/>
      <c r="H15" s="213">
        <v>12416</v>
      </c>
      <c r="I15" s="211">
        <v>18</v>
      </c>
      <c r="J15" s="5"/>
      <c r="K15" s="213">
        <v>6119</v>
      </c>
      <c r="L15" s="211">
        <v>51</v>
      </c>
      <c r="M15" s="5"/>
      <c r="N15" s="216">
        <v>3363</v>
      </c>
      <c r="O15" s="217">
        <v>1910</v>
      </c>
      <c r="P15" s="219"/>
      <c r="Q15" s="294">
        <f t="shared" si="0"/>
        <v>1910</v>
      </c>
      <c r="R15" s="220" t="s">
        <v>226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43</v>
      </c>
      <c r="G16" s="194"/>
      <c r="H16" s="213">
        <v>3369</v>
      </c>
      <c r="I16" s="211">
        <v>15</v>
      </c>
      <c r="J16" s="5"/>
      <c r="K16" s="213">
        <v>909</v>
      </c>
      <c r="L16" s="214"/>
      <c r="M16" s="192"/>
      <c r="N16" s="215"/>
      <c r="O16" s="217">
        <v>436</v>
      </c>
      <c r="P16" s="218"/>
      <c r="Q16" s="294">
        <f t="shared" si="0"/>
        <v>436</v>
      </c>
      <c r="R16" s="220" t="s">
        <v>221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77</v>
      </c>
      <c r="G17" s="194"/>
      <c r="H17" s="213">
        <v>3538</v>
      </c>
      <c r="I17" s="211">
        <v>16</v>
      </c>
      <c r="J17" s="5"/>
      <c r="K17" s="213">
        <v>898</v>
      </c>
      <c r="L17" s="211">
        <v>148</v>
      </c>
      <c r="M17" s="5"/>
      <c r="N17" s="216">
        <v>6426</v>
      </c>
      <c r="O17" s="217">
        <v>1200</v>
      </c>
      <c r="P17" s="219"/>
      <c r="Q17" s="294">
        <f t="shared" si="0"/>
        <v>1200</v>
      </c>
      <c r="R17" s="220"/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77</v>
      </c>
      <c r="G18" s="194"/>
      <c r="H18" s="213">
        <v>10685</v>
      </c>
      <c r="I18" s="211">
        <v>15</v>
      </c>
      <c r="J18" s="5"/>
      <c r="K18" s="213">
        <v>3033</v>
      </c>
      <c r="L18" s="211">
        <v>160</v>
      </c>
      <c r="M18" s="5"/>
      <c r="N18" s="216">
        <v>26078</v>
      </c>
      <c r="O18" s="217">
        <v>1045</v>
      </c>
      <c r="P18" s="219">
        <v>1975</v>
      </c>
      <c r="Q18" s="294">
        <f t="shared" si="0"/>
        <v>3020</v>
      </c>
      <c r="R18" s="220" t="s">
        <v>237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80</v>
      </c>
      <c r="G19" s="194"/>
      <c r="H19" s="213">
        <v>8426</v>
      </c>
      <c r="I19" s="211">
        <v>18</v>
      </c>
      <c r="J19" s="5"/>
      <c r="K19" s="213">
        <v>1789</v>
      </c>
      <c r="L19" s="214"/>
      <c r="M19" s="192"/>
      <c r="N19" s="215"/>
      <c r="O19" s="217">
        <v>880</v>
      </c>
      <c r="P19" s="218"/>
      <c r="Q19" s="294">
        <f t="shared" si="0"/>
        <v>880</v>
      </c>
      <c r="R19" s="220" t="s">
        <v>225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13</v>
      </c>
      <c r="D20" s="5">
        <v>17</v>
      </c>
      <c r="E20" s="213">
        <v>60</v>
      </c>
      <c r="F20" s="211">
        <v>53</v>
      </c>
      <c r="G20" s="194"/>
      <c r="H20" s="213">
        <v>638</v>
      </c>
      <c r="I20" s="214"/>
      <c r="J20" s="192"/>
      <c r="K20" s="212"/>
      <c r="L20" s="211">
        <v>98</v>
      </c>
      <c r="M20" s="5">
        <v>17</v>
      </c>
      <c r="N20" s="216">
        <v>8789</v>
      </c>
      <c r="O20" s="217">
        <v>45</v>
      </c>
      <c r="P20" s="219">
        <v>635</v>
      </c>
      <c r="Q20" s="294">
        <f t="shared" si="0"/>
        <v>680</v>
      </c>
      <c r="R20" s="220" t="s">
        <v>220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54</v>
      </c>
      <c r="G21" s="194"/>
      <c r="H21" s="213">
        <v>1272</v>
      </c>
      <c r="I21" s="214"/>
      <c r="J21" s="192"/>
      <c r="K21" s="212"/>
      <c r="L21" s="211">
        <v>92</v>
      </c>
      <c r="M21" s="5">
        <v>17</v>
      </c>
      <c r="N21" s="216">
        <v>4824</v>
      </c>
      <c r="O21" s="217">
        <v>350</v>
      </c>
      <c r="P21" s="219"/>
      <c r="Q21" s="294">
        <f t="shared" si="0"/>
        <v>350</v>
      </c>
      <c r="R21" s="220" t="s">
        <v>245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62</v>
      </c>
      <c r="G22" s="194">
        <v>17</v>
      </c>
      <c r="H22" s="213">
        <v>13516</v>
      </c>
      <c r="I22" s="211">
        <v>18</v>
      </c>
      <c r="J22" s="5"/>
      <c r="K22" s="213">
        <v>2102</v>
      </c>
      <c r="L22" s="211">
        <v>126</v>
      </c>
      <c r="M22" s="5">
        <v>51</v>
      </c>
      <c r="N22" s="216">
        <v>50022</v>
      </c>
      <c r="O22" s="217">
        <v>1530</v>
      </c>
      <c r="P22" s="219">
        <v>3830</v>
      </c>
      <c r="Q22" s="294">
        <f t="shared" si="0"/>
        <v>5360</v>
      </c>
      <c r="R22" s="220" t="s">
        <v>231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55</v>
      </c>
      <c r="G23" s="194">
        <v>34</v>
      </c>
      <c r="H23" s="213">
        <v>24861</v>
      </c>
      <c r="I23" s="211">
        <v>23</v>
      </c>
      <c r="J23" s="5"/>
      <c r="K23" s="213">
        <v>4952</v>
      </c>
      <c r="L23" s="211">
        <v>112</v>
      </c>
      <c r="M23" s="5">
        <v>51</v>
      </c>
      <c r="N23" s="216">
        <v>61115</v>
      </c>
      <c r="O23" s="217">
        <v>2340</v>
      </c>
      <c r="P23" s="219">
        <v>4600</v>
      </c>
      <c r="Q23" s="294">
        <f t="shared" si="0"/>
        <v>6940</v>
      </c>
      <c r="R23" s="220" t="s">
        <v>218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70</v>
      </c>
      <c r="G24" s="194">
        <v>17</v>
      </c>
      <c r="H24" s="213">
        <v>10774</v>
      </c>
      <c r="I24" s="211">
        <v>26</v>
      </c>
      <c r="J24" s="5"/>
      <c r="K24" s="213">
        <v>1781</v>
      </c>
      <c r="L24" s="211">
        <v>140</v>
      </c>
      <c r="M24" s="5">
        <v>34</v>
      </c>
      <c r="N24" s="216">
        <v>23919</v>
      </c>
      <c r="O24" s="217">
        <v>1070</v>
      </c>
      <c r="P24" s="219">
        <v>1900</v>
      </c>
      <c r="Q24" s="294">
        <f t="shared" si="0"/>
        <v>2970</v>
      </c>
      <c r="R24" s="220" t="s">
        <v>238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57</v>
      </c>
      <c r="G25" s="194">
        <v>34</v>
      </c>
      <c r="H25" s="213">
        <v>10102</v>
      </c>
      <c r="I25" s="211">
        <v>17</v>
      </c>
      <c r="J25" s="5"/>
      <c r="K25" s="213">
        <v>1600</v>
      </c>
      <c r="L25" s="211">
        <v>156</v>
      </c>
      <c r="M25" s="5">
        <v>17</v>
      </c>
      <c r="N25" s="216">
        <v>23898</v>
      </c>
      <c r="O25" s="217">
        <v>1010</v>
      </c>
      <c r="P25" s="219">
        <v>1855</v>
      </c>
      <c r="Q25" s="294">
        <f t="shared" si="0"/>
        <v>2865</v>
      </c>
      <c r="R25" s="220" t="s">
        <v>229</v>
      </c>
    </row>
    <row r="26" spans="1:20" ht="16.5" thickBot="1" x14ac:dyDescent="0.3">
      <c r="A26" s="299">
        <v>22</v>
      </c>
      <c r="B26" s="297" t="s">
        <v>112</v>
      </c>
      <c r="C26" s="197">
        <v>75</v>
      </c>
      <c r="D26" s="194"/>
      <c r="E26" s="213">
        <v>4466</v>
      </c>
      <c r="F26" s="211">
        <v>28</v>
      </c>
      <c r="G26" s="194">
        <v>17</v>
      </c>
      <c r="H26" s="213">
        <v>9677</v>
      </c>
      <c r="I26" s="211">
        <v>41</v>
      </c>
      <c r="J26" s="5"/>
      <c r="K26" s="213">
        <v>1671</v>
      </c>
      <c r="L26" s="211">
        <v>143</v>
      </c>
      <c r="M26" s="5">
        <v>34</v>
      </c>
      <c r="N26" s="216">
        <v>14067</v>
      </c>
      <c r="O26" s="217">
        <v>1150</v>
      </c>
      <c r="P26" s="219"/>
      <c r="Q26" s="294">
        <f t="shared" si="0"/>
        <v>1150</v>
      </c>
      <c r="R26" s="220" t="s">
        <v>234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98</v>
      </c>
      <c r="G27" s="194">
        <v>34</v>
      </c>
      <c r="H27" s="213">
        <v>9712</v>
      </c>
      <c r="I27" s="211">
        <v>37</v>
      </c>
      <c r="J27" s="5"/>
      <c r="K27" s="213">
        <v>1942</v>
      </c>
      <c r="L27" s="214"/>
      <c r="M27" s="192"/>
      <c r="N27" s="215"/>
      <c r="O27" s="217">
        <v>273</v>
      </c>
      <c r="P27" s="218"/>
      <c r="Q27" s="294">
        <f t="shared" ref="Q27:Q30" si="1">P27+O27</f>
        <v>273</v>
      </c>
      <c r="R27" s="220" t="s">
        <v>227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138</v>
      </c>
      <c r="G28" s="194">
        <v>51</v>
      </c>
      <c r="H28" s="213">
        <v>33357</v>
      </c>
      <c r="I28" s="211">
        <v>74</v>
      </c>
      <c r="J28" s="5">
        <v>17</v>
      </c>
      <c r="K28" s="213">
        <v>12042</v>
      </c>
      <c r="L28" s="214"/>
      <c r="M28" s="192"/>
      <c r="N28" s="215"/>
      <c r="O28" s="217">
        <v>1600</v>
      </c>
      <c r="P28" s="218"/>
      <c r="Q28" s="294">
        <f t="shared" si="1"/>
        <v>1600</v>
      </c>
      <c r="R28" s="220" t="s">
        <v>224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161</v>
      </c>
      <c r="G29" s="194"/>
      <c r="H29" s="213">
        <v>35533</v>
      </c>
      <c r="I29" s="211">
        <v>69</v>
      </c>
      <c r="J29" s="5">
        <v>34</v>
      </c>
      <c r="K29" s="213">
        <v>13507</v>
      </c>
      <c r="L29" s="214"/>
      <c r="M29" s="192"/>
      <c r="N29" s="215"/>
      <c r="O29" s="217">
        <v>4100</v>
      </c>
      <c r="P29" s="218"/>
      <c r="Q29" s="294">
        <f t="shared" si="1"/>
        <v>4100</v>
      </c>
      <c r="R29" s="220" t="s">
        <v>244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126</v>
      </c>
      <c r="G30" s="194">
        <v>51</v>
      </c>
      <c r="H30" s="213">
        <v>40323</v>
      </c>
      <c r="I30" s="211">
        <v>53</v>
      </c>
      <c r="J30" s="5"/>
      <c r="K30" s="213">
        <v>10296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223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119</v>
      </c>
      <c r="G31" s="194">
        <v>51</v>
      </c>
      <c r="H31" s="213">
        <v>62358</v>
      </c>
      <c r="I31" s="211">
        <v>80</v>
      </c>
      <c r="J31" s="5">
        <v>51</v>
      </c>
      <c r="K31" s="213">
        <v>15815</v>
      </c>
      <c r="L31" s="214"/>
      <c r="M31" s="192"/>
      <c r="N31" s="215"/>
      <c r="O31" s="217">
        <v>6400</v>
      </c>
      <c r="P31" s="218"/>
      <c r="Q31" s="294">
        <f t="shared" ref="Q31:Q35" si="2">P31+O31</f>
        <v>6400</v>
      </c>
      <c r="R31" s="220" t="s">
        <v>242</v>
      </c>
    </row>
    <row r="32" spans="1:20" ht="16.5" thickBot="1" x14ac:dyDescent="0.3">
      <c r="A32" s="359">
        <v>28</v>
      </c>
      <c r="B32" s="332" t="s">
        <v>197</v>
      </c>
      <c r="C32" s="211">
        <v>79</v>
      </c>
      <c r="D32" s="194"/>
      <c r="E32" s="213">
        <v>7425</v>
      </c>
      <c r="F32" s="211">
        <v>78</v>
      </c>
      <c r="G32" s="194"/>
      <c r="H32" s="213">
        <v>8104</v>
      </c>
      <c r="I32" s="211">
        <v>86</v>
      </c>
      <c r="J32" s="5"/>
      <c r="K32" s="213">
        <v>1309</v>
      </c>
      <c r="L32" s="214"/>
      <c r="M32" s="192"/>
      <c r="N32" s="215"/>
      <c r="O32" s="217">
        <v>1280</v>
      </c>
      <c r="P32" s="218"/>
      <c r="Q32" s="294">
        <f t="shared" si="2"/>
        <v>1280</v>
      </c>
      <c r="R32" s="220" t="s">
        <v>233</v>
      </c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85</v>
      </c>
      <c r="G39" s="193">
        <f>SUM(G5:G31)</f>
        <v>561</v>
      </c>
      <c r="J39" s="193">
        <f>SUM(J5:J31)</f>
        <v>170</v>
      </c>
      <c r="M39" s="193">
        <f>SUM(M5:M31)</f>
        <v>408</v>
      </c>
    </row>
  </sheetData>
  <sheetProtection selectLockedCells="1"/>
  <customSheetViews>
    <customSheetView guid="{18C0F7AC-4BB1-46DE-8A01-8E31FE0585FC}" scale="85" fitToPage="1" topLeftCell="A7">
      <selection activeCell="E32" sqref="E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4" t="s">
        <v>193</v>
      </c>
      <c r="C7" s="464"/>
      <c r="D7" s="464"/>
      <c r="E7" s="464"/>
      <c r="F7" s="464"/>
      <c r="G7" s="464"/>
      <c r="H7" s="464"/>
      <c r="I7" s="345"/>
      <c r="J7" s="345"/>
    </row>
    <row r="8" spans="2:10" ht="17.25" thickTop="1" thickBot="1" x14ac:dyDescent="0.25">
      <c r="B8" s="465" t="s">
        <v>14</v>
      </c>
      <c r="C8" s="458" t="s">
        <v>180</v>
      </c>
      <c r="D8" s="467" t="s">
        <v>181</v>
      </c>
      <c r="E8" s="468"/>
      <c r="F8" s="469"/>
      <c r="G8" s="458" t="s">
        <v>182</v>
      </c>
      <c r="H8" s="460" t="s">
        <v>183</v>
      </c>
      <c r="I8" s="347"/>
      <c r="J8" s="347"/>
    </row>
    <row r="9" spans="2:10" ht="16.5" thickBot="1" x14ac:dyDescent="0.25">
      <c r="B9" s="466"/>
      <c r="C9" s="459"/>
      <c r="D9" s="340">
        <v>80</v>
      </c>
      <c r="E9" s="340">
        <v>92</v>
      </c>
      <c r="F9" s="340">
        <v>95</v>
      </c>
      <c r="G9" s="459"/>
      <c r="H9" s="461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33357</v>
      </c>
      <c r="F10" s="350">
        <f>'أخذ التمام الصباحي'!$K$28</f>
        <v>12042</v>
      </c>
      <c r="G10" s="342"/>
      <c r="H10" s="343">
        <f>SUM(D10:G10)</f>
        <v>45399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35533</v>
      </c>
      <c r="F11" s="350">
        <f>'أخذ التمام الصباحي'!$K$29</f>
        <v>13507</v>
      </c>
      <c r="G11" s="342"/>
      <c r="H11" s="343">
        <f t="shared" ref="H11" si="0">SUM(D11:G11)</f>
        <v>49040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40323</v>
      </c>
      <c r="F12" s="350">
        <f>'أخذ التمام الصباحي'!$K$30</f>
        <v>10296</v>
      </c>
      <c r="G12" s="342"/>
      <c r="H12" s="343">
        <f>SUM(D12:G12)</f>
        <v>50619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62358</v>
      </c>
      <c r="F13" s="350">
        <f>'أخذ التمام الصباحي'!$K$31</f>
        <v>15815</v>
      </c>
      <c r="G13" s="342"/>
      <c r="H13" s="343">
        <f>SUM(D13:G13)</f>
        <v>78173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31282</v>
      </c>
      <c r="F14" s="350">
        <f>'أخذ التمام الصباحي'!$K$6</f>
        <v>10819</v>
      </c>
      <c r="G14" s="342"/>
      <c r="H14" s="343">
        <f>SUM(D14:G14)</f>
        <v>42101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38292</v>
      </c>
      <c r="E15" s="350">
        <f>'أخذ التمام الصباحي'!$H$7</f>
        <v>20671</v>
      </c>
      <c r="F15" s="350">
        <f>'أخذ التمام الصباحي'!$K$7</f>
        <v>4495</v>
      </c>
      <c r="G15" s="342"/>
      <c r="H15" s="343">
        <f t="shared" ref="H15:H17" si="1">SUM(D15:G15)</f>
        <v>63458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4466</v>
      </c>
      <c r="E16" s="350">
        <f>'أخذ التمام الصباحي'!$H$26</f>
        <v>9677</v>
      </c>
      <c r="F16" s="350">
        <f>'أخذ التمام الصباحي'!$K$26</f>
        <v>1671</v>
      </c>
      <c r="G16" s="350">
        <f>'أخذ التمام الصباحي'!$N$26</f>
        <v>14067</v>
      </c>
      <c r="H16" s="343">
        <f t="shared" si="1"/>
        <v>29881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9712</v>
      </c>
      <c r="F17" s="350">
        <f>'أخذ التمام الصباحي'!$K$27</f>
        <v>1942</v>
      </c>
      <c r="G17" s="342"/>
      <c r="H17" s="343">
        <f t="shared" si="1"/>
        <v>11654</v>
      </c>
    </row>
    <row r="18" spans="2:8" ht="54.95" customHeight="1" thickTop="1" thickBot="1" x14ac:dyDescent="0.25">
      <c r="B18" s="462" t="s">
        <v>192</v>
      </c>
      <c r="C18" s="463"/>
      <c r="D18" s="351">
        <f t="shared" ref="D18:G18" si="2">SUM(D10:D17)</f>
        <v>42758</v>
      </c>
      <c r="E18" s="351">
        <f t="shared" si="2"/>
        <v>242913</v>
      </c>
      <c r="F18" s="351">
        <f t="shared" si="2"/>
        <v>70587</v>
      </c>
      <c r="G18" s="351">
        <f t="shared" si="2"/>
        <v>14067</v>
      </c>
      <c r="H18" s="351">
        <f>SUM(H10:H17)</f>
        <v>370325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6"/>
  <sheetViews>
    <sheetView rightToLeft="1" view="pageBreakPreview" zoomScale="60" zoomScaleNormal="100" workbookViewId="0">
      <selection activeCell="F20" sqref="F20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7" t="s">
        <v>243</v>
      </c>
      <c r="C6" s="477"/>
      <c r="D6" s="477"/>
      <c r="E6" s="477"/>
      <c r="F6" s="477"/>
      <c r="G6" s="477"/>
      <c r="H6" s="477"/>
      <c r="I6" s="477"/>
      <c r="J6" s="477"/>
      <c r="K6" s="477"/>
    </row>
    <row r="7" spans="2:12" ht="15.75" x14ac:dyDescent="0.25"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8" t="s">
        <v>14</v>
      </c>
      <c r="C11" s="480" t="s">
        <v>3</v>
      </c>
      <c r="D11" s="480" t="s">
        <v>202</v>
      </c>
      <c r="E11" s="482" t="s">
        <v>203</v>
      </c>
      <c r="F11" s="483"/>
      <c r="G11" s="483"/>
      <c r="H11" s="484" t="s">
        <v>50</v>
      </c>
      <c r="I11" s="486" t="s">
        <v>183</v>
      </c>
      <c r="J11" s="482" t="s">
        <v>206</v>
      </c>
      <c r="K11" s="488"/>
    </row>
    <row r="12" spans="2:12" ht="15.75" customHeight="1" thickBot="1" x14ac:dyDescent="0.25">
      <c r="B12" s="479"/>
      <c r="C12" s="481"/>
      <c r="D12" s="481"/>
      <c r="E12" s="368">
        <v>80</v>
      </c>
      <c r="F12" s="368">
        <v>92</v>
      </c>
      <c r="G12" s="369">
        <v>95</v>
      </c>
      <c r="H12" s="485"/>
      <c r="I12" s="487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9" t="s">
        <v>207</v>
      </c>
      <c r="E13" s="371" t="s">
        <v>208</v>
      </c>
      <c r="F13" s="371">
        <f>'تمام محطات الوكلاء'!E14</f>
        <v>31282</v>
      </c>
      <c r="G13" s="371">
        <f>'تمام محطات الوكلاء'!F14</f>
        <v>10819</v>
      </c>
      <c r="H13" s="371" t="s">
        <v>208</v>
      </c>
      <c r="I13" s="374">
        <f>SUM(E13:H13)</f>
        <v>42101</v>
      </c>
      <c r="J13" s="372">
        <f>F13*0.2525+G13*0.355</f>
        <v>11739.45</v>
      </c>
      <c r="K13" s="372">
        <f>F13*0.1075+G13*0.145</f>
        <v>4931.57</v>
      </c>
    </row>
    <row r="14" spans="2:12" ht="18.75" thickBot="1" x14ac:dyDescent="0.25">
      <c r="B14" s="370">
        <v>2</v>
      </c>
      <c r="C14" s="342" t="s">
        <v>112</v>
      </c>
      <c r="D14" s="490"/>
      <c r="E14" s="373">
        <f>'تمام محطات الوكلاء'!D16</f>
        <v>4466</v>
      </c>
      <c r="F14" s="371">
        <f>'تمام محطات الوكلاء'!E16</f>
        <v>9677</v>
      </c>
      <c r="G14" s="371">
        <f>'تمام محطات الوكلاء'!F16</f>
        <v>1671</v>
      </c>
      <c r="H14" s="371">
        <f>'تمام محطات الوكلاء'!G16</f>
        <v>14067</v>
      </c>
      <c r="I14" s="374">
        <f t="shared" ref="I14:I24" si="0">SUM(E14:H14)</f>
        <v>29881</v>
      </c>
      <c r="J14" s="372">
        <f>E14*0.2105+F14*0.2525+H14*0.195+G14*0.355</f>
        <v>6719.8055000000004</v>
      </c>
      <c r="K14" s="372">
        <f>E14*0.0695+F14*0.1075+G14*0.145+H14*0.085</f>
        <v>2788.6545000000001</v>
      </c>
    </row>
    <row r="15" spans="2:12" ht="18.75" thickBot="1" x14ac:dyDescent="0.25">
      <c r="B15" s="370">
        <v>3</v>
      </c>
      <c r="C15" s="342" t="s">
        <v>158</v>
      </c>
      <c r="D15" s="491"/>
      <c r="E15" s="373">
        <f>'تمام محطات الوكلاء'!D15</f>
        <v>38292</v>
      </c>
      <c r="F15" s="373">
        <f>'تمام محطات الوكلاء'!E15</f>
        <v>20671</v>
      </c>
      <c r="G15" s="373">
        <f>'تمام محطات الوكلاء'!F15</f>
        <v>4495</v>
      </c>
      <c r="H15" s="371" t="s">
        <v>208</v>
      </c>
      <c r="I15" s="374">
        <f t="shared" si="0"/>
        <v>63458</v>
      </c>
      <c r="J15" s="372">
        <f>E15*0.2105+F15*0.2525+G15*0.355</f>
        <v>14875.618499999999</v>
      </c>
      <c r="K15" s="372">
        <f>E15*0.0695+F15*0.1075+G15*0.145</f>
        <v>5535.2015000000001</v>
      </c>
    </row>
    <row r="16" spans="2:12" ht="21" thickBot="1" x14ac:dyDescent="0.25">
      <c r="B16" s="492" t="s">
        <v>209</v>
      </c>
      <c r="C16" s="493"/>
      <c r="D16" s="494"/>
      <c r="E16" s="375">
        <f>SUM(E13:E15)</f>
        <v>42758</v>
      </c>
      <c r="F16" s="375">
        <f t="shared" ref="F16:K16" si="1">SUM(F13:F15)</f>
        <v>61630</v>
      </c>
      <c r="G16" s="375">
        <f t="shared" si="1"/>
        <v>16985</v>
      </c>
      <c r="H16" s="375">
        <f t="shared" si="1"/>
        <v>14067</v>
      </c>
      <c r="I16" s="376">
        <f t="shared" si="1"/>
        <v>135440</v>
      </c>
      <c r="J16" s="375">
        <f t="shared" si="1"/>
        <v>33334.873999999996</v>
      </c>
      <c r="K16" s="377">
        <f t="shared" si="1"/>
        <v>13255.425999999999</v>
      </c>
    </row>
    <row r="17" spans="2:11" ht="18.75" thickBot="1" x14ac:dyDescent="0.25">
      <c r="B17" s="370">
        <v>4</v>
      </c>
      <c r="C17" s="342" t="s">
        <v>121</v>
      </c>
      <c r="D17" s="495" t="s">
        <v>210</v>
      </c>
      <c r="E17" s="371" t="s">
        <v>208</v>
      </c>
      <c r="F17" s="371">
        <f>'تمام محطات الوكلاء'!E17</f>
        <v>9712</v>
      </c>
      <c r="G17" s="371">
        <f>'تمام محطات الوكلاء'!F17</f>
        <v>1942</v>
      </c>
      <c r="H17" s="371" t="s">
        <v>208</v>
      </c>
      <c r="I17" s="374">
        <f t="shared" si="0"/>
        <v>11654</v>
      </c>
      <c r="J17" s="372">
        <f>F17*0.2525+G17*0.355</f>
        <v>3141.69</v>
      </c>
      <c r="K17" s="372">
        <f>F17*0.1075+G17*0.145</f>
        <v>1325.6299999999999</v>
      </c>
    </row>
    <row r="18" spans="2:11" ht="18.75" thickBot="1" x14ac:dyDescent="0.25">
      <c r="B18" s="370">
        <v>5</v>
      </c>
      <c r="C18" s="344" t="s">
        <v>211</v>
      </c>
      <c r="D18" s="496"/>
      <c r="E18" s="371" t="s">
        <v>208</v>
      </c>
      <c r="F18" s="371">
        <f>'تمام محطات الوكلاء'!E12</f>
        <v>40323</v>
      </c>
      <c r="G18" s="371">
        <f>'تمام محطات الوكلاء'!F12</f>
        <v>10296</v>
      </c>
      <c r="H18" s="371" t="s">
        <v>208</v>
      </c>
      <c r="I18" s="374">
        <f t="shared" si="0"/>
        <v>50619</v>
      </c>
      <c r="J18" s="372">
        <f>F18*0.2525+G18*0.355</f>
        <v>13836.637500000001</v>
      </c>
      <c r="K18" s="372">
        <f>F18*0.1075+G18*0.145</f>
        <v>5827.6424999999999</v>
      </c>
    </row>
    <row r="19" spans="2:11" ht="18.75" thickBot="1" x14ac:dyDescent="0.25">
      <c r="B19" s="370">
        <v>6</v>
      </c>
      <c r="C19" s="342" t="s">
        <v>212</v>
      </c>
      <c r="D19" s="497"/>
      <c r="E19" s="371" t="s">
        <v>208</v>
      </c>
      <c r="F19" s="371">
        <f>'تمام محطات الوكلاء'!E10</f>
        <v>33357</v>
      </c>
      <c r="G19" s="371">
        <f>'تمام محطات الوكلاء'!F10</f>
        <v>12042</v>
      </c>
      <c r="H19" s="371" t="s">
        <v>208</v>
      </c>
      <c r="I19" s="374">
        <f t="shared" si="0"/>
        <v>45399</v>
      </c>
      <c r="J19" s="372">
        <f>F19*0.2525+G19*0.355</f>
        <v>12697.5525</v>
      </c>
      <c r="K19" s="372">
        <f>F19*0.1075+G19*0.145</f>
        <v>5331.9674999999997</v>
      </c>
    </row>
    <row r="20" spans="2:11" ht="21" thickBot="1" x14ac:dyDescent="0.25">
      <c r="B20" s="498" t="s">
        <v>213</v>
      </c>
      <c r="C20" s="499"/>
      <c r="D20" s="500"/>
      <c r="E20" s="378"/>
      <c r="F20" s="379">
        <f t="shared" ref="F20:K20" si="2">SUM(F17:F19)</f>
        <v>83392</v>
      </c>
      <c r="G20" s="379">
        <f t="shared" si="2"/>
        <v>24280</v>
      </c>
      <c r="H20" s="379"/>
      <c r="I20" s="380">
        <f t="shared" si="2"/>
        <v>107672</v>
      </c>
      <c r="J20" s="379">
        <f t="shared" si="2"/>
        <v>29675.879999999997</v>
      </c>
      <c r="K20" s="379">
        <f t="shared" si="2"/>
        <v>12485.24</v>
      </c>
    </row>
    <row r="21" spans="2:11" ht="18.75" thickBot="1" x14ac:dyDescent="0.25">
      <c r="B21" s="370">
        <v>7</v>
      </c>
      <c r="C21" s="342" t="s">
        <v>214</v>
      </c>
      <c r="D21" s="495" t="s">
        <v>215</v>
      </c>
      <c r="E21" s="371" t="s">
        <v>208</v>
      </c>
      <c r="F21" s="371">
        <f>'تمام محطات الوكلاء'!E13</f>
        <v>62358</v>
      </c>
      <c r="G21" s="371">
        <f>'تمام محطات الوكلاء'!F13</f>
        <v>15815</v>
      </c>
      <c r="H21" s="371" t="s">
        <v>208</v>
      </c>
      <c r="I21" s="374">
        <f t="shared" si="0"/>
        <v>78173</v>
      </c>
      <c r="J21" s="372">
        <f>F21*0.2525+G21*0.355</f>
        <v>21359.72</v>
      </c>
      <c r="K21" s="372">
        <f>F21*0.1075+G21*0.145</f>
        <v>8996.66</v>
      </c>
    </row>
    <row r="22" spans="2:11" ht="18.75" thickBot="1" x14ac:dyDescent="0.25">
      <c r="B22" s="370">
        <v>8</v>
      </c>
      <c r="C22" s="342" t="s">
        <v>216</v>
      </c>
      <c r="D22" s="496"/>
      <c r="E22" s="371" t="s">
        <v>208</v>
      </c>
      <c r="F22" s="371">
        <f>'تمام محطات الوكلاء'!E11</f>
        <v>35533</v>
      </c>
      <c r="G22" s="371">
        <f>'تمام محطات الوكلاء'!F11</f>
        <v>13507</v>
      </c>
      <c r="H22" s="371" t="s">
        <v>208</v>
      </c>
      <c r="I22" s="374">
        <f t="shared" si="0"/>
        <v>49040</v>
      </c>
      <c r="J22" s="372">
        <f>F22*0.2525+G22*0.355</f>
        <v>13767.067500000001</v>
      </c>
      <c r="K22" s="372">
        <f>F22*0.1075+G22*0.145</f>
        <v>5778.3125</v>
      </c>
    </row>
    <row r="23" spans="2:11" ht="21" thickBot="1" x14ac:dyDescent="0.25">
      <c r="B23" s="474" t="s">
        <v>217</v>
      </c>
      <c r="C23" s="475"/>
      <c r="D23" s="476"/>
      <c r="E23" s="381"/>
      <c r="F23" s="381">
        <f t="shared" ref="F23:K23" si="3">SUM(F21:F22)</f>
        <v>97891</v>
      </c>
      <c r="G23" s="381">
        <f t="shared" si="3"/>
        <v>29322</v>
      </c>
      <c r="H23" s="381"/>
      <c r="I23" s="382">
        <f t="shared" si="3"/>
        <v>127213</v>
      </c>
      <c r="J23" s="381">
        <f t="shared" si="3"/>
        <v>35126.787500000006</v>
      </c>
      <c r="K23" s="383">
        <f t="shared" si="3"/>
        <v>14774.9725</v>
      </c>
    </row>
    <row r="24" spans="2:11" ht="18.75" customHeight="1" thickBot="1" x14ac:dyDescent="0.25">
      <c r="B24" s="370">
        <v>9</v>
      </c>
      <c r="C24" s="342" t="s">
        <v>240</v>
      </c>
      <c r="D24" s="389" t="s">
        <v>241</v>
      </c>
      <c r="E24" s="387">
        <f>'أخذ التمام الصباحي'!$E$32</f>
        <v>7425</v>
      </c>
      <c r="F24" s="386">
        <f>'أخذ التمام الصباحي'!$H$32</f>
        <v>8104</v>
      </c>
      <c r="G24" s="386">
        <f>'أخذ التمام الصباحي'!$K$32</f>
        <v>1309</v>
      </c>
      <c r="H24" s="371" t="s">
        <v>208</v>
      </c>
      <c r="I24" s="374">
        <f t="shared" si="0"/>
        <v>16838</v>
      </c>
      <c r="J24" s="386">
        <f>E24*0.2105+F24*0.2525+G24*0.355</f>
        <v>4073.9175</v>
      </c>
      <c r="K24" s="388">
        <f>E24*0.0695+F24*0.1075+G24*0.145</f>
        <v>1577.0225</v>
      </c>
    </row>
    <row r="25" spans="2:11" ht="14.25" customHeight="1" x14ac:dyDescent="0.2">
      <c r="B25" s="472" t="s">
        <v>205</v>
      </c>
      <c r="C25" s="472"/>
      <c r="D25" s="472"/>
      <c r="E25" s="470">
        <f t="shared" ref="E25:H25" si="4">SUM(E16,E20,E23,E24)</f>
        <v>50183</v>
      </c>
      <c r="F25" s="470">
        <f t="shared" si="4"/>
        <v>251017</v>
      </c>
      <c r="G25" s="470">
        <f t="shared" si="4"/>
        <v>71896</v>
      </c>
      <c r="H25" s="470">
        <f t="shared" si="4"/>
        <v>14067</v>
      </c>
      <c r="I25" s="470">
        <f>SUM(I16,I20,I23,I24)</f>
        <v>387163</v>
      </c>
      <c r="J25" s="470">
        <f t="shared" ref="J25:K25" si="5">SUM(J16,J20,J23,J24)</f>
        <v>102211.45899999999</v>
      </c>
      <c r="K25" s="470">
        <f t="shared" si="5"/>
        <v>42092.661</v>
      </c>
    </row>
    <row r="26" spans="2:11" ht="15" customHeight="1" thickBot="1" x14ac:dyDescent="0.25">
      <c r="B26" s="473"/>
      <c r="C26" s="473"/>
      <c r="D26" s="473"/>
      <c r="E26" s="471"/>
      <c r="F26" s="471"/>
      <c r="G26" s="471"/>
      <c r="H26" s="471"/>
      <c r="I26" s="471"/>
      <c r="J26" s="471"/>
      <c r="K26" s="471"/>
    </row>
  </sheetData>
  <customSheetViews>
    <customSheetView guid="{18C0F7AC-4BB1-46DE-8A01-8E31FE0585FC}" scale="60" hiddenRows="1" view="pageBreakPreview">
      <selection activeCell="F20" sqref="F20"/>
      <pageMargins left="0.7" right="0.7" top="0.75" bottom="0.75" header="0.3" footer="0.3"/>
      <pageSetup paperSize="9" scale="82" orientation="landscape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5:J26"/>
    <mergeCell ref="K25:K26"/>
    <mergeCell ref="B25:D26"/>
    <mergeCell ref="E25:E26"/>
    <mergeCell ref="F25:F26"/>
    <mergeCell ref="G25:G26"/>
    <mergeCell ref="H25:H26"/>
    <mergeCell ref="I25:I26"/>
  </mergeCells>
  <pageMargins left="0.7" right="0.7" top="0.75" bottom="0.75" header="0.3" footer="0.3"/>
  <pageSetup paperSize="9" scale="82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24" t="s">
        <v>3</v>
      </c>
      <c r="C2" s="514" t="s">
        <v>84</v>
      </c>
      <c r="D2" s="514"/>
      <c r="E2" s="514"/>
      <c r="F2" s="514"/>
      <c r="G2" s="514" t="s">
        <v>88</v>
      </c>
      <c r="H2" s="514"/>
      <c r="I2" s="514"/>
      <c r="N2" s="507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24"/>
      <c r="C3" s="513" t="s">
        <v>82</v>
      </c>
      <c r="D3" s="513"/>
      <c r="E3" s="513"/>
      <c r="F3" s="188" t="s">
        <v>81</v>
      </c>
      <c r="G3" s="513" t="s">
        <v>81</v>
      </c>
      <c r="H3" s="513"/>
      <c r="I3" s="513"/>
      <c r="N3" s="508"/>
      <c r="O3" s="510" t="s">
        <v>87</v>
      </c>
      <c r="P3" s="511"/>
      <c r="Q3" s="512"/>
      <c r="R3" s="510" t="s">
        <v>164</v>
      </c>
      <c r="S3" s="511"/>
      <c r="T3" s="512"/>
    </row>
    <row r="4" spans="1:23" ht="15.75" thickBot="1" x14ac:dyDescent="0.25">
      <c r="A4" s="515"/>
      <c r="B4" s="424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9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15"/>
      <c r="B5" s="186" t="s">
        <v>15</v>
      </c>
      <c r="C5" s="184">
        <v>51</v>
      </c>
      <c r="D5" s="184"/>
      <c r="E5" s="161"/>
      <c r="F5" s="161"/>
      <c r="G5" s="161"/>
      <c r="H5" s="322"/>
      <c r="I5" s="322">
        <v>17</v>
      </c>
      <c r="N5" s="191" t="s">
        <v>22</v>
      </c>
      <c r="O5" s="330"/>
      <c r="P5" s="189"/>
      <c r="Q5" s="330"/>
      <c r="R5" s="189">
        <v>17</v>
      </c>
      <c r="S5" s="293"/>
      <c r="T5" s="293">
        <v>85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34</v>
      </c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>
        <v>17</v>
      </c>
      <c r="H9" s="184">
        <v>17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0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/>
      <c r="D10" s="184"/>
      <c r="E10" s="161"/>
      <c r="F10" s="161"/>
      <c r="G10" s="184"/>
      <c r="H10" s="184">
        <v>34</v>
      </c>
      <c r="I10" s="184">
        <v>17</v>
      </c>
    </row>
    <row r="11" spans="1:23" ht="16.5" thickBot="1" x14ac:dyDescent="0.25">
      <c r="B11" s="186" t="s">
        <v>18</v>
      </c>
      <c r="C11" s="184">
        <v>17</v>
      </c>
      <c r="D11" s="161"/>
      <c r="E11" s="184">
        <v>17</v>
      </c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34</v>
      </c>
      <c r="D12" s="161"/>
      <c r="E12" s="184">
        <v>34</v>
      </c>
      <c r="F12" s="184"/>
      <c r="G12" s="184"/>
      <c r="H12" s="184"/>
      <c r="I12" s="161"/>
      <c r="J12" s="285"/>
      <c r="K12" s="325"/>
      <c r="L12" s="187"/>
      <c r="P12" s="507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508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>
        <v>51</v>
      </c>
      <c r="F14" s="184"/>
      <c r="G14" s="161"/>
      <c r="H14" s="184"/>
      <c r="I14" s="184"/>
      <c r="P14" s="509"/>
      <c r="Q14" s="163" t="s">
        <v>50</v>
      </c>
      <c r="S14" s="163" t="s">
        <v>93</v>
      </c>
      <c r="T14" s="162">
        <f>G22+C34</f>
        <v>68</v>
      </c>
      <c r="U14" s="162">
        <f>H22+D34</f>
        <v>102</v>
      </c>
      <c r="V14" s="162">
        <f>I22</f>
        <v>136</v>
      </c>
      <c r="W14" s="162">
        <f>F22+E34</f>
        <v>102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17</v>
      </c>
      <c r="U15" s="162">
        <f>C22+O9+F34</f>
        <v>442</v>
      </c>
      <c r="V15" s="162">
        <f>D22+P9+G34</f>
        <v>34</v>
      </c>
      <c r="W15" s="162">
        <f>E22+I34+Q9</f>
        <v>221</v>
      </c>
    </row>
    <row r="16" spans="1:23" ht="16.5" thickBot="1" x14ac:dyDescent="0.25">
      <c r="A16" s="47"/>
      <c r="B16" s="327" t="s">
        <v>177</v>
      </c>
      <c r="C16" s="330">
        <v>51</v>
      </c>
      <c r="D16" s="330"/>
      <c r="E16" s="161"/>
      <c r="F16" s="161"/>
      <c r="G16" s="161"/>
      <c r="H16" s="330"/>
      <c r="I16" s="330">
        <v>51</v>
      </c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0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>
        <v>51</v>
      </c>
      <c r="D17" s="330"/>
      <c r="E17" s="161"/>
      <c r="F17" s="161"/>
      <c r="G17" s="161"/>
      <c r="H17" s="330"/>
      <c r="I17" s="330">
        <v>17</v>
      </c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/>
      <c r="I18" s="330">
        <v>34</v>
      </c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85</v>
      </c>
      <c r="U19" s="162">
        <f>'التمام الصباحي'!L39</f>
        <v>561</v>
      </c>
      <c r="V19" s="162">
        <f>'التمام الصباحي'!R39</f>
        <v>170</v>
      </c>
      <c r="W19" s="162">
        <f>'التمام الصباحي'!X39</f>
        <v>408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85</v>
      </c>
      <c r="U20" s="162">
        <f>C22+H22+D34+F34+O9+R9</f>
        <v>561</v>
      </c>
      <c r="V20" s="162">
        <f>D22+I22+G34+P9+S9</f>
        <v>170</v>
      </c>
      <c r="W20" s="162">
        <f>E22+F22+Q9+T9+E34+I34+Q19</f>
        <v>408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425</v>
      </c>
      <c r="D22" s="330">
        <f>SUM(D5:D21)+F44</f>
        <v>34</v>
      </c>
      <c r="E22" s="330">
        <f>SUM(E5:E18)+G44</f>
        <v>153</v>
      </c>
      <c r="F22" s="330">
        <f>SUM(F5:F18)+D44</f>
        <v>102</v>
      </c>
      <c r="G22" s="330">
        <f>SUM(G5:G18)</f>
        <v>68</v>
      </c>
      <c r="H22" s="330">
        <f>SUM(H5:H21)+B44</f>
        <v>102</v>
      </c>
      <c r="I22" s="330">
        <f>SUM(I5:I21)+C44</f>
        <v>136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7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508"/>
      <c r="C26" s="513" t="s">
        <v>81</v>
      </c>
      <c r="D26" s="513"/>
      <c r="E26" s="513"/>
      <c r="F26" s="513" t="s">
        <v>87</v>
      </c>
      <c r="G26" s="513"/>
      <c r="H26" s="513"/>
      <c r="I26" s="513"/>
      <c r="J26" s="300"/>
    </row>
    <row r="27" spans="1:23" ht="15.75" thickBot="1" x14ac:dyDescent="0.25">
      <c r="B27" s="509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>
        <v>17</v>
      </c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>
        <v>17</v>
      </c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/>
      <c r="H32" s="331"/>
      <c r="I32" s="330">
        <v>34</v>
      </c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17</v>
      </c>
      <c r="G34" s="330">
        <f>SUM(G28:G33)+I44</f>
        <v>0</v>
      </c>
      <c r="H34" s="330">
        <f>SUM(H28:H32)+K44</f>
        <v>17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507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508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509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51</v>
      </c>
      <c r="E40" s="330">
        <v>17</v>
      </c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>
        <v>34</v>
      </c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17</v>
      </c>
      <c r="F42" s="301"/>
      <c r="G42" s="301">
        <v>34</v>
      </c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>
        <v>34</v>
      </c>
      <c r="F43" s="230"/>
      <c r="G43" s="230">
        <v>17</v>
      </c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102</v>
      </c>
      <c r="E44" s="313">
        <f t="shared" si="2"/>
        <v>102</v>
      </c>
      <c r="F44" s="313">
        <f t="shared" si="2"/>
        <v>0</v>
      </c>
      <c r="G44" s="313">
        <f t="shared" si="2"/>
        <v>51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37:A39"/>
    <mergeCell ref="F26:I26"/>
    <mergeCell ref="A4:A5"/>
    <mergeCell ref="B2:B4"/>
    <mergeCell ref="G2:I2"/>
    <mergeCell ref="C25:I25"/>
    <mergeCell ref="C3:E3"/>
    <mergeCell ref="G3:I3"/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6" t="s">
        <v>159</v>
      </c>
      <c r="E5" s="536"/>
      <c r="F5" s="536"/>
      <c r="G5" s="536"/>
      <c r="H5" s="536"/>
      <c r="Q5" s="530" t="s">
        <v>118</v>
      </c>
      <c r="R5" s="530"/>
      <c r="S5" s="530"/>
      <c r="T5" s="530"/>
      <c r="U5" s="530"/>
    </row>
    <row r="6" spans="4:24" ht="15.75" hidden="1" customHeight="1" thickBot="1" x14ac:dyDescent="0.25">
      <c r="D6" s="531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2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2" t="s">
        <v>3</v>
      </c>
      <c r="R6" s="533" t="s">
        <v>95</v>
      </c>
      <c r="S6" s="533" t="s">
        <v>96</v>
      </c>
      <c r="T6" s="533" t="s">
        <v>97</v>
      </c>
      <c r="U6" s="535" t="s">
        <v>98</v>
      </c>
      <c r="W6" s="392" t="s">
        <v>99</v>
      </c>
      <c r="X6" s="392" t="s">
        <v>100</v>
      </c>
    </row>
    <row r="7" spans="4:24" ht="15.75" hidden="1" customHeight="1" thickBot="1" x14ac:dyDescent="0.25">
      <c r="D7" s="532"/>
      <c r="E7" s="258" t="s">
        <v>7</v>
      </c>
      <c r="F7" s="232" t="s">
        <v>7</v>
      </c>
      <c r="G7" s="232" t="s">
        <v>7</v>
      </c>
      <c r="H7" s="232" t="s">
        <v>7</v>
      </c>
      <c r="K7" s="392"/>
      <c r="L7" s="201" t="s">
        <v>7</v>
      </c>
      <c r="M7" s="201" t="s">
        <v>7</v>
      </c>
      <c r="N7" s="201" t="s">
        <v>7</v>
      </c>
      <c r="O7" s="201" t="s">
        <v>7</v>
      </c>
      <c r="Q7" s="392"/>
      <c r="R7" s="534"/>
      <c r="S7" s="534"/>
      <c r="T7" s="534"/>
      <c r="U7" s="535"/>
      <c r="W7" s="392"/>
      <c r="X7" s="392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4" t="s">
        <v>101</v>
      </c>
      <c r="X8" s="527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5"/>
      <c r="X9" s="528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6">
        <f>IF((ROUNDDOWN((SUM(M10:M11)/51)-(R10+R11),0.9))&lt;0,0,(ROUNDDOWN((SUM(M10:M11)/51)-(R10+R11),0.9)))</f>
        <v>0</v>
      </c>
      <c r="T10" s="516">
        <f>IF((ROUNDDOWN((SUM(O10:O11)/51)-(R10+R11),0.9))&lt;0,0,(ROUNDDOWN((SUM(O10:O11)/51)-(R10+R11),0.9)))</f>
        <v>0</v>
      </c>
      <c r="U10" s="516">
        <f>IF((ROUNDDOWN((SUM(L10:O11)/51)-(R10+R11+S10+T10),0.9))&lt;0,0,ROUNDDOWN((SUM(L10:O11)/51)-(R10+R11+S10+T10),0.9))</f>
        <v>0</v>
      </c>
      <c r="W10" s="525"/>
      <c r="X10" s="528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7"/>
      <c r="T11" s="517"/>
      <c r="U11" s="517"/>
      <c r="W11" s="525"/>
      <c r="X11" s="528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20">
        <f>IF((ROUNDDOWN((SUM(M12:M13)/51)-(R12+R13),0.9))&lt;0,0,(ROUNDDOWN((SUM(M12:M13)/51)-(R12+R13),0.9)))</f>
        <v>0</v>
      </c>
      <c r="T12" s="520">
        <f t="shared" ref="T12" si="3">IF((ROUNDDOWN((SUM(O12:O13)/51)-(R12+R13),0.9))&lt;0,0,(ROUNDDOWN((SUM(O12:O13)/51)-(R12+R13),0.9)))</f>
        <v>0</v>
      </c>
      <c r="U12" s="520">
        <f t="shared" ref="U12" si="4">IF((ROUNDDOWN((SUM(L12:O13)/51)-(R12+R13+S12+T12),0.9))&lt;0,0,ROUNDDOWN((SUM(L12:O13)/51)-(R12+R13+S12+T12),0.9))</f>
        <v>0</v>
      </c>
      <c r="W12" s="525"/>
      <c r="X12" s="528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20"/>
      <c r="T13" s="520"/>
      <c r="U13" s="520"/>
      <c r="W13" s="525"/>
      <c r="X13" s="528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6">
        <f>IF((ROUNDDOWN((SUM(M14:M15)/51)-(R14+R15),0.9))&lt;0,0,(ROUNDDOWN((SUM(M14:M15)/51)-(R14+R15),0.9)))</f>
        <v>0</v>
      </c>
      <c r="T14" s="516">
        <f t="shared" ref="T14" si="5">IF((ROUNDDOWN((SUM(O14:O15)/51)-(R14+R15),0.9))&lt;0,0,(ROUNDDOWN((SUM(O14:O15)/51)-(R14+R15),0.9)))</f>
        <v>0</v>
      </c>
      <c r="U14" s="516">
        <f t="shared" ref="U14" si="6">IF((ROUNDDOWN((SUM(L14:O15)/51)-(R14+R15+S14+T14),0.9))&lt;0,0,ROUNDDOWN((SUM(L14:O15)/51)-(R14+R15+S14+T14),0.9))</f>
        <v>0</v>
      </c>
      <c r="W14" s="525"/>
      <c r="X14" s="528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7"/>
      <c r="T15" s="517"/>
      <c r="U15" s="517"/>
      <c r="W15" s="526"/>
      <c r="X15" s="529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8" t="s">
        <v>85</v>
      </c>
      <c r="X16" s="519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22">
        <f>IF((ROUNDDOWN((SUM(M17:M18)/51)-(R17+R18),0.9))&lt;0,0,(ROUNDDOWN((SUM(M17:M18)/51)-(R17+R18),0.9)))</f>
        <v>0</v>
      </c>
      <c r="T17" s="522">
        <f>IF((ROUNDDOWN((SUM(O17:O18)/51)-(R17+R18),0.9))&lt;0,0,(ROUNDDOWN((SUM(O17:O18)/51)-(R17+R18),0.9)))</f>
        <v>0</v>
      </c>
      <c r="U17" s="522">
        <f>IF((ROUNDDOWN((SUM(L17:O18)/51)-(R17+R18+S17+T17),0.9))&lt;0,0,ROUNDDOWN((SUM(L17:O18)/51)-(R17+R18+S17+T17),0.9))</f>
        <v>0</v>
      </c>
      <c r="W17" s="518"/>
      <c r="X17" s="519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3"/>
      <c r="T18" s="523"/>
      <c r="U18" s="523"/>
      <c r="W18" s="518"/>
      <c r="X18" s="519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8"/>
      <c r="X19" s="519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6">
        <f>IF((ROUNDDOWN((SUM(M20:M21)/51)-(R20+R21),0.9))&lt;0,0,(ROUNDDOWN((SUM(M20:M21)/51)-(R20+R21),0.9)))</f>
        <v>0</v>
      </c>
      <c r="T20" s="516">
        <f>IF((ROUNDDOWN((SUM(O20:O21)/51)-(R20+R21),0.9))&lt;0,0,(ROUNDDOWN((SUM(O20:O21)/51)-(R20+R21),0.9)))</f>
        <v>0</v>
      </c>
      <c r="U20" s="516">
        <f>IF((ROUNDDOWN((SUM(L20:O21)/51)-(R20+R21+S20+T20),0.9))&lt;0,0,ROUNDDOWN((SUM(L20:O21)/51)-(R20+R21+S20+T20),0.9))</f>
        <v>0</v>
      </c>
      <c r="W20" s="518" t="s">
        <v>102</v>
      </c>
      <c r="X20" s="519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7"/>
      <c r="T21" s="517"/>
      <c r="U21" s="517"/>
      <c r="W21" s="518"/>
      <c r="X21" s="519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20">
        <f>IF((ROUNDDOWN((SUM(M22:M23)/51)-(R22+R23),0.9))&lt;0,0,(ROUNDDOWN((SUM(M22:M23)/51)-(R22+R23),0.9)))</f>
        <v>0</v>
      </c>
      <c r="T22" s="522">
        <f>IF((ROUNDDOWN((SUM(O22:O23)/51)-(R22+R23),0.9))&lt;0,0,(ROUNDDOWN((SUM(O22:O23)/51)-(R22+R23),0.9)))</f>
        <v>0</v>
      </c>
      <c r="U22" s="522">
        <f t="shared" ref="U22" si="7">IF((ROUNDDOWN((SUM(L22:O23)/51)-(R22+R23+S22+T22),0.9))&lt;0,0,ROUNDDOWN((SUM(L22:O23)/51)-(R22+R23+S22+T22),0.9))</f>
        <v>0</v>
      </c>
      <c r="W22" s="518"/>
      <c r="X22" s="519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20"/>
      <c r="T23" s="523"/>
      <c r="U23" s="523"/>
      <c r="W23" s="518"/>
      <c r="X23" s="519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6">
        <f>IF((ROUNDDOWN((SUM(M24:M25)/51)-(R24+R25),0.9))&lt;0,0,(ROUNDDOWN((SUM(M24:M25)/51)-(R24+R25),0.9)))</f>
        <v>0</v>
      </c>
      <c r="T24" s="516">
        <f>IF((ROUNDDOWN((SUM(O24:O25)/51)-(R24+R25),0.9))&lt;0,0,(ROUNDDOWN((SUM(O24:O25)/51)-(R24+R25),0.9)))</f>
        <v>0</v>
      </c>
      <c r="U24" s="516">
        <f t="shared" ref="U24" si="8">IF((ROUNDDOWN((SUM(L24:O25)/51)-(R24+R25+S24+T24),0.9))&lt;0,0,ROUNDDOWN((SUM(L24:O25)/51)-(R24+R25+S24+T24),0.9))</f>
        <v>0</v>
      </c>
      <c r="W24" s="518" t="s">
        <v>90</v>
      </c>
      <c r="X24" s="519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7"/>
      <c r="T25" s="517"/>
      <c r="U25" s="517"/>
      <c r="W25" s="518"/>
      <c r="X25" s="519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20">
        <f>IF((ROUNDDOWN((SUM(M26:M27)/51)-(R26+R27),0.9))&lt;0,0,(ROUNDDOWN((SUM(M26:M27)/51)-(R26+R27),0.9)))</f>
        <v>0</v>
      </c>
      <c r="T26" s="520">
        <f>IF((ROUNDDOWN((SUM(O26:O27)/51)-(R26+R27),0.9))&lt;0,0,(ROUNDDOWN((SUM(O26:O27)/51)-(R26+R27),0.9)))</f>
        <v>0</v>
      </c>
      <c r="U26" s="520">
        <f t="shared" ref="U26" si="10">IF((ROUNDDOWN((SUM(L26:O27)/51)-(R26+R27+S26+T26),0.9))&lt;0,0,ROUNDDOWN((SUM(L26:O27)/51)-(R26+R27+S26+T26),0.9))</f>
        <v>0</v>
      </c>
      <c r="W26" s="518"/>
      <c r="X26" s="519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1"/>
      <c r="T27" s="521"/>
      <c r="U27" s="521"/>
      <c r="W27" s="518"/>
      <c r="X27" s="519"/>
    </row>
    <row r="28" spans="4:24" ht="14.25" hidden="1" customHeight="1" x14ac:dyDescent="0.2"/>
    <row r="29" spans="4:24" ht="21" thickBot="1" x14ac:dyDescent="0.35">
      <c r="D29" s="536"/>
      <c r="E29" s="536"/>
      <c r="F29" s="536"/>
      <c r="G29" s="536"/>
      <c r="H29" s="536"/>
      <c r="Q29" s="530" t="s">
        <v>118</v>
      </c>
      <c r="R29" s="530"/>
      <c r="S29" s="530"/>
      <c r="T29" s="530"/>
      <c r="U29" s="530"/>
    </row>
    <row r="30" spans="4:24" ht="15.75" thickBot="1" x14ac:dyDescent="0.25">
      <c r="D30" s="531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2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2" t="s">
        <v>3</v>
      </c>
      <c r="R30" s="533" t="s">
        <v>95</v>
      </c>
      <c r="S30" s="533" t="s">
        <v>96</v>
      </c>
      <c r="T30" s="533" t="s">
        <v>97</v>
      </c>
      <c r="U30" s="535" t="s">
        <v>98</v>
      </c>
      <c r="W30" s="392" t="s">
        <v>99</v>
      </c>
      <c r="X30" s="392" t="s">
        <v>100</v>
      </c>
    </row>
    <row r="31" spans="4:24" ht="15.75" thickBot="1" x14ac:dyDescent="0.25">
      <c r="D31" s="532"/>
      <c r="E31" s="258" t="s">
        <v>7</v>
      </c>
      <c r="F31" s="232" t="s">
        <v>7</v>
      </c>
      <c r="G31" s="232" t="s">
        <v>7</v>
      </c>
      <c r="H31" s="232" t="s">
        <v>7</v>
      </c>
      <c r="K31" s="392"/>
      <c r="L31" s="201" t="s">
        <v>7</v>
      </c>
      <c r="M31" s="201" t="s">
        <v>7</v>
      </c>
      <c r="N31" s="201" t="s">
        <v>7</v>
      </c>
      <c r="O31" s="201" t="s">
        <v>7</v>
      </c>
      <c r="Q31" s="392"/>
      <c r="R31" s="534"/>
      <c r="S31" s="534"/>
      <c r="T31" s="534"/>
      <c r="U31" s="535"/>
      <c r="W31" s="392"/>
      <c r="X31" s="392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70</v>
      </c>
      <c r="G32" s="194">
        <f>'التمام الصباحي'!Q8+'التمام الصباحي'!S8</f>
        <v>31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68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4" t="s">
        <v>101</v>
      </c>
      <c r="X32" s="527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64</v>
      </c>
      <c r="G33" s="194">
        <f>'التمام الصباحي'!Q9+'التمام الصباحي'!S9</f>
        <v>18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5"/>
      <c r="X33" s="528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52</v>
      </c>
      <c r="F34" s="194">
        <f>'التمام الصباحي'!K10+'التمام الصباحي'!M10</f>
        <v>32</v>
      </c>
      <c r="G34" s="194">
        <f>'التمام الصباحي'!Q10+'التمام الصباحي'!S10</f>
        <v>21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17</v>
      </c>
      <c r="N34" s="235">
        <f t="shared" si="13"/>
        <v>17</v>
      </c>
      <c r="O34" s="234"/>
      <c r="P34" s="236"/>
      <c r="Q34" s="242" t="s">
        <v>16</v>
      </c>
      <c r="R34" s="243">
        <f t="shared" si="11"/>
        <v>1</v>
      </c>
      <c r="S34" s="516">
        <f>IF((ROUNDDOWN((SUM(M34:M35)/51)-(R34+R35),0.9))&lt;0,0,(ROUNDDOWN((SUM(M34:M35)/51)-(R34+R35),0.9)))</f>
        <v>0</v>
      </c>
      <c r="T34" s="516">
        <f>IF((ROUNDDOWN((SUM(O34:O35)/51)-(R34+R35),0.9))&lt;0,0,(ROUNDDOWN((SUM(O34:O35)/51)-(R34+R35),0.9)))</f>
        <v>0</v>
      </c>
      <c r="U34" s="516">
        <f>IF((ROUNDDOWN((SUM(L34:O35)/51)-(R34+R35+S34+T34),0.9))&lt;0,0,ROUNDDOWN((SUM(L34:O35)/51)-(R34+R35+S34+T34),0.9))</f>
        <v>1</v>
      </c>
      <c r="W34" s="525"/>
      <c r="X34" s="528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20</v>
      </c>
      <c r="F35" s="194">
        <f>'التمام الصباحي'!K11+'التمام الصباحي'!M11</f>
        <v>45</v>
      </c>
      <c r="G35" s="194">
        <f>'التمام الصباحي'!Q11+'التمام الصباحي'!S11</f>
        <v>24</v>
      </c>
      <c r="H35" s="194">
        <f>'التمام الصباحي'!W11+'التمام الصباحي'!Y11</f>
        <v>18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7"/>
      <c r="T35" s="517"/>
      <c r="U35" s="517"/>
      <c r="W35" s="525"/>
      <c r="X35" s="528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73</v>
      </c>
      <c r="G36" s="194">
        <f>'التمام الصباحي'!Q12+'التمام الصباحي'!S12</f>
        <v>27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20">
        <f>IF((ROUNDDOWN((SUM(M36:M37)/51)-(R36+R37),0.9))&lt;0,0,(ROUNDDOWN((SUM(M36:M37)/51)-(R36+R37),0.9)))</f>
        <v>0</v>
      </c>
      <c r="T36" s="520">
        <f t="shared" ref="T36" si="15">IF((ROUNDDOWN((SUM(O36:O37)/51)-(R36+R37),0.9))&lt;0,0,(ROUNDDOWN((SUM(O36:O37)/51)-(R36+R37),0.9)))</f>
        <v>0</v>
      </c>
      <c r="U36" s="520">
        <f t="shared" ref="U36" si="16">IF((ROUNDDOWN((SUM(L36:O37)/51)-(R36+R37+S36+T36),0.9))&lt;0,0,ROUNDDOWN((SUM(L36:O37)/51)-(R36+R37+S36+T36),0.9))</f>
        <v>0</v>
      </c>
      <c r="W36" s="525"/>
      <c r="X36" s="528"/>
    </row>
    <row r="37" spans="3:24" ht="16.5" thickBot="1" x14ac:dyDescent="0.3">
      <c r="D37" s="233" t="s">
        <v>18</v>
      </c>
      <c r="E37" s="194">
        <f>'التمام الصباحي'!E13+'التمام الصباحي'!G13</f>
        <v>16</v>
      </c>
      <c r="F37" s="194">
        <f>'التمام الصباحي'!K13+'التمام الصباحي'!M13</f>
        <v>42</v>
      </c>
      <c r="G37" s="295"/>
      <c r="H37" s="194">
        <f>'التمام الصباحي'!W13+'التمام الصباحي'!Y13</f>
        <v>24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20"/>
      <c r="T37" s="520"/>
      <c r="U37" s="520"/>
      <c r="W37" s="525"/>
      <c r="X37" s="528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19</v>
      </c>
      <c r="F38" s="194">
        <f>'التمام الصباحي'!K14+'التمام الصباحي'!M14</f>
        <v>57</v>
      </c>
      <c r="G38" s="295"/>
      <c r="H38" s="194">
        <f>'التمام الصباحي'!W14+'التمام الصباحي'!Y14</f>
        <v>65</v>
      </c>
      <c r="K38" s="233" t="s">
        <v>19</v>
      </c>
      <c r="L38" s="235">
        <f t="shared" si="14"/>
        <v>17</v>
      </c>
      <c r="M38" s="235">
        <f t="shared" si="12"/>
        <v>51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2</v>
      </c>
      <c r="S38" s="516">
        <f>IF((ROUNDDOWN((SUM(M38:M39)/51)-(R38+R39),0.9))&lt;0,0,(ROUNDDOWN((SUM(M38:M39)/51)-(R38+R39),0.9)))</f>
        <v>0</v>
      </c>
      <c r="T38" s="516">
        <f t="shared" ref="T38" si="18">IF((ROUNDDOWN((SUM(O38:O39)/51)-(R38+R39),0.9))&lt;0,0,(ROUNDDOWN((SUM(O38:O39)/51)-(R38+R39),0.9)))</f>
        <v>0</v>
      </c>
      <c r="U38" s="516">
        <f t="shared" ref="U38" si="19">IF((ROUNDDOWN((SUM(L38:O39)/51)-(R38+R39+S38+T38),0.9))&lt;0,0,ROUNDDOWN((SUM(L38:O39)/51)-(R38+R39+S38+T38),0.9))</f>
        <v>0</v>
      </c>
      <c r="W38" s="525"/>
      <c r="X38" s="528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57</v>
      </c>
      <c r="G39" s="194">
        <f>'التمام الصباحي'!Q15+'التمام الصباحي'!S15</f>
        <v>25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7"/>
      <c r="T39" s="517"/>
      <c r="U39" s="517"/>
      <c r="W39" s="526"/>
      <c r="X39" s="529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90</v>
      </c>
      <c r="G40" s="194">
        <f>'التمام الصباحي'!Q16+'التمام الصباحي'!S16</f>
        <v>32</v>
      </c>
      <c r="H40" s="194">
        <f>'التمام الصباحي'!W16+'التمام الصباحي'!Y16</f>
        <v>79</v>
      </c>
      <c r="K40" s="233" t="s">
        <v>21</v>
      </c>
      <c r="L40" s="234"/>
      <c r="M40" s="235">
        <f t="shared" si="12"/>
        <v>85</v>
      </c>
      <c r="N40" s="235">
        <f t="shared" si="13"/>
        <v>17</v>
      </c>
      <c r="O40" s="235">
        <f t="shared" si="13"/>
        <v>68</v>
      </c>
      <c r="P40" s="236"/>
      <c r="Q40" s="250" t="s">
        <v>22</v>
      </c>
      <c r="R40" s="251">
        <f t="shared" si="11"/>
        <v>3</v>
      </c>
      <c r="S40" s="252"/>
      <c r="T40" s="253"/>
      <c r="U40" s="254"/>
      <c r="W40" s="518" t="s">
        <v>85</v>
      </c>
      <c r="X40" s="527">
        <f>SUM(R40:U43)/3</f>
        <v>1.3333333333333333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29</v>
      </c>
      <c r="G41" s="194">
        <f>'التمام الصباحي'!Q17+'التمام الصباحي'!S17</f>
        <v>11</v>
      </c>
      <c r="H41" s="194">
        <f>'التمام الصباحي'!W17+'التمام الصباحي'!Y17</f>
        <v>46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34</v>
      </c>
      <c r="P41" s="236"/>
      <c r="Q41" s="246" t="s">
        <v>23</v>
      </c>
      <c r="R41" s="247">
        <f t="shared" si="11"/>
        <v>1</v>
      </c>
      <c r="S41" s="522">
        <f>IF((ROUNDDOWN((SUM(M41:M42)/51)-(R41+R42),0.9))&lt;0,0,(ROUNDDOWN((SUM(M41:M42)/51)-(R41+R42),0.9)))</f>
        <v>0</v>
      </c>
      <c r="T41" s="522">
        <f>IF((ROUNDDOWN((SUM(O41:O42)/51)-(R41+R42),0.9))&lt;0,0,(ROUNDDOWN((SUM(O41:O42)/51)-(R41+R42),0.9)))</f>
        <v>0</v>
      </c>
      <c r="U41" s="522">
        <f>IF((ROUNDDOWN((SUM(L41:O42)/51)-(R41+R42+S41+T41),0.9))&lt;0,0,ROUNDDOWN((SUM(L41:O42)/51)-(R41+R42+S41+T41),0.9))</f>
        <v>0</v>
      </c>
      <c r="W41" s="518"/>
      <c r="X41" s="528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41</v>
      </c>
      <c r="G42" s="194">
        <f>'التمام الصباحي'!Q18+'التمام الصباحي'!S18</f>
        <v>16</v>
      </c>
      <c r="H42" s="194">
        <f>'التمام الصباحي'!W18+'التمام الصباحي'!Y18</f>
        <v>14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523"/>
      <c r="T42" s="523"/>
      <c r="U42" s="523"/>
      <c r="W42" s="518"/>
      <c r="X42" s="528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22</v>
      </c>
      <c r="G43" s="194">
        <f>'التمام الصباحي'!Q19+'التمام الصباحي'!S19</f>
        <v>17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8"/>
      <c r="X43" s="529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17</v>
      </c>
      <c r="G44" s="194">
        <f>'التمام الصباحي'!Q20+'التمام الصباحي'!S20</f>
        <v>16</v>
      </c>
      <c r="H44" s="194">
        <f>'التمام الصباحي'!W20+'التمام الصباحي'!Y20</f>
        <v>39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516">
        <f>IF((ROUNDDOWN((SUM(M44:M45)/51)-(R44+R45),0.9))&lt;0,0,(ROUNDDOWN((SUM(M44:M45)/51)-(R44+R45),0.9)))</f>
        <v>0</v>
      </c>
      <c r="T44" s="516">
        <f>IF((ROUNDDOWN((SUM(O44:O45)/51)-(R44+R45),0.9))&lt;0,0,(ROUNDDOWN((SUM(O44:O45)/51)-(R44+R45),0.9)))</f>
        <v>0</v>
      </c>
      <c r="U44" s="516">
        <f>IF((ROUNDDOWN((SUM(L44:O45)/51)-(R44+R45+S44+T44),0.9))&lt;0,0,ROUNDDOWN((SUM(L44:O45)/51)-(R44+R45+S44+T44),0.9))</f>
        <v>0</v>
      </c>
      <c r="W44" s="518" t="s">
        <v>102</v>
      </c>
      <c r="X44" s="527">
        <f>SUM(R44:U47)/3</f>
        <v>1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47</v>
      </c>
      <c r="G45" s="194">
        <f>'التمام الصباحي'!Q21+'التمام الصباحي'!S21</f>
        <v>28</v>
      </c>
      <c r="H45" s="194">
        <f>'التمام الصباحي'!W21+'التمام الصباحي'!Y21</f>
        <v>42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1</v>
      </c>
      <c r="S45" s="517"/>
      <c r="T45" s="517"/>
      <c r="U45" s="517"/>
      <c r="W45" s="518"/>
      <c r="X45" s="528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18</v>
      </c>
      <c r="G46" s="194">
        <f>'التمام الصباحي'!Q22+'التمام الصباحي'!S22</f>
        <v>14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20">
        <f>IF((ROUNDDOWN((SUM(M46:M47)/51)-(R46+R47),0.9))&lt;0,0,(ROUNDDOWN((SUM(M46:M47)/51)-(R46+R47),0.9)))</f>
        <v>0</v>
      </c>
      <c r="T46" s="522">
        <f>IF((ROUNDDOWN((SUM(O46:O47)/51)-(R46+R47),0.9))&lt;0,0,(ROUNDDOWN((SUM(O46:O47)/51)-(R46+R47),0.9)))</f>
        <v>0</v>
      </c>
      <c r="U46" s="522">
        <f t="shared" ref="U46" si="20">IF((ROUNDDOWN((SUM(L46:O47)/51)-(R46+R47+S46+T46),0.9))&lt;0,0,ROUNDDOWN((SUM(L46:O47)/51)-(R46+R47+S46+T46),0.9))</f>
        <v>1</v>
      </c>
      <c r="W46" s="518"/>
      <c r="X46" s="528"/>
    </row>
    <row r="47" spans="3:24" ht="16.5" thickBot="1" x14ac:dyDescent="0.3">
      <c r="D47" s="233" t="s">
        <v>28</v>
      </c>
      <c r="E47" s="194">
        <f>'التمام الصباحي'!E23+'التمام الصباحي'!G23</f>
        <v>17.600000000000001</v>
      </c>
      <c r="F47" s="194">
        <f>'التمام الصباحي'!K23+'التمام الصباحي'!M23</f>
        <v>10</v>
      </c>
      <c r="G47" s="295"/>
      <c r="H47" s="194">
        <f>'التمام الصباحي'!W23+'التمام الصباحي'!Y23</f>
        <v>29</v>
      </c>
      <c r="K47" s="233" t="s">
        <v>28</v>
      </c>
      <c r="L47" s="235">
        <f t="shared" si="14"/>
        <v>17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520"/>
      <c r="T47" s="523"/>
      <c r="U47" s="523"/>
      <c r="W47" s="518"/>
      <c r="X47" s="529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12</v>
      </c>
      <c r="G48" s="295"/>
      <c r="H48" s="194">
        <f>'التمام الصباحي'!W24+'التمام الصباحي'!Y24</f>
        <v>33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6">
        <f>IF((ROUNDDOWN((SUM(M48:M49)/51)-(R48+R49),0.9))&lt;0,0,(ROUNDDOWN((SUM(M48:M49)/51)-(R48+R49),0.9)))</f>
        <v>0</v>
      </c>
      <c r="T48" s="516">
        <f>IF((ROUNDDOWN((SUM(O48:O49)/51)-(R48+R49),0.9))&lt;0,0,(ROUNDDOWN((SUM(O48:O49)/51)-(R48+R49),0.9)))</f>
        <v>0</v>
      </c>
      <c r="U48" s="516">
        <f t="shared" ref="U48" si="22">IF((ROUNDDOWN((SUM(L48:O49)/51)-(R48+R49+S48+T48),0.9))&lt;0,0,ROUNDDOWN((SUM(L48:O49)/51)-(R48+R49+S48+T48),0.9))</f>
        <v>0</v>
      </c>
      <c r="W48" s="518" t="s">
        <v>90</v>
      </c>
      <c r="X48" s="527">
        <f>SUM(R48:U51)/3</f>
        <v>2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43</v>
      </c>
      <c r="G49" s="194">
        <f>'التمام الصباحي'!Q25+'التمام الصباحي'!S25</f>
        <v>15</v>
      </c>
      <c r="H49" s="194">
        <f>'التمام الصباحي'!W25+'التمام الصباحي'!Y25</f>
        <v>97</v>
      </c>
      <c r="K49" s="233" t="s">
        <v>30</v>
      </c>
      <c r="L49" s="234"/>
      <c r="M49" s="235">
        <f t="shared" si="12"/>
        <v>34</v>
      </c>
      <c r="N49" s="235">
        <f t="shared" si="13"/>
        <v>0</v>
      </c>
      <c r="O49" s="235">
        <f t="shared" si="21"/>
        <v>85</v>
      </c>
      <c r="P49" s="236"/>
      <c r="Q49" s="244" t="s">
        <v>31</v>
      </c>
      <c r="R49" s="245">
        <f t="shared" si="11"/>
        <v>2</v>
      </c>
      <c r="S49" s="517"/>
      <c r="T49" s="517"/>
      <c r="U49" s="517"/>
      <c r="W49" s="518"/>
      <c r="X49" s="528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52</v>
      </c>
      <c r="G50" s="194">
        <f>'التمام الصباحي'!Q26+'التمام الصباحي'!S26</f>
        <v>11</v>
      </c>
      <c r="H50" s="194">
        <f>'التمام الصباحي'!W26+'التمام الصباحي'!Y26</f>
        <v>108</v>
      </c>
      <c r="K50" s="233" t="s">
        <v>31</v>
      </c>
      <c r="L50" s="234"/>
      <c r="M50" s="235">
        <f t="shared" si="12"/>
        <v>51</v>
      </c>
      <c r="N50" s="235">
        <f t="shared" si="13"/>
        <v>0</v>
      </c>
      <c r="O50" s="235">
        <f t="shared" si="21"/>
        <v>102</v>
      </c>
      <c r="P50" s="236"/>
      <c r="Q50" s="246" t="s">
        <v>32</v>
      </c>
      <c r="R50" s="247">
        <f t="shared" si="11"/>
        <v>3</v>
      </c>
      <c r="S50" s="520">
        <f>IF((ROUNDDOWN((SUM(M50:M51)/51)-(R50+R51),0.9))&lt;0,0,(ROUNDDOWN((SUM(M50:M51)/51)-(R50+R51),0.9)))</f>
        <v>0</v>
      </c>
      <c r="T50" s="520">
        <f>IF((ROUNDDOWN((SUM(O50:O51)/51)-(R50+R51),0.9))&lt;0,0,(ROUNDDOWN((SUM(O50:O51)/51)-(R50+R51),0.9)))</f>
        <v>0</v>
      </c>
      <c r="U50" s="520">
        <f t="shared" ref="U50" si="23">IF((ROUNDDOWN((SUM(L50:O51)/51)-(R50+R51+S50+T50),0.9))&lt;0,0,ROUNDDOWN((SUM(L50:O51)/51)-(R50+R51+S50+T50),0.9))</f>
        <v>0</v>
      </c>
      <c r="W50" s="518"/>
      <c r="X50" s="528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32</v>
      </c>
      <c r="G51" s="194">
        <f>'التمام الصباحي'!Q27+'التمام الصباحي'!S27</f>
        <v>6</v>
      </c>
      <c r="H51" s="194">
        <f>'التمام الصباحي'!W27+'التمام الصباحي'!Y27</f>
        <v>62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51</v>
      </c>
      <c r="P51" s="236"/>
      <c r="Q51" s="256" t="s">
        <v>33</v>
      </c>
      <c r="R51" s="257">
        <f t="shared" si="11"/>
        <v>1</v>
      </c>
      <c r="S51" s="521"/>
      <c r="T51" s="521"/>
      <c r="U51" s="521"/>
      <c r="W51" s="518"/>
      <c r="X51" s="529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42</v>
      </c>
      <c r="G52" s="194">
        <f>'التمام الصباحي'!Q28+'التمام الصباحي'!S28</f>
        <v>15</v>
      </c>
      <c r="H52" s="194">
        <f>'التمام الصباحي'!W28+'التمام الصباحي'!Y28</f>
        <v>43</v>
      </c>
      <c r="K52" s="233" t="s">
        <v>33</v>
      </c>
      <c r="L52" s="234"/>
      <c r="M52" s="235">
        <f t="shared" si="12"/>
        <v>34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20</v>
      </c>
      <c r="F53" s="194">
        <f>'التمام الصباحي'!K29+'التمام الصباحي'!M29</f>
        <v>26</v>
      </c>
      <c r="G53" s="194">
        <f>'التمام الصباحي'!Q29+'التمام الصباحي'!S29</f>
        <v>6</v>
      </c>
      <c r="H53" s="194">
        <f>'التمام الصباحي'!W29+'التمام الصباحي'!Y29</f>
        <v>53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51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43</v>
      </c>
      <c r="G54" s="194">
        <f>'التمام الصباحي'!Q30+'التمام الصباحي'!S30</f>
        <v>10</v>
      </c>
      <c r="H54" s="354"/>
      <c r="K54" s="233" t="s">
        <v>121</v>
      </c>
      <c r="L54" s="234"/>
      <c r="M54" s="235">
        <f t="shared" si="12"/>
        <v>34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69</v>
      </c>
      <c r="G55" s="194">
        <f>'التمام الصباحي'!Q31+'التمام الصباحي'!S31</f>
        <v>26</v>
      </c>
      <c r="H55" s="354"/>
      <c r="K55" s="353" t="s">
        <v>168</v>
      </c>
      <c r="L55" s="234"/>
      <c r="M55" s="235">
        <f t="shared" si="12"/>
        <v>68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46</v>
      </c>
      <c r="G56" s="194">
        <f>'التمام الصباحي'!Q32+'التمام الصباحي'!S32</f>
        <v>30</v>
      </c>
      <c r="H56" s="354"/>
      <c r="K56" s="353" t="s">
        <v>169</v>
      </c>
      <c r="L56" s="234"/>
      <c r="M56" s="235">
        <f t="shared" si="12"/>
        <v>34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87</v>
      </c>
      <c r="G57" s="194">
        <f>'التمام الصباحي'!Q33+'التمام الصباحي'!S33</f>
        <v>45</v>
      </c>
      <c r="H57" s="354"/>
      <c r="K57" s="318" t="s">
        <v>170</v>
      </c>
      <c r="L57" s="234"/>
      <c r="M57" s="235">
        <f t="shared" si="12"/>
        <v>85</v>
      </c>
      <c r="N57" s="235">
        <f t="shared" si="13"/>
        <v>34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113</v>
      </c>
      <c r="G58" s="194">
        <f>'التمام الصباحي'!Q34+'التمام الصباحي'!S34</f>
        <v>21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1.3333333333333333</v>
      </c>
    </row>
    <row r="4" spans="1:2" x14ac:dyDescent="0.2">
      <c r="A4" t="s">
        <v>109</v>
      </c>
      <c r="B4" s="138">
        <f>'خطة الإمداد'!X44</f>
        <v>1</v>
      </c>
    </row>
    <row r="5" spans="1:2" x14ac:dyDescent="0.2">
      <c r="A5" t="s">
        <v>90</v>
      </c>
      <c r="B5" s="138">
        <f>'خطة الإمداد'!X48</f>
        <v>2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2019-09-27T08:36:00Z</cp:lastPrinted>
  <dcterms:created xsi:type="dcterms:W3CDTF">2018-10-24T15:18:02Z</dcterms:created>
  <dcterms:modified xsi:type="dcterms:W3CDTF">2019-10-07T14:27:18Z</dcterms:modified>
</cp:coreProperties>
</file>