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Past Months\Septemper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6" l="1"/>
  <c r="K21" i="6"/>
  <c r="K22" i="6"/>
  <c r="K24" i="6"/>
  <c r="K14" i="6"/>
  <c r="K18" i="6"/>
  <c r="K17" i="6"/>
  <c r="K15" i="6"/>
  <c r="K13" i="6"/>
  <c r="G24" i="6" l="1"/>
  <c r="F24" i="6"/>
  <c r="E24" i="6"/>
  <c r="J24" i="6" l="1"/>
  <c r="I24" i="6"/>
  <c r="F35" i="1"/>
  <c r="D35" i="1"/>
  <c r="H35" i="1" s="1"/>
  <c r="E35" i="1" l="1"/>
  <c r="G34" i="7"/>
  <c r="F34" i="7"/>
  <c r="C34" i="2" l="1"/>
  <c r="D34" i="2" s="1"/>
  <c r="F34" i="2"/>
  <c r="H34" i="2" s="1"/>
  <c r="I34" i="2"/>
  <c r="J34" i="2" s="1"/>
  <c r="L34" i="2"/>
  <c r="N34" i="2" s="1"/>
  <c r="M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Q35" i="4"/>
  <c r="P37" i="2" s="1"/>
  <c r="K35" i="1" l="1"/>
  <c r="G34" i="2"/>
  <c r="O34" i="2" s="1"/>
  <c r="Q34" i="2" s="1"/>
  <c r="E34" i="2"/>
  <c r="Q35" i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J13" i="6"/>
  <c r="I13" i="6"/>
  <c r="G16" i="6"/>
  <c r="F16" i="6"/>
  <c r="J15" i="6"/>
  <c r="I15" i="6"/>
  <c r="G18" i="5"/>
  <c r="H14" i="6"/>
  <c r="H16" i="6" s="1"/>
  <c r="H25" i="6" s="1"/>
  <c r="E16" i="6"/>
  <c r="E25" i="6" s="1"/>
  <c r="J21" i="6"/>
  <c r="I21" i="6"/>
  <c r="I22" i="6"/>
  <c r="J22" i="6"/>
  <c r="F23" i="6"/>
  <c r="G20" i="6"/>
  <c r="J19" i="6"/>
  <c r="I19" i="6"/>
  <c r="I17" i="6"/>
  <c r="J17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J23" i="6" l="1"/>
  <c r="F25" i="6"/>
  <c r="G25" i="6"/>
  <c r="J14" i="6"/>
  <c r="J16" i="6" s="1"/>
  <c r="X39" i="1"/>
  <c r="R39" i="1"/>
  <c r="F39" i="1"/>
  <c r="K16" i="6"/>
  <c r="I14" i="6"/>
  <c r="I16" i="6" s="1"/>
  <c r="K23" i="6"/>
  <c r="I23" i="6"/>
  <c r="I20" i="6"/>
  <c r="K20" i="6"/>
  <c r="J20" i="6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5" i="6" l="1"/>
  <c r="C44" i="1"/>
  <c r="I25" i="6"/>
  <c r="K25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9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9" i="7"/>
  <c r="D49" i="7"/>
  <c r="F22" i="7" s="1"/>
  <c r="E49" i="7"/>
  <c r="C22" i="7" s="1"/>
  <c r="F49" i="7"/>
  <c r="D22" i="7" s="1"/>
  <c r="G49" i="7"/>
  <c r="E22" i="7" s="1"/>
  <c r="H49" i="7"/>
  <c r="I49" i="7"/>
  <c r="J49" i="7"/>
  <c r="I34" i="7" s="1"/>
  <c r="L49" i="7"/>
  <c r="M49" i="7"/>
  <c r="D34" i="7" s="1"/>
  <c r="N49" i="7"/>
  <c r="E34" i="7" s="1"/>
  <c r="B49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8" i="16"/>
  <c r="G10" i="16"/>
  <c r="G7" i="16"/>
  <c r="G9" i="16"/>
  <c r="D7" i="16"/>
  <c r="D16" i="21"/>
  <c r="D16" i="20"/>
  <c r="C10" i="21" l="1"/>
  <c r="E8" i="21"/>
  <c r="C8" i="21"/>
  <c r="E10" i="21"/>
  <c r="E9" i="21"/>
  <c r="C9" i="21"/>
  <c r="C7" i="21"/>
  <c r="E7" i="21"/>
  <c r="D18" i="20"/>
  <c r="D18" i="21"/>
  <c r="G18" i="22"/>
  <c r="G4" i="17"/>
  <c r="E10" i="20"/>
  <c r="C10" i="20"/>
  <c r="C7" i="20"/>
  <c r="M32" i="22"/>
  <c r="E9" i="20"/>
  <c r="C8" i="20"/>
  <c r="C9" i="20"/>
  <c r="E7" i="20"/>
  <c r="E8" i="20"/>
  <c r="G2" i="17"/>
  <c r="G16" i="22"/>
  <c r="G19" i="22"/>
  <c r="G5" i="17"/>
  <c r="D2" i="17"/>
  <c r="D16" i="22"/>
  <c r="G3" i="17"/>
  <c r="G17" i="22"/>
  <c r="C2" i="24" l="1"/>
  <c r="C34" i="22"/>
  <c r="E3" i="24"/>
  <c r="E35" i="22"/>
  <c r="E36" i="22"/>
  <c r="E4" i="24"/>
  <c r="E37" i="22"/>
  <c r="E5" i="24"/>
  <c r="B10" i="20"/>
  <c r="M34" i="22"/>
  <c r="B8" i="20"/>
  <c r="D10" i="20"/>
  <c r="D8" i="20"/>
  <c r="D7" i="20"/>
  <c r="B7" i="20"/>
  <c r="D9" i="20"/>
  <c r="B9" i="20"/>
  <c r="E34" i="22"/>
  <c r="E2" i="24"/>
  <c r="C4" i="24"/>
  <c r="C36" i="22"/>
  <c r="C3" i="24"/>
  <c r="C35" i="22"/>
  <c r="C5" i="24"/>
  <c r="C37" i="22"/>
  <c r="B10" i="21"/>
  <c r="B7" i="21"/>
  <c r="D8" i="21"/>
  <c r="B9" i="21"/>
  <c r="D7" i="21"/>
  <c r="D9" i="21"/>
  <c r="D10" i="21"/>
  <c r="B8" i="21"/>
  <c r="B34" i="22" l="1"/>
  <c r="B2" i="24"/>
  <c r="B36" i="22"/>
  <c r="B4" i="24"/>
  <c r="D3" i="24"/>
  <c r="D35" i="22"/>
  <c r="B5" i="24"/>
  <c r="B37" i="22"/>
  <c r="D36" i="22"/>
  <c r="D4" i="24"/>
  <c r="D5" i="24"/>
  <c r="D37" i="22"/>
  <c r="B35" i="22"/>
  <c r="B3" i="24"/>
  <c r="D2" i="24"/>
  <c r="D34" i="22"/>
  <c r="D15" i="16" l="1"/>
  <c r="M12" i="22" l="1"/>
  <c r="E8" i="16"/>
  <c r="H8" i="16"/>
  <c r="H10" i="16"/>
  <c r="H7" i="16"/>
  <c r="E10" i="16"/>
  <c r="E7" i="16"/>
  <c r="H17" i="22" l="1"/>
  <c r="H3" i="17"/>
  <c r="H16" i="22"/>
  <c r="H2" i="17"/>
  <c r="H5" i="17"/>
  <c r="H19" i="22"/>
  <c r="E2" i="17"/>
  <c r="E16" i="22"/>
  <c r="E5" i="17"/>
  <c r="E19" i="22"/>
  <c r="E3" i="17"/>
  <c r="E17" i="22"/>
  <c r="D21" i="16" l="1"/>
  <c r="M18" i="22" l="1"/>
  <c r="C8" i="16"/>
  <c r="F10" i="16"/>
  <c r="F8" i="16"/>
  <c r="C10" i="16"/>
  <c r="C7" i="16"/>
  <c r="F7" i="16"/>
  <c r="D9" i="16"/>
  <c r="C9" i="16"/>
  <c r="F9" i="16"/>
  <c r="F2" i="17" l="1"/>
  <c r="F16" i="22"/>
  <c r="F5" i="17"/>
  <c r="F19" i="22"/>
  <c r="C18" i="22"/>
  <c r="C4" i="17"/>
  <c r="C5" i="17"/>
  <c r="C19" i="22"/>
  <c r="D18" i="22"/>
  <c r="D4" i="17"/>
  <c r="F17" i="22"/>
  <c r="F3" i="17"/>
  <c r="F4" i="17"/>
  <c r="F18" i="22"/>
  <c r="C2" i="17"/>
  <c r="C16" i="22"/>
  <c r="C17" i="22"/>
  <c r="C3" i="17"/>
  <c r="D15" i="18" l="1"/>
  <c r="M22" i="22" l="1"/>
  <c r="I10" i="18"/>
  <c r="I9" i="18"/>
  <c r="I7" i="18"/>
  <c r="I25" i="22" l="1"/>
  <c r="I2" i="19"/>
  <c r="I4" i="19"/>
  <c r="I27" i="22"/>
  <c r="I28" i="22"/>
  <c r="I5" i="19"/>
  <c r="D14" i="18" l="1"/>
  <c r="F7" i="18" l="1"/>
  <c r="F10" i="18"/>
  <c r="M21" i="22"/>
  <c r="F9" i="18"/>
  <c r="D7" i="18"/>
  <c r="D9" i="18"/>
  <c r="D10" i="18"/>
  <c r="D5" i="19" l="1"/>
  <c r="D28" i="22"/>
  <c r="F4" i="19"/>
  <c r="F27" i="22"/>
  <c r="D27" i="22"/>
  <c r="D4" i="19"/>
  <c r="F28" i="22"/>
  <c r="F5" i="19"/>
  <c r="D25" i="22"/>
  <c r="D2" i="19"/>
  <c r="F2" i="19"/>
  <c r="F25" i="22"/>
  <c r="F21" i="14" l="1"/>
  <c r="H11" i="14" l="1"/>
  <c r="H14" i="14"/>
  <c r="M6" i="22"/>
  <c r="H9" i="14"/>
  <c r="H12" i="14"/>
  <c r="H3" i="15" l="1"/>
  <c r="H6" i="22"/>
  <c r="H11" i="22"/>
  <c r="H8" i="15"/>
  <c r="H9" i="22"/>
  <c r="H6" i="15"/>
  <c r="H8" i="22"/>
  <c r="H5" i="15"/>
  <c r="D17" i="18" l="1"/>
  <c r="M24" i="22" s="1"/>
  <c r="F18" i="14" l="1"/>
  <c r="F19" i="14"/>
  <c r="G8" i="14" l="1"/>
  <c r="G5" i="22" s="1"/>
  <c r="G13" i="14"/>
  <c r="D8" i="14"/>
  <c r="D5" i="22" s="1"/>
  <c r="G14" i="14"/>
  <c r="G7" i="14"/>
  <c r="D7" i="14"/>
  <c r="D9" i="14"/>
  <c r="D10" i="14"/>
  <c r="G9" i="14"/>
  <c r="M3" i="22"/>
  <c r="D13" i="14"/>
  <c r="G10" i="14"/>
  <c r="D14" i="14"/>
  <c r="C13" i="14"/>
  <c r="C11" i="14"/>
  <c r="C7" i="14"/>
  <c r="F14" i="14"/>
  <c r="C9" i="14"/>
  <c r="F13" i="14"/>
  <c r="F11" i="14"/>
  <c r="M4" i="22"/>
  <c r="C14" i="14"/>
  <c r="C10" i="14"/>
  <c r="C8" i="14"/>
  <c r="C5" i="22" s="1"/>
  <c r="F9" i="14"/>
  <c r="F12" i="14"/>
  <c r="F8" i="14"/>
  <c r="F5" i="22" s="1"/>
  <c r="F10" i="14"/>
  <c r="C12" i="14"/>
  <c r="F7" i="14"/>
  <c r="F4" i="15" l="1"/>
  <c r="F7" i="22"/>
  <c r="C2" i="15"/>
  <c r="C4" i="22"/>
  <c r="C4" i="15"/>
  <c r="C7" i="22"/>
  <c r="F7" i="15"/>
  <c r="F10" i="22"/>
  <c r="C8" i="22"/>
  <c r="C5" i="15"/>
  <c r="D10" i="22"/>
  <c r="D7" i="15"/>
  <c r="D6" i="22"/>
  <c r="D3" i="15"/>
  <c r="G7" i="22"/>
  <c r="G4" i="15"/>
  <c r="G11" i="22"/>
  <c r="G8" i="15"/>
  <c r="F2" i="15"/>
  <c r="F4" i="22"/>
  <c r="F9" i="22"/>
  <c r="F6" i="15"/>
  <c r="C11" i="22"/>
  <c r="C8" i="15"/>
  <c r="C6" i="22"/>
  <c r="C3" i="15"/>
  <c r="C10" i="22"/>
  <c r="C7" i="15"/>
  <c r="D2" i="15"/>
  <c r="D4" i="22"/>
  <c r="G7" i="15"/>
  <c r="G10" i="22"/>
  <c r="F8" i="22"/>
  <c r="F5" i="15"/>
  <c r="D4" i="15"/>
  <c r="D7" i="22"/>
  <c r="C6" i="15"/>
  <c r="C9" i="22"/>
  <c r="F6" i="22"/>
  <c r="F3" i="15"/>
  <c r="F11" i="22"/>
  <c r="F8" i="15"/>
  <c r="D8" i="15"/>
  <c r="D11" i="22"/>
  <c r="G6" i="22"/>
  <c r="G3" i="15"/>
  <c r="G4" i="22"/>
  <c r="G2" i="15"/>
  <c r="F17" i="14" l="1"/>
  <c r="M2" i="22" s="1"/>
  <c r="D20" i="18" l="1"/>
  <c r="G7" i="18" l="1"/>
  <c r="C7" i="18"/>
  <c r="G8" i="18"/>
  <c r="C9" i="18"/>
  <c r="C10" i="18"/>
  <c r="C8" i="18"/>
  <c r="G9" i="18"/>
  <c r="M27" i="22"/>
  <c r="G10" i="18"/>
  <c r="E9" i="18"/>
  <c r="E8" i="18"/>
  <c r="E7" i="18"/>
  <c r="E10" i="18"/>
  <c r="G3" i="19" l="1"/>
  <c r="G26" i="22"/>
  <c r="E28" i="22"/>
  <c r="E5" i="19"/>
  <c r="E2" i="19"/>
  <c r="E25" i="22"/>
  <c r="C4" i="19"/>
  <c r="C27" i="22"/>
  <c r="E3" i="19"/>
  <c r="E26" i="22"/>
  <c r="E27" i="22"/>
  <c r="E4" i="19"/>
  <c r="C26" i="22"/>
  <c r="C3" i="19"/>
  <c r="C25" i="22"/>
  <c r="C2" i="19"/>
  <c r="G4" i="19"/>
  <c r="G27" i="22"/>
  <c r="G5" i="19"/>
  <c r="G28" i="22"/>
  <c r="C28" i="22"/>
  <c r="C5" i="19"/>
  <c r="G25" i="22"/>
  <c r="G2" i="19"/>
</calcChain>
</file>

<file path=xl/sharedStrings.xml><?xml version="1.0" encoding="utf-8"?>
<sst xmlns="http://schemas.openxmlformats.org/spreadsheetml/2006/main" count="1166" uniqueCount="245">
  <si>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</si>
  <si>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</si>
  <si>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</si>
  <si>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</si>
  <si>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</si>
  <si>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</si>
  <si>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</si>
  <si>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</si>
  <si>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</si>
  <si>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</si>
  <si>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</si>
  <si>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</si>
  <si>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</si>
  <si>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</si>
  <si>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</si>
  <si>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</si>
  <si>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</si>
  <si>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</si>
  <si>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</si>
  <si>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</si>
  <si>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</si>
  <si>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</si>
  <si>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</si>
  <si>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</si>
  <si>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</si>
  <si>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</si>
  <si>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</si>
  <si>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</si>
  <si>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</si>
  <si>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</si>
  <si>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</si>
  <si>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</si>
  <si>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</si>
  <si>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</si>
  <si>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</si>
  <si>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</si>
  <si>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</si>
  <si>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</si>
  <si>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</si>
  <si>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</si>
  <si>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</si>
  <si>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</si>
  <si>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</si>
  <si>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</si>
  <si>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</si>
  <si>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</si>
  <si>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</si>
  <si>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</si>
  <si>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</si>
  <si>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</si>
  <si>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</si>
  <si>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</si>
  <si>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</si>
  <si>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</si>
  <si>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</si>
  <si>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</si>
  <si>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</si>
  <si>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</si>
  <si>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</si>
  <si>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</si>
  <si>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</si>
  <si>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</si>
  <si>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</si>
  <si>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</si>
  <si>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</si>
  <si>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</si>
  <si>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</si>
  <si>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</si>
  <si>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</si>
  <si>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</si>
  <si>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</si>
  <si>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</si>
  <si>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</si>
  <si>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</si>
  <si>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</si>
  <si>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</si>
  <si>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</si>
  <si>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</si>
  <si>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</si>
  <si>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</si>
  <si>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</si>
  <si>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</si>
  <si>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</si>
  <si>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</si>
  <si>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</si>
  <si>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</si>
  <si>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</si>
  <si>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</si>
  <si>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</si>
  <si>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</si>
  <si>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</si>
  <si>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</si>
  <si>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</si>
  <si>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</si>
  <si>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</si>
  <si>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</si>
  <si>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</si>
  <si>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</si>
  <si>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</si>
  <si>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</si>
  <si>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</si>
  <si>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</si>
  <si>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</si>
  <si>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</si>
  <si>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</si>
  <si>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</si>
  <si>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</si>
  <si>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</si>
  <si>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</si>
  <si>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</si>
  <si>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</si>
  <si>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</si>
  <si>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</si>
  <si>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</si>
  <si>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</si>
  <si>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</si>
  <si>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</si>
  <si>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</si>
  <si>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</si>
  <si>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</si>
  <si>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</si>
  <si>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</si>
  <si>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</si>
  <si>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</si>
  <si>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</si>
  <si>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</si>
  <si>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</si>
  <si>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</si>
  <si>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</si>
  <si>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</si>
  <si>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</si>
  <si>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</si>
  <si>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</si>
  <si>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</si>
  <si>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</si>
  <si>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</si>
  <si>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</si>
  <si>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</si>
  <si>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</si>
  <si>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</si>
  <si>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</si>
  <si>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</si>
  <si>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</si>
  <si>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</si>
  <si>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</si>
  <si>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</si>
  <si>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</si>
  <si>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</si>
  <si>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</si>
  <si>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</si>
  <si>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</si>
  <si>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</si>
  <si>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</si>
  <si>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</si>
  <si>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</si>
  <si>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</si>
  <si>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</si>
  <si>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</si>
  <si>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</si>
  <si>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</si>
  <si>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</si>
  <si>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</si>
  <si>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</si>
  <si>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</si>
  <si>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</si>
  <si>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</si>
  <si>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</si>
  <si>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</si>
  <si>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</si>
  <si>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</si>
  <si>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</si>
  <si>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</si>
  <si>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</si>
  <si>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</si>
  <si>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</si>
  <si>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</si>
  <si>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</si>
  <si>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</si>
  <si>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</si>
  <si>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</si>
  <si>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</si>
  <si>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</si>
  <si>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</si>
  <si>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</si>
  <si>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</si>
  <si>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</si>
  <si>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</si>
  <si>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</si>
  <si>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</si>
  <si>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</si>
  <si>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</si>
  <si>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</si>
  <si>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</si>
  <si>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</si>
  <si>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</si>
  <si>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</si>
  <si>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</si>
  <si>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</si>
  <si>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</si>
  <si>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</si>
  <si>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</si>
  <si>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</si>
  <si>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</si>
  <si>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</si>
  <si>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</si>
  <si>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</si>
  <si>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</si>
  <si>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</si>
  <si>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</si>
  <si>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</si>
  <si>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</si>
  <si>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</si>
  <si>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</si>
  <si>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</si>
  <si>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</si>
  <si>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</si>
  <si>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</si>
  <si>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</si>
  <si>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اكتوبر 3 (فودافون)</t>
  </si>
  <si>
    <t xml:space="preserve">عميد / اشرف </t>
  </si>
  <si>
    <t>عقيد احمد</t>
  </si>
  <si>
    <t>عميد اسامه</t>
  </si>
  <si>
    <t>عقيد محمد</t>
  </si>
  <si>
    <t>ظ احمد</t>
  </si>
  <si>
    <t>نقيب احمد</t>
  </si>
  <si>
    <t>نقيب ايمن</t>
  </si>
  <si>
    <t>جندي ابراهيم</t>
  </si>
  <si>
    <t>عميد محمد</t>
  </si>
  <si>
    <t>نقيب/ علاء</t>
  </si>
  <si>
    <t>عميد / محمد سعد</t>
  </si>
  <si>
    <t>عميد/ محمد</t>
  </si>
  <si>
    <t>نقيب صلاح</t>
  </si>
  <si>
    <t>عميد اشرف</t>
  </si>
  <si>
    <t xml:space="preserve">عميد / محمد عبد العزيز </t>
  </si>
  <si>
    <t xml:space="preserve">عقيد / احمد امام </t>
  </si>
  <si>
    <t xml:space="preserve">عقيد / علاء </t>
  </si>
  <si>
    <t>جندي حاتم</t>
  </si>
  <si>
    <t>ظ ابراهيم</t>
  </si>
  <si>
    <t>عميد احمد</t>
  </si>
  <si>
    <t>عميد / سعد</t>
  </si>
  <si>
    <t>محاسب ماركو</t>
  </si>
  <si>
    <t>عقيد وائل</t>
  </si>
  <si>
    <t>عقيد فتحي</t>
  </si>
  <si>
    <t xml:space="preserve">معدل البيع اليومى لمحطات وقود شل اوت التي يديرها الوكلاء (المتحدة  - ماستر اكسبريس - اينوتك - ستارت بوينت) 2019/9/27 </t>
  </si>
  <si>
    <t>ستارت بوينت (شريف الجوهري)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</si>
</sst>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3" fontId="2" fillId="0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3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1" xfId="0" applyNumberFormat="1" applyFont="1" applyFill="1" applyBorder="1" applyAlignment="1" applyProtection="1">
      <alignment horizontal="center" vertical="center" readingOrder="2"/>
      <protection locked="0"/>
    </xf>
    <xf numFmtId="3" fontId="6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12" xfId="0" applyFont="1" applyFill="1" applyBorder="1" applyAlignment="1">
      <alignment horizontal="center" vertical="center" readingOrder="2"/>
    </xf>
    <xf numFmtId="0" fontId="13" fillId="18" borderId="13" xfId="0" applyFont="1" applyFill="1" applyBorder="1" applyAlignment="1">
      <alignment horizontal="center" vertical="center" readingOrder="2"/>
    </xf>
    <xf numFmtId="0" fontId="13" fillId="18" borderId="1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9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9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253</v>
          </cell>
        </row>
        <row r="3">
          <cell r="D3">
            <v>1634</v>
          </cell>
        </row>
        <row r="4">
          <cell r="D4">
            <v>448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246DACF-44EC-40C3-9506-C1188D86A4EE}" diskRevisions="1" revisionId="570" version="32">
  <header guid="{230CB6F8-3E74-4B31-A775-D8DB6DEB9663}" dateTime="2019-09-27T09:26:54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9CF2E15-2A6B-47BB-AC30-FA3219D53478}" dateTime="2019-09-27T10:00:06" maxSheetId="25" userName="pp" r:id="rId2" minRId="1" maxRId="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567BDC-507D-4E00-BEBA-A0864AE69AFC}" dateTime="2019-09-27T12:41:09" maxSheetId="25" userName="pp" r:id="rId3" minRId="29" maxRId="2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2287B5C-52B2-4D22-9260-D7F2208BC115}" dateTime="2019-09-28T00:28:27" maxSheetId="25" userName="pp" r:id="rId4" minRId="243" maxRId="2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B0A2CD3-98F0-4129-A101-3E50D7369527}" dateTime="2019-09-28T06:09:17" maxSheetId="25" userName="pp" r:id="rId5" minRId="257" maxRId="2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F885B2E-8F25-4C14-BAEE-0888BF3E1221}" dateTime="2019-09-28T06:17:45" maxSheetId="25" userName="pp" r:id="rId6" minRId="278" maxRId="2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1F75825-8C53-47FB-831B-6E145AB4A13A}" dateTime="2019-09-28T06:36:28" maxSheetId="25" userName="pp" r:id="rId7" minRId="284" maxRId="2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2A98C3-7497-4373-87CF-A1917DEFF5CC}" dateTime="2019-09-28T07:58:24" maxSheetId="25" userName="pp" r:id="rId8" minRId="291" maxRId="3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5072AE-9A53-4216-A6A4-BD760C21F8CC}" dateTime="2019-09-28T08:04:04" maxSheetId="25" userName="pp" r:id="rId9" minRId="322" maxRId="3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AA217E-F52A-4EBB-B580-8263613E772F}" dateTime="2019-09-28T08:05:17" maxSheetId="25" userName="pp" r:id="rId10" minRId="332" maxRId="3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33B525-A17C-4546-A95A-9671659348F5}" dateTime="2019-09-28T08:10:25" maxSheetId="25" userName="pp" r:id="rId11" minRId="338" maxRId="34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FE20C3-6945-415F-8D7B-02A643AF48A8}" dateTime="2019-09-28T08:13:10" maxSheetId="25" userName="pp" r:id="rId12" minRId="346" maxRId="35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5EBD32-DB69-4CA1-8EB1-43DE351FAE6F}" dateTime="2019-09-28T08:14:27" maxSheetId="25" userName="pp" r:id="rId13" minRId="3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F51BD-5D71-47BF-AAA3-DFE577635516}" dateTime="2019-09-28T08:24:24" maxSheetId="25" userName="pp" r:id="rId14" minRId="355" maxRId="3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F7D1C0-5228-461C-AB34-B163985A41AB}" dateTime="2019-09-28T08:46:43" maxSheetId="25" userName="pp" r:id="rId15" minRId="365" maxRId="4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7B9196-B276-408A-960B-CDA1FDC8D375}" dateTime="2019-09-28T09:07:59" maxSheetId="25" userName="pp" r:id="rId16" minRId="403" maxRId="4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6C376F-6D6E-4BF6-B0BF-377C3EAF0608}" dateTime="2019-09-28T09:30:10" maxSheetId="25" userName="pp" r:id="rId17" minRId="420" maxRId="4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DC6789D-7588-4BE4-9238-4FE570302742}" dateTime="2019-09-28T09:36:53" maxSheetId="25" userName="pp" r:id="rId18" minRId="443" maxRId="4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953A025-26AC-4522-8C9B-7664EE414632}" dateTime="2019-09-28T09:51:28" maxSheetId="25" userName="pp" r:id="rId19" minRId="447" maxRId="4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986DD7-4B6D-4879-82C6-61FD494F2374}" dateTime="2019-09-28T09:56:42" maxSheetId="25" userName="pp" r:id="rId20" minRId="453" maxRId="4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49BD0B-84B9-49FE-9B49-3EBDD780BD82}" dateTime="2019-09-28T10:02:37" maxSheetId="25" userName="pp" r:id="rId21" minRId="465" maxRId="4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B31199-576C-4872-8FCD-E32A67DC8177}" dateTime="2019-09-28T10:14:20" maxSheetId="25" userName="pp" r:id="rId22" minRId="475" maxRId="4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D02C79-93B6-47A2-9BDF-97D76F7C09D0}" dateTime="2019-09-28T10:20:29" maxSheetId="25" userName="pp" r:id="rId23" minRId="483" maxRId="4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BED7244-9CF2-4ACF-885D-1DA5FAB78B7F}" dateTime="2019-09-28T10:24:59" maxSheetId="25" userName="pp" r:id="rId24" minRId="489" maxRId="4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855D12-A30D-4BA7-ACBD-0D15E42713DE}" dateTime="2019-09-28T10:26:44" maxSheetId="25" userName="pp" r:id="rId25" minRId="496" maxRId="5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F36632-34E3-4ADD-95A1-80DE24F0A902}" dateTime="2019-09-28T12:07:31" maxSheetId="25" userName="pp" r:id="rId26" minRId="504" maxRId="5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A0E7459-1C38-43DC-84B5-F41530FB03B8}" dateTime="2019-09-28T12:09:12" maxSheetId="25" userName="pp" r:id="rId27" minRId="5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4F4BDC1-84A9-475C-8ADB-31AC75EF2044}" dateTime="2019-09-28T14:45:38" maxSheetId="25" userName="pp" r:id="rId28" minRId="521" maxRId="5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4A014BF-8CD0-4F31-B22B-93CF382185DE}" dateTime="2019-09-28T22:35:27" maxSheetId="25" userName="pp" r:id="rId29" minRId="536" maxRId="54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775976D-70C0-48BB-9D2C-1F0C9EF3F41A}" dateTime="2019-09-29T08:22:14" maxSheetId="25" userName="pp" r:id="rId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A1A0EBD-1357-4281-BD5A-C6EAE64E5F78}" dateTime="2019-10-05T18:38:17" maxSheetId="25" userName="pp" r:id="rId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246DACF-44EC-40C3-9506-C1188D86A4EE}" dateTime="2019-10-07T16:27:44" maxSheetId="25" userName="pp" r:id="rId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" sId="4">
    <nc r="K28">
      <v>8426</v>
    </nc>
  </rcc>
  <rcc rId="333" sId="4">
    <nc r="H28">
      <v>20285</v>
    </nc>
  </rcc>
  <rcc rId="334" sId="4" numFmtId="4">
    <nc r="O28">
      <v>1000</v>
    </nc>
  </rcc>
  <rcc rId="335" sId="4">
    <nc r="F28">
      <v>165</v>
    </nc>
  </rcc>
  <rcc rId="336" sId="4">
    <nc r="I28">
      <v>64</v>
    </nc>
  </rcc>
  <rcc rId="337" sId="4">
    <nc r="R28" t="inlineStr">
      <is>
        <t>نقيب ايمن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4">
    <nc r="H15">
      <v>8566</v>
    </nc>
  </rcc>
  <rcc rId="339" sId="4">
    <nc r="F15">
      <v>53</v>
    </nc>
  </rcc>
  <rcc rId="340" sId="4">
    <nc r="K15">
      <v>3497</v>
    </nc>
  </rcc>
  <rcc rId="341" sId="4">
    <nc r="I15">
      <v>14</v>
    </nc>
  </rcc>
  <rcc rId="342" sId="4">
    <nc r="N15">
      <v>1316</v>
    </nc>
  </rcc>
  <rcc rId="343" sId="4">
    <nc r="L15">
      <v>49</v>
    </nc>
  </rcc>
  <rcc rId="344" sId="4" numFmtId="4">
    <nc r="O15">
      <v>1150</v>
    </nc>
  </rcc>
  <rcc rId="345" sId="4">
    <nc r="R15" t="inlineStr">
      <is>
        <t>جندي ابراهيم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4">
    <nc r="E32">
      <v>10359</v>
    </nc>
  </rcc>
  <rcc rId="347" sId="4">
    <nc r="H32">
      <v>12526</v>
    </nc>
  </rcc>
  <rcc rId="348" sId="4">
    <nc r="K32">
      <v>1147</v>
    </nc>
  </rcc>
  <rcc rId="349" sId="4" numFmtId="4">
    <nc r="O32">
      <v>2113</v>
    </nc>
  </rcc>
  <rcc rId="350" sId="4">
    <nc r="C32">
      <v>68</v>
    </nc>
  </rcc>
  <rcc rId="351" sId="4">
    <nc r="F32">
      <v>66</v>
    </nc>
  </rcc>
  <rcc rId="352" sId="4">
    <nc r="I32">
      <v>85</v>
    </nc>
  </rcc>
  <rcc rId="353" sId="4">
    <nc r="R32" t="inlineStr">
      <is>
        <t>عميد محمد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O35">
      <v>45</v>
    </oc>
    <nc r="O35">
      <v>90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4">
    <nc r="G31">
      <v>51</v>
    </nc>
  </rcc>
  <rcc rId="356" sId="4">
    <nc r="G24">
      <v>17</v>
    </nc>
  </rcc>
  <rcc rId="357" sId="4">
    <nc r="M24">
      <v>34</v>
    </nc>
  </rcc>
  <rcc rId="358" sId="4">
    <nc r="G13">
      <v>34</v>
    </nc>
  </rcc>
  <rcc rId="359" sId="4">
    <nc r="J12">
      <v>17</v>
    </nc>
  </rcc>
  <rcc rId="360" sId="7">
    <nc r="H16">
      <v>51</v>
    </nc>
  </rcc>
  <rcc rId="361" sId="7">
    <nc r="E42">
      <v>17</v>
    </nc>
  </rcc>
  <rcc rId="362" sId="7">
    <nc r="G42">
      <v>34</v>
    </nc>
  </rcc>
  <rcc rId="363" sId="7">
    <nc r="H14">
      <v>34</v>
    </nc>
  </rcc>
  <rcc rId="364" sId="7">
    <nc r="I13">
      <v>17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4">
    <nc r="H27">
      <v>3025</v>
    </nc>
  </rcc>
  <rcc rId="366" sId="4">
    <nc r="K27">
      <v>1501</v>
    </nc>
  </rcc>
  <rcc rId="367" sId="4" numFmtId="4">
    <nc r="O27">
      <v>141</v>
    </nc>
  </rcc>
  <rcc rId="368" sId="4">
    <nc r="F27">
      <v>129</v>
    </nc>
  </rcc>
  <rcc rId="369" sId="4">
    <nc r="I27">
      <v>35</v>
    </nc>
  </rcc>
  <rcc rId="370" sId="4">
    <nc r="R27" t="inlineStr">
      <is>
        <t>نقيب/ علاء</t>
      </is>
    </nc>
  </rcc>
  <rcc rId="371" sId="4">
    <nc r="K18">
      <v>1884</v>
    </nc>
  </rcc>
  <rcc rId="372" sId="4">
    <nc r="H18">
      <v>6590</v>
    </nc>
  </rcc>
  <rcc rId="373" sId="4">
    <nc r="N18">
      <v>17452</v>
    </nc>
  </rcc>
  <rcc rId="374" sId="4" numFmtId="4">
    <nc r="O18">
      <v>625</v>
    </nc>
  </rcc>
  <rcc rId="375" sId="4">
    <nc r="P18">
      <v>1305</v>
    </nc>
  </rcc>
  <rcc rId="376" sId="4">
    <nc r="I18">
      <v>12</v>
    </nc>
  </rcc>
  <rcc rId="377" sId="4">
    <nc r="F18">
      <v>70</v>
    </nc>
  </rcc>
  <rcc rId="378" sId="4">
    <nc r="L18">
      <v>142</v>
    </nc>
  </rcc>
  <rcc rId="379" sId="4">
    <nc r="R18" t="inlineStr">
      <is>
        <t>عميد / محمد سعد</t>
      </is>
    </nc>
  </rcc>
  <rcc rId="380" sId="4">
    <nc r="H20">
      <v>885</v>
    </nc>
  </rcc>
  <rcc rId="381" sId="4">
    <nc r="E20">
      <v>143</v>
    </nc>
  </rcc>
  <rcc rId="382" sId="4">
    <nc r="N20">
      <v>8329</v>
    </nc>
  </rcc>
  <rcc rId="383" sId="4" numFmtId="4">
    <nc r="O20">
      <v>80</v>
    </nc>
  </rcc>
  <rcc rId="384" sId="4">
    <nc r="P20">
      <v>710</v>
    </nc>
  </rcc>
  <rcc rId="385" sId="4">
    <nc r="F20">
      <v>52</v>
    </nc>
  </rcc>
  <rcc rId="386" sId="4">
    <nc r="C20">
      <v>29</v>
    </nc>
  </rcc>
  <rcc rId="387" sId="4">
    <nc r="L20">
      <v>106</v>
    </nc>
  </rcc>
  <rcc rId="388" sId="4">
    <nc r="K24">
      <v>725</v>
    </nc>
  </rcc>
  <rcc rId="389" sId="4">
    <nc r="H24">
      <v>7575</v>
    </nc>
  </rcc>
  <rcc rId="390" sId="4">
    <nc r="N24">
      <v>21792</v>
    </nc>
  </rcc>
  <rcc rId="391" sId="4" numFmtId="4">
    <nc r="O24">
      <v>705</v>
    </nc>
  </rcc>
  <rcc rId="392" sId="4">
    <nc r="P24">
      <v>1615</v>
    </nc>
  </rcc>
  <rcc rId="393" sId="4">
    <nc r="F24">
      <v>70</v>
    </nc>
  </rcc>
  <rcc rId="394" sId="4">
    <nc r="I24">
      <v>27</v>
    </nc>
  </rcc>
  <rcc rId="395" sId="4">
    <nc r="L24">
      <v>150</v>
    </nc>
  </rcc>
  <rcc rId="396" sId="4">
    <nc r="R24" t="inlineStr">
      <is>
        <t>عميد/ محمد</t>
      </is>
    </nc>
  </rcc>
  <rcc rId="397" sId="4">
    <nc r="H30">
      <v>26473</v>
    </nc>
  </rcc>
  <rcc rId="398" sId="4">
    <nc r="K30">
      <v>8025</v>
    </nc>
  </rcc>
  <rcc rId="399" sId="4" numFmtId="4">
    <nc r="O30">
      <v>399</v>
    </nc>
  </rcc>
  <rcc rId="400" sId="4">
    <nc r="F30">
      <v>151</v>
    </nc>
  </rcc>
  <rcc rId="401" sId="4">
    <nc r="I30">
      <v>79</v>
    </nc>
  </rcc>
  <rcc rId="402" sId="4">
    <nc r="R30" t="inlineStr">
      <is>
        <t>نقيب صلاح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4">
    <nc r="E11">
      <v>4928</v>
    </nc>
  </rcc>
  <rcc rId="404" sId="4">
    <nc r="H11">
      <v>14658</v>
    </nc>
  </rcc>
  <rcc rId="405" sId="4">
    <nc r="N11">
      <v>12448</v>
    </nc>
  </rcc>
  <rcc rId="406" sId="4" numFmtId="4">
    <nc r="O11">
      <v>2200</v>
    </nc>
  </rcc>
  <rcc rId="407" sId="4">
    <nc r="C11">
      <v>12</v>
    </nc>
  </rcc>
  <rcc rId="408" sId="4">
    <nc r="F11">
      <v>74</v>
    </nc>
  </rcc>
  <rcc rId="409" sId="4">
    <nc r="L11">
      <v>157</v>
    </nc>
  </rcc>
  <rcc rId="410" sId="4">
    <nc r="R11" t="inlineStr">
      <is>
        <t>عميد اشرف</t>
      </is>
    </nc>
  </rcc>
  <rcc rId="411" sId="4">
    <nc r="K25">
      <v>956</v>
    </nc>
  </rcc>
  <rcc rId="412" sId="4">
    <nc r="H25">
      <v>5784</v>
    </nc>
  </rcc>
  <rcc rId="413" sId="4">
    <nc r="N25">
      <v>15092</v>
    </nc>
  </rcc>
  <rcc rId="414" sId="4" numFmtId="4">
    <nc r="O25">
      <v>554</v>
    </nc>
  </rcc>
  <rcc rId="415" sId="4">
    <nc r="P25">
      <v>1112</v>
    </nc>
  </rcc>
  <rcc rId="416" sId="4">
    <nc r="F25">
      <v>85</v>
    </nc>
  </rcc>
  <rcc rId="417" sId="4">
    <nc r="I25">
      <v>16</v>
    </nc>
  </rcc>
  <rcc rId="418" sId="4">
    <nc r="L25">
      <v>159</v>
    </nc>
  </rcc>
  <rcc rId="419" sId="4">
    <nc r="R25" t="inlineStr">
      <is>
        <t xml:space="preserve">عميد / محمد عبد العزيز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4">
    <nc r="I22">
      <v>16</v>
    </nc>
  </rcc>
  <rcc rId="421" sId="4">
    <nc r="K22">
      <v>1548</v>
    </nc>
  </rcc>
  <rcc rId="422" sId="4">
    <nc r="F22">
      <v>70</v>
    </nc>
  </rcc>
  <rcc rId="423" sId="4">
    <nc r="H22">
      <v>9748</v>
    </nc>
  </rcc>
  <rcc rId="424" sId="4">
    <nc r="L22">
      <v>144</v>
    </nc>
  </rcc>
  <rcc rId="425" sId="4">
    <nc r="N22">
      <v>33318</v>
    </nc>
  </rcc>
  <rcc rId="426" sId="4" numFmtId="4">
    <nc r="O22">
      <v>1100</v>
    </nc>
  </rcc>
  <rcc rId="427" sId="4">
    <nc r="P22">
      <v>2500</v>
    </nc>
  </rcc>
  <rcc rId="428" sId="4">
    <nc r="R22" t="inlineStr">
      <is>
        <t xml:space="preserve">عقيد / احمد امام </t>
      </is>
    </nc>
  </rcc>
  <rcc rId="429" sId="4">
    <nc r="H21">
      <v>1412</v>
    </nc>
  </rcc>
  <rcc rId="430" sId="4">
    <nc r="N21">
      <v>2975</v>
    </nc>
  </rcc>
  <rcc rId="431" sId="4" numFmtId="4">
    <nc r="O21">
      <v>300</v>
    </nc>
  </rcc>
  <rcc rId="432" sId="4">
    <nc r="F21">
      <v>53</v>
    </nc>
  </rcc>
  <rcc rId="433" sId="4">
    <nc r="L21">
      <v>106</v>
    </nc>
  </rcc>
  <rcc rId="434" sId="4">
    <nc r="R21" t="inlineStr">
      <is>
        <t xml:space="preserve">عقيد / علاء </t>
      </is>
    </nc>
  </rcc>
  <rcc rId="435" sId="4">
    <nc r="H14">
      <v>5010</v>
    </nc>
  </rcc>
  <rcc rId="436" sId="4">
    <nc r="K14">
      <v>2744</v>
    </nc>
  </rcc>
  <rcc rId="437" sId="4">
    <nc r="I14">
      <v>23</v>
    </nc>
  </rcc>
  <rcc rId="438" sId="4">
    <nc r="F14">
      <v>83</v>
    </nc>
  </rcc>
  <rcc rId="439" sId="4">
    <nc r="N14">
      <v>65828</v>
    </nc>
  </rcc>
  <rcc rId="440" sId="4">
    <nc r="L14">
      <v>140</v>
    </nc>
  </rcc>
  <rcc rId="441" sId="4" numFmtId="4">
    <nc r="O14">
      <v>7040</v>
    </nc>
  </rcc>
  <rcc rId="442" sId="4">
    <nc r="R14" t="inlineStr">
      <is>
        <t>جندي حاتم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4">
    <nc r="G15">
      <v>34</v>
    </nc>
  </rcc>
  <rcc rId="444" sId="4">
    <nc r="G16">
      <v>17</v>
    </nc>
  </rcc>
  <rcc rId="445" sId="7">
    <nc r="R6">
      <v>34</v>
    </nc>
  </rcc>
  <rcc rId="446" sId="7">
    <nc r="R7">
      <v>17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4">
    <nc r="K29">
      <v>10652</v>
    </nc>
  </rcc>
  <rcc rId="448" sId="4">
    <nc r="H29">
      <v>26378</v>
    </nc>
  </rcc>
  <rcc rId="449" sId="4" numFmtId="4">
    <nc r="O29">
      <v>3000</v>
    </nc>
  </rcc>
  <rcc rId="450" sId="4">
    <nc r="F29">
      <v>134</v>
    </nc>
  </rcc>
  <rcc rId="451" sId="4">
    <nc r="I29">
      <v>58</v>
    </nc>
  </rcc>
  <rcc rId="452" sId="4">
    <nc r="R29" t="inlineStr">
      <is>
        <t>ظ ابراهيم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R29" t="inlineStr">
      <is>
        <t>ضابط ابراهيم</t>
      </is>
    </nc>
  </rcc>
  <rcc rId="2" sId="4">
    <nc r="H21">
      <v>1272</v>
    </nc>
  </rcc>
  <rcc rId="3" sId="4">
    <nc r="N21">
      <v>4824</v>
    </nc>
  </rcc>
  <rcc rId="4" sId="4" numFmtId="4">
    <nc r="O21">
      <v>350</v>
    </nc>
  </rcc>
  <rcc rId="5" sId="4">
    <nc r="F21">
      <v>54</v>
    </nc>
  </rcc>
  <rcc rId="6" sId="4">
    <nc r="L21">
      <v>92</v>
    </nc>
  </rcc>
  <rcc rId="7" sId="4">
    <nc r="R21" t="inlineStr">
      <is>
        <t>عقيد علاء</t>
      </is>
    </nc>
  </rcc>
  <rcc rId="8" sId="4">
    <nc r="H5">
      <v>30126</v>
    </nc>
  </rcc>
  <rcc rId="9" sId="4">
    <nc r="K5">
      <v>14054</v>
    </nc>
  </rcc>
  <rcc rId="10" sId="4" numFmtId="4">
    <nc r="O5">
      <v>2760</v>
    </nc>
  </rcc>
  <rcc rId="11" sId="4">
    <nc r="F5">
      <v>45</v>
    </nc>
  </rcc>
  <rcc rId="12" sId="4">
    <nc r="I5">
      <v>7</v>
    </nc>
  </rcc>
  <rcc rId="13" sId="4">
    <nc r="R5" t="inlineStr">
      <is>
        <t>عقيد / احمد</t>
      </is>
    </nc>
  </rcc>
  <rcc rId="14" sId="4">
    <nc r="E10">
      <v>3246</v>
    </nc>
  </rcc>
  <rcc rId="15" sId="4">
    <nc r="H10">
      <v>22542</v>
    </nc>
  </rcc>
  <rcc rId="16" sId="4">
    <nc r="N10">
      <v>6559</v>
    </nc>
  </rcc>
  <rcc rId="17" sId="4" numFmtId="4">
    <nc r="O10">
      <v>2418</v>
    </nc>
  </rcc>
  <rcc rId="18" sId="4">
    <nc r="C10">
      <v>18</v>
    </nc>
  </rcc>
  <rcc rId="19" sId="4">
    <nc r="F10">
      <v>75</v>
    </nc>
  </rcc>
  <rcc rId="20" sId="4">
    <nc r="L10">
      <v>164</v>
    </nc>
  </rcc>
  <rcc rId="21" sId="4">
    <nc r="R10" t="inlineStr">
      <is>
        <t>عقيد / فتحي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" sId="7" eol="1" ref="A35:XFD35" action="insertRow"/>
  <rrc rId="454" sId="7" eol="1" ref="A36:XFD36" action="insertRow"/>
  <rrc rId="455" sId="7" eol="1" ref="A37:XFD37" action="insertRow"/>
  <rrc rId="456" sId="7" eol="1" ref="A38:XFD38" action="insertRow"/>
  <rrc rId="457" sId="7" eol="1" ref="A39:XFD39" action="insertRow"/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4">
    <nc r="E26">
      <v>2762</v>
    </nc>
  </rcc>
  <rcc rId="466" sId="4">
    <nc r="H26">
      <v>5986</v>
    </nc>
  </rcc>
  <rcc rId="467" sId="4">
    <nc r="K26">
      <v>1432</v>
    </nc>
  </rcc>
  <rcc rId="468" sId="4">
    <nc r="N26">
      <v>11696</v>
    </nc>
  </rcc>
  <rcc rId="469" sId="4" numFmtId="4">
    <nc r="O26">
      <v>900</v>
    </nc>
  </rcc>
  <rcc rId="470" sId="4">
    <nc r="C26">
      <v>72</v>
    </nc>
  </rcc>
  <rcc rId="471" sId="4">
    <nc r="F26">
      <v>40</v>
    </nc>
  </rcc>
  <rcc rId="472" sId="4">
    <nc r="I26">
      <v>39</v>
    </nc>
  </rcc>
  <rcc rId="473" sId="4">
    <nc r="L26">
      <v>166</v>
    </nc>
  </rcc>
  <rcc rId="474" sId="4">
    <nc r="R26" t="inlineStr">
      <is>
        <t>عميد احمد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4">
    <nc r="E7">
      <v>29391</v>
    </nc>
  </rcc>
  <rcc rId="476" sId="4">
    <nc r="H7">
      <v>16208</v>
    </nc>
  </rcc>
  <rcc rId="477" sId="4">
    <nc r="K7">
      <v>3029</v>
    </nc>
  </rcc>
  <rcc rId="478" sId="4" numFmtId="4">
    <nc r="O7">
      <v>2522</v>
    </nc>
  </rcc>
  <rcc rId="479" sId="4">
    <nc r="C7">
      <v>62</v>
    </nc>
  </rcc>
  <rcc rId="480" sId="4">
    <nc r="F7">
      <v>38</v>
    </nc>
  </rcc>
  <rcc rId="481" sId="4">
    <nc r="I7">
      <v>42</v>
    </nc>
  </rcc>
  <rcc rId="482" sId="4">
    <nc r="R7" t="inlineStr">
      <is>
        <t>عميد / سعد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4">
    <nc r="H31">
      <v>46570</v>
    </nc>
  </rcc>
  <rcc rId="484" sId="4">
    <nc r="K31">
      <v>14145</v>
    </nc>
  </rcc>
  <rcc rId="485" sId="4" numFmtId="4">
    <nc r="O31">
      <v>5000</v>
    </nc>
  </rcc>
  <rcc rId="486" sId="4">
    <nc r="F31">
      <v>123</v>
    </nc>
  </rcc>
  <rcc rId="487" sId="4">
    <nc r="I31">
      <v>82</v>
    </nc>
  </rcc>
  <rcc rId="488" sId="4">
    <nc r="R31" t="inlineStr">
      <is>
        <t>محاسب ماركو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4">
    <oc r="F31">
      <v>123</v>
    </oc>
    <nc r="F31">
      <v>174</v>
    </nc>
  </rcc>
  <rcc rId="490" sId="4">
    <nc r="H6">
      <v>20465</v>
    </nc>
  </rcc>
  <rcc rId="491" sId="4">
    <nc r="K6">
      <v>7349</v>
    </nc>
  </rcc>
  <rcc rId="492" sId="4" numFmtId="4">
    <nc r="O6">
      <v>1620</v>
    </nc>
  </rcc>
  <rcc rId="493" sId="4">
    <nc r="F6">
      <v>68</v>
    </nc>
  </rcc>
  <rcc rId="494" sId="4">
    <nc r="I6">
      <v>30</v>
    </nc>
  </rcc>
  <rcc rId="495" sId="4">
    <nc r="R6" t="inlineStr">
      <is>
        <t>عقيد وائل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4">
    <nc r="E10">
      <v>1051</v>
    </nc>
  </rcc>
  <rcc rId="497" sId="4">
    <nc r="H10">
      <v>16030</v>
    </nc>
  </rcc>
  <rcc rId="498" sId="4">
    <nc r="N10">
      <v>3030</v>
    </nc>
  </rcc>
  <rcc rId="499" sId="4" numFmtId="4">
    <nc r="O10">
      <v>1590</v>
    </nc>
  </rcc>
  <rcc rId="500" sId="4">
    <nc r="C10">
      <v>18</v>
    </nc>
  </rcc>
  <rcc rId="501" sId="4">
    <nc r="F10">
      <v>76</v>
    </nc>
  </rcc>
  <rcc rId="502" sId="4">
    <nc r="L10">
      <v>179</v>
    </nc>
  </rcc>
  <rcc rId="503" sId="4">
    <nc r="R10" t="inlineStr">
      <is>
        <t>عقيد فتحي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6">
    <oc r="K13">
      <f>F13*0.1075+G13*0.145</f>
    </oc>
    <nc r="K13">
      <f>F13*0.09+G13*0.125</f>
    </nc>
  </rcc>
  <rcc rId="505" sId="6">
    <oc r="K15">
      <f>E15*0.0695+F15*0.1075+G15*0.145</f>
    </oc>
    <nc r="K15">
      <f>E15*0.0695+F15*0.09+G15*0.125</f>
    </nc>
  </rcc>
  <rcc rId="506" sId="6">
    <oc r="K17">
      <f>F17*0.1075+G17*0.145</f>
    </oc>
    <nc r="K17">
      <f>F17*0.09+G17*0.125</f>
    </nc>
  </rcc>
  <rcc rId="507" sId="6">
    <oc r="K18">
      <f>F18*0.1075+G18*0.145</f>
    </oc>
    <nc r="K18">
      <f>F18*0.09+G18*0.125</f>
    </nc>
  </rcc>
  <rcc rId="508" sId="6">
    <oc r="K14">
      <f>E14*0.0695+F14*0.1075+G14*0.145+H14*0.085</f>
    </oc>
    <nc r="K14">
      <f>E14*0.0695+F14*0.09+G14*0.125+H14*0.07</f>
    </nc>
  </rcc>
  <rcc rId="509" sId="6">
    <oc r="K24">
      <f>E24*0.0695+F24*0.1075+G24*0.145</f>
    </oc>
    <nc r="K24">
      <f>E24*0.0695+F24*0.09+G24*0.125</f>
    </nc>
  </rcc>
  <rcc rId="510" sId="6">
    <oc r="K22">
      <f>F22*0.1075+G22*0.145</f>
    </oc>
    <nc r="K22">
      <f>F22*0.09+G22*0.125</f>
    </nc>
  </rcc>
  <rcc rId="511" sId="6">
    <oc r="K21">
      <f>F21*0.1075+G21*0.145</f>
    </oc>
    <nc r="K21">
      <f>F21*0.09+G21*0.125</f>
    </nc>
  </rcc>
  <rcc rId="512" sId="6">
    <oc r="K19">
      <f>F19*0.1075+G19*0.145</f>
    </oc>
    <nc r="K19">
      <f>F19*0.09+G19*0.125</f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2019/9/26 </t>
      </is>
    </oc>
    <nc r="B6" t="inlineStr">
      <is>
        <t xml:space="preserve">معدل البيع اليومى لمحطات وقود شل اوت التي يديرها الوكلاء (المتحدة  - ماستر اكسبريس - اينوتك - ستارت بوينت) 2019/9/27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6">
    <oc r="D24" t="inlineStr">
      <is>
        <t>ستارت بوينت (شريف الحوهري)</t>
      </is>
    </oc>
    <nc r="D24" t="inlineStr">
      <is>
        <t>ستارت بوينت (شريف الجوهري)</t>
      </is>
    </nc>
  </rcc>
  <rcc rId="522" sId="4">
    <nc r="G29">
      <v>34</v>
    </nc>
  </rcc>
  <rcc rId="523" sId="4">
    <nc r="J29">
      <v>17</v>
    </nc>
  </rcc>
  <rcc rId="524" sId="4">
    <nc r="G10">
      <v>17</v>
    </nc>
  </rcc>
  <rcc rId="525" sId="4">
    <nc r="G11">
      <v>17</v>
    </nc>
  </rcc>
  <rcc rId="526" sId="4">
    <nc r="M11">
      <v>17</v>
    </nc>
  </rcc>
  <rcc rId="527" sId="4">
    <nc r="D7">
      <v>34</v>
    </nc>
  </rcc>
  <rcc rId="528" sId="4">
    <nc r="G8">
      <v>17</v>
    </nc>
  </rcc>
  <rcc rId="529" sId="7">
    <nc r="H18">
      <v>34</v>
    </nc>
  </rcc>
  <rcc rId="530" sId="7">
    <nc r="I18">
      <v>17</v>
    </nc>
  </rcc>
  <rcc rId="531" sId="7">
    <nc r="C12">
      <v>17</v>
    </nc>
  </rcc>
  <rcc rId="532" sId="7">
    <nc r="C11">
      <v>17</v>
    </nc>
  </rcc>
  <rcc rId="533" sId="7">
    <nc r="E12">
      <v>17</v>
    </nc>
  </rcc>
  <rcc rId="534" sId="7">
    <nc r="G8">
      <v>34</v>
    </nc>
  </rcc>
  <rcc rId="535" sId="7">
    <nc r="H9">
      <v>17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4">
    <oc r="M22">
      <v>34</v>
    </oc>
    <nc r="M22">
      <v>85</v>
    </nc>
  </rcc>
  <rcc rId="537" sId="4">
    <nc r="G12">
      <v>51</v>
    </nc>
  </rcc>
  <rcc rId="538" sId="4">
    <nc r="M14">
      <v>51</v>
    </nc>
  </rcc>
  <rcc rId="539" sId="4">
    <nc r="G9">
      <v>34</v>
    </nc>
  </rcc>
  <rcc rId="540" sId="4">
    <nc r="D11">
      <v>17</v>
    </nc>
  </rcc>
  <rcc rId="541" sId="4">
    <nc r="G28">
      <v>34</v>
    </nc>
  </rcc>
  <rcc rId="542" sId="4">
    <nc r="J28">
      <v>17</v>
    </nc>
  </rcc>
  <rcc rId="543" sId="7">
    <nc r="T5">
      <v>51</v>
    </nc>
  </rcc>
  <rcc rId="544" sId="7">
    <oc r="G45">
      <v>34</v>
    </oc>
    <nc r="G45">
      <v>85</v>
    </nc>
  </rcc>
  <rcc rId="545" sId="7">
    <nc r="C17">
      <v>34</v>
    </nc>
  </rcc>
  <rcc rId="546" sId="7">
    <nc r="D17">
      <v>17</v>
    </nc>
  </rcc>
  <rcc rId="547" sId="7">
    <nc r="H10">
      <v>34</v>
    </nc>
  </rcc>
  <rcc rId="548" sId="7">
    <oc r="G8">
      <v>34</v>
    </oc>
    <nc r="G8">
      <v>51</v>
    </nc>
  </rcc>
  <rcc rId="549" sId="7">
    <nc r="C13">
      <v>51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4">
    <oc r="F5">
      <v>45</v>
    </oc>
    <nc r="F5"/>
  </rcc>
  <rcc rId="30" sId="4">
    <oc r="H5">
      <v>30126</v>
    </oc>
    <nc r="H5"/>
  </rcc>
  <rcc rId="31" sId="4">
    <oc r="I5">
      <v>7</v>
    </oc>
    <nc r="I5"/>
  </rcc>
  <rcc rId="32" sId="4">
    <oc r="K5">
      <v>14054</v>
    </oc>
    <nc r="K5"/>
  </rcc>
  <rcc rId="33" sId="4" numFmtId="4">
    <oc r="O5">
      <v>2760</v>
    </oc>
    <nc r="O5"/>
  </rcc>
  <rcc rId="34" sId="4">
    <oc r="F6">
      <v>55</v>
    </oc>
    <nc r="F6"/>
  </rcc>
  <rcc rId="35" sId="4">
    <oc r="H6">
      <v>31282</v>
    </oc>
    <nc r="H6"/>
  </rcc>
  <rcc rId="36" sId="4">
    <oc r="I6">
      <v>21</v>
    </oc>
    <nc r="I6"/>
  </rcc>
  <rcc rId="37" sId="4">
    <oc r="K6">
      <v>10819</v>
    </oc>
    <nc r="K6"/>
  </rcc>
  <rcc rId="38" sId="4" numFmtId="4">
    <oc r="O6">
      <v>2710</v>
    </oc>
    <nc r="O6"/>
  </rcc>
  <rcc rId="39" sId="4">
    <oc r="C7">
      <v>74</v>
    </oc>
    <nc r="C7"/>
  </rcc>
  <rcc rId="40" sId="4">
    <oc r="E7">
      <v>38292</v>
    </oc>
    <nc r="E7"/>
  </rcc>
  <rcc rId="41" sId="4">
    <oc r="F7">
      <v>37</v>
    </oc>
    <nc r="F7"/>
  </rcc>
  <rcc rId="42" sId="4">
    <oc r="H7">
      <v>20671</v>
    </oc>
    <nc r="H7"/>
  </rcc>
  <rcc rId="43" sId="4">
    <oc r="I7">
      <v>28</v>
    </oc>
    <nc r="I7"/>
  </rcc>
  <rcc rId="44" sId="4">
    <oc r="K7">
      <v>4495</v>
    </oc>
    <nc r="K7"/>
  </rcc>
  <rcc rId="45" sId="4" numFmtId="4">
    <oc r="O7">
      <v>3620</v>
    </oc>
    <nc r="O7"/>
  </rcc>
  <rcc rId="46" sId="4">
    <oc r="C8">
      <v>15</v>
    </oc>
    <nc r="C8"/>
  </rcc>
  <rcc rId="47" sId="4">
    <oc r="E8">
      <v>2477</v>
    </oc>
    <nc r="E8"/>
  </rcc>
  <rcc rId="48" sId="4">
    <oc r="F8">
      <v>40</v>
    </oc>
    <nc r="F8"/>
  </rcc>
  <rcc rId="49" sId="4">
    <oc r="H8">
      <v>18412</v>
    </oc>
    <nc r="H8"/>
  </rcc>
  <rcc rId="50" sId="4">
    <oc r="I8">
      <v>14</v>
    </oc>
    <nc r="I8"/>
  </rcc>
  <rcc rId="51" sId="4">
    <oc r="K8">
      <v>7162</v>
    </oc>
    <nc r="K8"/>
  </rcc>
  <rcc rId="52" sId="4">
    <oc r="L8">
      <v>168</v>
    </oc>
    <nc r="L8"/>
  </rcc>
  <rcc rId="53" sId="4">
    <oc r="N8">
      <v>4882</v>
    </oc>
    <nc r="N8"/>
  </rcc>
  <rcc rId="54" sId="4" numFmtId="4">
    <oc r="O8">
      <v>2640</v>
    </oc>
    <nc r="O8"/>
  </rcc>
  <rcc rId="55" sId="4">
    <oc r="F9">
      <v>59</v>
    </oc>
    <nc r="F9"/>
  </rcc>
  <rcc rId="56" sId="4">
    <oc r="H9">
      <v>44075</v>
    </oc>
    <nc r="H9"/>
  </rcc>
  <rcc rId="57" sId="4">
    <oc r="I9">
      <v>15</v>
    </oc>
    <nc r="I9"/>
  </rcc>
  <rcc rId="58" sId="4">
    <oc r="K9">
      <v>11678</v>
    </oc>
    <nc r="K9"/>
  </rcc>
  <rcc rId="59" sId="4" numFmtId="4">
    <oc r="O9">
      <v>3770</v>
    </oc>
    <nc r="O9"/>
  </rcc>
  <rcc rId="60" sId="4">
    <oc r="C10">
      <v>18</v>
    </oc>
    <nc r="C10"/>
  </rcc>
  <rcc rId="61" sId="4">
    <oc r="E10">
      <v>3246</v>
    </oc>
    <nc r="E10"/>
  </rcc>
  <rcc rId="62" sId="4">
    <oc r="F10">
      <v>75</v>
    </oc>
    <nc r="F10"/>
  </rcc>
  <rcc rId="63" sId="4">
    <oc r="H10">
      <v>22542</v>
    </oc>
    <nc r="H10"/>
  </rcc>
  <rcc rId="64" sId="4">
    <oc r="L10">
      <v>164</v>
    </oc>
    <nc r="L10"/>
  </rcc>
  <rcc rId="65" sId="4">
    <oc r="N10">
      <v>6559</v>
    </oc>
    <nc r="N10"/>
  </rcc>
  <rcc rId="66" sId="4" numFmtId="4">
    <oc r="O10">
      <v>2418</v>
    </oc>
    <nc r="O10"/>
  </rcc>
  <rcc rId="67" sId="4">
    <oc r="C11">
      <v>18</v>
    </oc>
    <nc r="C11"/>
  </rcc>
  <rcc rId="68" sId="4">
    <oc r="E11">
      <v>7935</v>
    </oc>
    <nc r="E11"/>
  </rcc>
  <rcc rId="69" sId="4">
    <oc r="F11">
      <v>55</v>
    </oc>
    <nc r="F11"/>
  </rcc>
  <rcc rId="70" sId="4">
    <oc r="H11">
      <v>25038</v>
    </oc>
    <nc r="H11"/>
  </rcc>
  <rcc rId="71" sId="4">
    <oc r="L11">
      <v>135</v>
    </oc>
    <nc r="L11"/>
  </rcc>
  <rcc rId="72" sId="4">
    <oc r="N11">
      <v>20264</v>
    </oc>
    <nc r="N11"/>
  </rcc>
  <rcc rId="73" sId="4" numFmtId="4">
    <oc r="O11">
      <v>3680</v>
    </oc>
    <nc r="O11"/>
  </rcc>
  <rcc rId="74" sId="4">
    <oc r="F12">
      <v>175</v>
    </oc>
    <nc r="F12"/>
  </rcc>
  <rcc rId="75" sId="4">
    <oc r="H12">
      <v>45979</v>
    </oc>
    <nc r="H12"/>
  </rcc>
  <rcc rId="76" sId="4">
    <oc r="I12">
      <v>50</v>
    </oc>
    <nc r="I12"/>
  </rcc>
  <rcc rId="77" sId="4">
    <oc r="K12">
      <v>14446</v>
    </oc>
    <nc r="K12"/>
  </rcc>
  <rcc rId="78" sId="4" numFmtId="4">
    <oc r="O12">
      <v>3740</v>
    </oc>
    <nc r="O12"/>
  </rcc>
  <rcc rId="79" sId="4">
    <oc r="F13">
      <v>125</v>
    </oc>
    <nc r="F13"/>
  </rcc>
  <rcc rId="80" sId="4">
    <oc r="H13">
      <v>42613</v>
    </oc>
    <nc r="H13"/>
  </rcc>
  <rcc rId="81" sId="4">
    <oc r="I13">
      <v>24</v>
    </oc>
    <nc r="I13"/>
  </rcc>
  <rcc rId="82" sId="4">
    <oc r="K13">
      <v>13651</v>
    </oc>
    <nc r="K13"/>
  </rcc>
  <rcc rId="83" sId="4">
    <oc r="L13">
      <v>66</v>
    </oc>
    <nc r="L13"/>
  </rcc>
  <rcc rId="84" sId="4">
    <oc r="N13">
      <v>31964</v>
    </oc>
    <nc r="N13"/>
  </rcc>
  <rcc rId="85" sId="4">
    <oc r="F14">
      <v>73</v>
    </oc>
    <nc r="F14"/>
  </rcc>
  <rcc rId="86" sId="4">
    <oc r="H14">
      <v>7730</v>
    </oc>
    <nc r="H14"/>
  </rcc>
  <rcc rId="87" sId="4">
    <oc r="I14">
      <v>25</v>
    </oc>
    <nc r="I14"/>
  </rcc>
  <rcc rId="88" sId="4">
    <oc r="K14">
      <v>4170</v>
    </oc>
    <nc r="K14"/>
  </rcc>
  <rcc rId="89" sId="4">
    <oc r="L14">
      <v>165</v>
    </oc>
    <nc r="L14"/>
  </rcc>
  <rcc rId="90" sId="4">
    <oc r="N14">
      <v>7083</v>
    </oc>
    <nc r="N14"/>
  </rcc>
  <rcc rId="91" sId="4" numFmtId="4">
    <oc r="O14">
      <v>8304</v>
    </oc>
    <nc r="O14"/>
  </rcc>
  <rcc rId="92" sId="4">
    <oc r="F15">
      <v>61</v>
    </oc>
    <nc r="F15"/>
  </rcc>
  <rcc rId="93" sId="4">
    <oc r="H15">
      <v>12416</v>
    </oc>
    <nc r="H15"/>
  </rcc>
  <rcc rId="94" sId="4">
    <oc r="I15">
      <v>18</v>
    </oc>
    <nc r="I15"/>
  </rcc>
  <rcc rId="95" sId="4">
    <oc r="K15">
      <v>6119</v>
    </oc>
    <nc r="K15"/>
  </rcc>
  <rcc rId="96" sId="4">
    <oc r="L15">
      <v>51</v>
    </oc>
    <nc r="L15"/>
  </rcc>
  <rcc rId="97" sId="4">
    <oc r="N15">
      <v>3363</v>
    </oc>
    <nc r="N15"/>
  </rcc>
  <rcc rId="98" sId="4" numFmtId="4">
    <oc r="O15">
      <v>1910</v>
    </oc>
    <nc r="O15"/>
  </rcc>
  <rcc rId="99" sId="4">
    <oc r="F16">
      <v>43</v>
    </oc>
    <nc r="F16"/>
  </rcc>
  <rcc rId="100" sId="4">
    <oc r="H16">
      <v>3369</v>
    </oc>
    <nc r="H16"/>
  </rcc>
  <rcc rId="101" sId="4">
    <oc r="I16">
      <v>15</v>
    </oc>
    <nc r="I16"/>
  </rcc>
  <rcc rId="102" sId="4">
    <oc r="K16">
      <v>909</v>
    </oc>
    <nc r="K16"/>
  </rcc>
  <rcc rId="103" sId="4" numFmtId="4">
    <oc r="O16">
      <v>436</v>
    </oc>
    <nc r="O16"/>
  </rcc>
  <rcc rId="104" sId="4">
    <oc r="F17">
      <v>77</v>
    </oc>
    <nc r="F17"/>
  </rcc>
  <rcc rId="105" sId="4">
    <oc r="H17">
      <v>3538</v>
    </oc>
    <nc r="H17"/>
  </rcc>
  <rcc rId="106" sId="4">
    <oc r="I17">
      <v>16</v>
    </oc>
    <nc r="I17"/>
  </rcc>
  <rcc rId="107" sId="4">
    <oc r="K17">
      <v>898</v>
    </oc>
    <nc r="K17"/>
  </rcc>
  <rcc rId="108" sId="4">
    <oc r="L17">
      <v>148</v>
    </oc>
    <nc r="L17"/>
  </rcc>
  <rcc rId="109" sId="4">
    <oc r="N17">
      <v>6426</v>
    </oc>
    <nc r="N17"/>
  </rcc>
  <rcc rId="110" sId="4" numFmtId="4">
    <oc r="O17">
      <v>1200</v>
    </oc>
    <nc r="O17"/>
  </rcc>
  <rcc rId="111" sId="4">
    <oc r="F18">
      <v>77</v>
    </oc>
    <nc r="F18"/>
  </rcc>
  <rcc rId="112" sId="4">
    <oc r="H18">
      <v>10685</v>
    </oc>
    <nc r="H18"/>
  </rcc>
  <rcc rId="113" sId="4">
    <oc r="I18">
      <v>15</v>
    </oc>
    <nc r="I18"/>
  </rcc>
  <rcc rId="114" sId="4">
    <oc r="K18">
      <v>3033</v>
    </oc>
    <nc r="K18"/>
  </rcc>
  <rcc rId="115" sId="4">
    <oc r="L18">
      <v>160</v>
    </oc>
    <nc r="L18"/>
  </rcc>
  <rcc rId="116" sId="4">
    <oc r="N18">
      <v>26078</v>
    </oc>
    <nc r="N18"/>
  </rcc>
  <rcc rId="117" sId="4" numFmtId="4">
    <oc r="O18">
      <v>1045</v>
    </oc>
    <nc r="O18"/>
  </rcc>
  <rcc rId="118" sId="4">
    <oc r="P18">
      <v>1975</v>
    </oc>
    <nc r="P18"/>
  </rcc>
  <rcc rId="119" sId="4">
    <oc r="F19">
      <v>80</v>
    </oc>
    <nc r="F19"/>
  </rcc>
  <rcc rId="120" sId="4">
    <oc r="H19">
      <v>8426</v>
    </oc>
    <nc r="H19"/>
  </rcc>
  <rcc rId="121" sId="4">
    <oc r="I19">
      <v>18</v>
    </oc>
    <nc r="I19"/>
  </rcc>
  <rcc rId="122" sId="4">
    <oc r="K19">
      <v>1789</v>
    </oc>
    <nc r="K19"/>
  </rcc>
  <rcc rId="123" sId="4" numFmtId="4">
    <oc r="O19">
      <v>880</v>
    </oc>
    <nc r="O19"/>
  </rcc>
  <rcc rId="124" sId="4">
    <oc r="C20">
      <v>13</v>
    </oc>
    <nc r="C20"/>
  </rcc>
  <rcc rId="125" sId="4">
    <oc r="E20">
      <v>60</v>
    </oc>
    <nc r="E20"/>
  </rcc>
  <rcc rId="126" sId="4">
    <oc r="F20">
      <v>53</v>
    </oc>
    <nc r="F20"/>
  </rcc>
  <rcc rId="127" sId="4">
    <oc r="H20">
      <v>638</v>
    </oc>
    <nc r="H20"/>
  </rcc>
  <rcc rId="128" sId="4">
    <oc r="L20">
      <v>98</v>
    </oc>
    <nc r="L20"/>
  </rcc>
  <rcc rId="129" sId="4">
    <oc r="N20">
      <v>8789</v>
    </oc>
    <nc r="N20"/>
  </rcc>
  <rcc rId="130" sId="4" numFmtId="4">
    <oc r="O20">
      <v>45</v>
    </oc>
    <nc r="O20"/>
  </rcc>
  <rcc rId="131" sId="4">
    <oc r="P20">
      <v>635</v>
    </oc>
    <nc r="P20"/>
  </rcc>
  <rcc rId="132" sId="4">
    <oc r="F21">
      <v>54</v>
    </oc>
    <nc r="F21"/>
  </rcc>
  <rcc rId="133" sId="4">
    <oc r="H21">
      <v>1272</v>
    </oc>
    <nc r="H21"/>
  </rcc>
  <rcc rId="134" sId="4">
    <oc r="L21">
      <v>92</v>
    </oc>
    <nc r="L21"/>
  </rcc>
  <rcc rId="135" sId="4">
    <oc r="N21">
      <v>4824</v>
    </oc>
    <nc r="N21"/>
  </rcc>
  <rcc rId="136" sId="4" numFmtId="4">
    <oc r="O21">
      <v>350</v>
    </oc>
    <nc r="O21"/>
  </rcc>
  <rcc rId="137" sId="4">
    <oc r="F22">
      <v>62</v>
    </oc>
    <nc r="F22"/>
  </rcc>
  <rcc rId="138" sId="4">
    <oc r="H22">
      <v>13516</v>
    </oc>
    <nc r="H22"/>
  </rcc>
  <rcc rId="139" sId="4">
    <oc r="I22">
      <v>18</v>
    </oc>
    <nc r="I22"/>
  </rcc>
  <rcc rId="140" sId="4">
    <oc r="K22">
      <v>2102</v>
    </oc>
    <nc r="K22"/>
  </rcc>
  <rcc rId="141" sId="4">
    <oc r="L22">
      <v>126</v>
    </oc>
    <nc r="L22"/>
  </rcc>
  <rcc rId="142" sId="4">
    <oc r="N22">
      <v>50022</v>
    </oc>
    <nc r="N22"/>
  </rcc>
  <rcc rId="143" sId="4" numFmtId="4">
    <oc r="O22">
      <v>1530</v>
    </oc>
    <nc r="O22"/>
  </rcc>
  <rcc rId="144" sId="4">
    <oc r="P22">
      <v>3830</v>
    </oc>
    <nc r="P22"/>
  </rcc>
  <rcc rId="145" sId="4">
    <oc r="F23">
      <v>55</v>
    </oc>
    <nc r="F23"/>
  </rcc>
  <rcc rId="146" sId="4">
    <oc r="H23">
      <v>24861</v>
    </oc>
    <nc r="H23"/>
  </rcc>
  <rcc rId="147" sId="4">
    <oc r="I23">
      <v>23</v>
    </oc>
    <nc r="I23"/>
  </rcc>
  <rcc rId="148" sId="4">
    <oc r="K23">
      <v>4952</v>
    </oc>
    <nc r="K23"/>
  </rcc>
  <rcc rId="149" sId="4">
    <oc r="L23">
      <v>112</v>
    </oc>
    <nc r="L23"/>
  </rcc>
  <rcc rId="150" sId="4">
    <oc r="N23">
      <v>61115</v>
    </oc>
    <nc r="N23"/>
  </rcc>
  <rcc rId="151" sId="4" numFmtId="4">
    <oc r="O23">
      <v>2340</v>
    </oc>
    <nc r="O23"/>
  </rcc>
  <rcc rId="152" sId="4">
    <oc r="P23">
      <v>4600</v>
    </oc>
    <nc r="P23"/>
  </rcc>
  <rcc rId="153" sId="4">
    <oc r="F24">
      <v>70</v>
    </oc>
    <nc r="F24"/>
  </rcc>
  <rcc rId="154" sId="4">
    <oc r="H24">
      <v>10774</v>
    </oc>
    <nc r="H24"/>
  </rcc>
  <rcc rId="155" sId="4">
    <oc r="I24">
      <v>26</v>
    </oc>
    <nc r="I24"/>
  </rcc>
  <rcc rId="156" sId="4">
    <oc r="K24">
      <v>1781</v>
    </oc>
    <nc r="K24"/>
  </rcc>
  <rcc rId="157" sId="4">
    <oc r="L24">
      <v>140</v>
    </oc>
    <nc r="L24"/>
  </rcc>
  <rcc rId="158" sId="4">
    <oc r="N24">
      <v>23919</v>
    </oc>
    <nc r="N24"/>
  </rcc>
  <rcc rId="159" sId="4" numFmtId="4">
    <oc r="O24">
      <v>1070</v>
    </oc>
    <nc r="O24"/>
  </rcc>
  <rcc rId="160" sId="4">
    <oc r="P24">
      <v>1900</v>
    </oc>
    <nc r="P24"/>
  </rcc>
  <rcc rId="161" sId="4">
    <oc r="F25">
      <v>57</v>
    </oc>
    <nc r="F25"/>
  </rcc>
  <rcc rId="162" sId="4">
    <oc r="H25">
      <v>10102</v>
    </oc>
    <nc r="H25"/>
  </rcc>
  <rcc rId="163" sId="4">
    <oc r="I25">
      <v>17</v>
    </oc>
    <nc r="I25"/>
  </rcc>
  <rcc rId="164" sId="4">
    <oc r="K25">
      <v>1600</v>
    </oc>
    <nc r="K25"/>
  </rcc>
  <rcc rId="165" sId="4">
    <oc r="L25">
      <v>156</v>
    </oc>
    <nc r="L25"/>
  </rcc>
  <rcc rId="166" sId="4">
    <oc r="N25">
      <v>23898</v>
    </oc>
    <nc r="N25"/>
  </rcc>
  <rcc rId="167" sId="4" numFmtId="4">
    <oc r="O25">
      <v>1010</v>
    </oc>
    <nc r="O25"/>
  </rcc>
  <rcc rId="168" sId="4">
    <oc r="P25">
      <v>1855</v>
    </oc>
    <nc r="P25"/>
  </rcc>
  <rcc rId="169" sId="4">
    <oc r="C26">
      <v>75</v>
    </oc>
    <nc r="C26"/>
  </rcc>
  <rcc rId="170" sId="4">
    <oc r="E26">
      <v>4466</v>
    </oc>
    <nc r="E26"/>
  </rcc>
  <rcc rId="171" sId="4">
    <oc r="F26">
      <v>28</v>
    </oc>
    <nc r="F26"/>
  </rcc>
  <rcc rId="172" sId="4">
    <oc r="H26">
      <v>9677</v>
    </oc>
    <nc r="H26"/>
  </rcc>
  <rcc rId="173" sId="4">
    <oc r="I26">
      <v>41</v>
    </oc>
    <nc r="I26"/>
  </rcc>
  <rcc rId="174" sId="4">
    <oc r="K26">
      <v>1671</v>
    </oc>
    <nc r="K26"/>
  </rcc>
  <rcc rId="175" sId="4">
    <oc r="L26">
      <v>143</v>
    </oc>
    <nc r="L26"/>
  </rcc>
  <rcc rId="176" sId="4">
    <oc r="N26">
      <v>14067</v>
    </oc>
    <nc r="N26"/>
  </rcc>
  <rcc rId="177" sId="4" numFmtId="4">
    <oc r="O26">
      <v>1150</v>
    </oc>
    <nc r="O26"/>
  </rcc>
  <rcc rId="178" sId="4">
    <oc r="F27">
      <v>98</v>
    </oc>
    <nc r="F27"/>
  </rcc>
  <rcc rId="179" sId="4">
    <oc r="H27">
      <v>9712</v>
    </oc>
    <nc r="H27"/>
  </rcc>
  <rcc rId="180" sId="4">
    <oc r="I27">
      <v>37</v>
    </oc>
    <nc r="I27"/>
  </rcc>
  <rcc rId="181" sId="4">
    <oc r="K27">
      <v>1942</v>
    </oc>
    <nc r="K27"/>
  </rcc>
  <rcc rId="182" sId="4" numFmtId="4">
    <oc r="O27">
      <v>273</v>
    </oc>
    <nc r="O27"/>
  </rcc>
  <rcc rId="183" sId="4">
    <oc r="F28">
      <v>138</v>
    </oc>
    <nc r="F28"/>
  </rcc>
  <rcc rId="184" sId="4">
    <oc r="H28">
      <v>33357</v>
    </oc>
    <nc r="H28"/>
  </rcc>
  <rcc rId="185" sId="4">
    <oc r="I28">
      <v>74</v>
    </oc>
    <nc r="I28"/>
  </rcc>
  <rcc rId="186" sId="4">
    <oc r="K28">
      <v>12042</v>
    </oc>
    <nc r="K28"/>
  </rcc>
  <rcc rId="187" sId="4" numFmtId="4">
    <oc r="O28">
      <v>1600</v>
    </oc>
    <nc r="O28"/>
  </rcc>
  <rcc rId="188" sId="4">
    <oc r="F29">
      <v>161</v>
    </oc>
    <nc r="F29"/>
  </rcc>
  <rcc rId="189" sId="4">
    <oc r="H29">
      <v>35533</v>
    </oc>
    <nc r="H29"/>
  </rcc>
  <rcc rId="190" sId="4">
    <oc r="I29">
      <v>69</v>
    </oc>
    <nc r="I29"/>
  </rcc>
  <rcc rId="191" sId="4">
    <oc r="K29">
      <v>13507</v>
    </oc>
    <nc r="K29"/>
  </rcc>
  <rcc rId="192" sId="4" numFmtId="4">
    <oc r="O29">
      <v>4100</v>
    </oc>
    <nc r="O29"/>
  </rcc>
  <rcc rId="193" sId="4">
    <oc r="F30">
      <v>126</v>
    </oc>
    <nc r="F30"/>
  </rcc>
  <rcc rId="194" sId="4">
    <oc r="H30">
      <v>40323</v>
    </oc>
    <nc r="H30"/>
  </rcc>
  <rcc rId="195" sId="4">
    <oc r="I30">
      <v>53</v>
    </oc>
    <nc r="I30"/>
  </rcc>
  <rcc rId="196" sId="4">
    <oc r="K30">
      <v>10296</v>
    </oc>
    <nc r="K30"/>
  </rcc>
  <rcc rId="197" sId="4">
    <oc r="F31">
      <v>119</v>
    </oc>
    <nc r="F31"/>
  </rcc>
  <rcc rId="198" sId="4">
    <oc r="H31">
      <v>62358</v>
    </oc>
    <nc r="H31"/>
  </rcc>
  <rcc rId="199" sId="4">
    <oc r="I31">
      <v>80</v>
    </oc>
    <nc r="I31"/>
  </rcc>
  <rcc rId="200" sId="4">
    <oc r="K31">
      <v>15815</v>
    </oc>
    <nc r="K31"/>
  </rcc>
  <rcc rId="201" sId="4" numFmtId="4">
    <oc r="O31">
      <v>6400</v>
    </oc>
    <nc r="O31"/>
  </rcc>
  <rcc rId="202" sId="4">
    <oc r="C32">
      <v>79</v>
    </oc>
    <nc r="C32"/>
  </rcc>
  <rcc rId="203" sId="4">
    <oc r="E32">
      <v>7425</v>
    </oc>
    <nc r="E32"/>
  </rcc>
  <rcc rId="204" sId="4">
    <oc r="F32">
      <v>78</v>
    </oc>
    <nc r="F32"/>
  </rcc>
  <rcc rId="205" sId="4">
    <oc r="H32">
      <v>8104</v>
    </oc>
    <nc r="H32"/>
  </rcc>
  <rcc rId="206" sId="4">
    <oc r="I32">
      <v>86</v>
    </oc>
    <nc r="I32"/>
  </rcc>
  <rcc rId="207" sId="4">
    <oc r="K32">
      <v>1309</v>
    </oc>
    <nc r="K32"/>
  </rcc>
  <rcc rId="208" sId="4" numFmtId="4">
    <oc r="O32">
      <v>1280</v>
    </oc>
    <nc r="O32"/>
  </rcc>
  <rcc rId="209" sId="4">
    <oc r="R5" t="inlineStr">
      <is>
        <t>عقيد / احمد</t>
      </is>
    </oc>
    <nc r="R5"/>
  </rcc>
  <rcc rId="210" sId="4">
    <oc r="R6" t="inlineStr">
      <is>
        <t xml:space="preserve">مصطفي المحاسب </t>
      </is>
    </oc>
    <nc r="R6"/>
  </rcc>
  <rcc rId="211" sId="4">
    <oc r="R7" t="inlineStr">
      <is>
        <t>اكرم / محاسب</t>
      </is>
    </oc>
    <nc r="R7"/>
  </rcc>
  <rcc rId="212" sId="4">
    <oc r="R8" t="inlineStr">
      <is>
        <t>نقيب / احمد</t>
      </is>
    </oc>
    <nc r="R8"/>
  </rcc>
  <rcc rId="213" sId="4">
    <oc r="R9" t="inlineStr">
      <is>
        <t>عقيد/ محمد عيسي</t>
      </is>
    </oc>
    <nc r="R9"/>
  </rcc>
  <rcc rId="214" sId="4">
    <oc r="R10" t="inlineStr">
      <is>
        <t>عقيد / فتحي</t>
      </is>
    </oc>
    <nc r="R10"/>
  </rcc>
  <rcc rId="215" sId="4">
    <oc r="R11" t="inlineStr">
      <is>
        <t xml:space="preserve">عميد / اشرف </t>
      </is>
    </oc>
    <nc r="R11"/>
  </rcc>
  <rcc rId="216" sId="4">
    <oc r="R12" t="inlineStr">
      <is>
        <t xml:space="preserve">محمود احمد </t>
      </is>
    </oc>
    <nc r="R12"/>
  </rcc>
  <rcc rId="217" sId="4">
    <oc r="R13" t="inlineStr">
      <is>
        <t>عميد / اسامه</t>
      </is>
    </oc>
    <nc r="R13"/>
  </rcc>
  <rcc rId="218" sId="4">
    <oc r="R14" t="inlineStr">
      <is>
        <t xml:space="preserve">جندي / حاتم </t>
      </is>
    </oc>
    <nc r="R14"/>
  </rcc>
  <rcc rId="219" sId="4">
    <oc r="R15" t="inlineStr">
      <is>
        <t xml:space="preserve">جندي / ابراهيم </t>
      </is>
    </oc>
    <nc r="R15"/>
  </rcc>
  <rcc rId="220" sId="4">
    <oc r="R16" t="inlineStr">
      <is>
        <t xml:space="preserve">نقيب محمود </t>
      </is>
    </oc>
    <nc r="R16"/>
  </rcc>
  <rcc rId="221" sId="4">
    <oc r="R18" t="inlineStr">
      <is>
        <t>عميد / محمد سعد</t>
      </is>
    </oc>
    <nc r="R18"/>
  </rcc>
  <rcc rId="222" sId="4">
    <oc r="R19" t="inlineStr">
      <is>
        <t xml:space="preserve">عقيد/ طارق </t>
      </is>
    </oc>
    <nc r="R19"/>
  </rcc>
  <rcc rId="223" sId="4">
    <oc r="R20" t="inlineStr">
      <is>
        <t>احمد المحاسب</t>
      </is>
    </oc>
    <nc r="R20"/>
  </rcc>
  <rcc rId="224" sId="4">
    <oc r="R21" t="inlineStr">
      <is>
        <t>عقيد علاء</t>
      </is>
    </oc>
    <nc r="R21"/>
  </rcc>
  <rcc rId="225" sId="4">
    <oc r="R22" t="inlineStr">
      <is>
        <t xml:space="preserve">جندي / صبحي نصر </t>
      </is>
    </oc>
    <nc r="R22"/>
  </rcc>
  <rcc rId="226" sId="4">
    <oc r="R23" t="inlineStr">
      <is>
        <t xml:space="preserve">عميد اشرف </t>
      </is>
    </oc>
    <nc r="R23"/>
  </rcc>
  <rcc rId="227" sId="4">
    <oc r="R24" t="inlineStr">
      <is>
        <t xml:space="preserve">عقيد / محمد فاروق </t>
      </is>
    </oc>
    <nc r="R24"/>
  </rcc>
  <rcc rId="228" sId="4">
    <oc r="R25" t="inlineStr">
      <is>
        <t>جندي / احمد محمد</t>
      </is>
    </oc>
    <nc r="R25"/>
  </rcc>
  <rcc rId="229" sId="4">
    <oc r="R26" t="inlineStr">
      <is>
        <t>عميد / احمد</t>
      </is>
    </oc>
    <nc r="R26"/>
  </rcc>
  <rcc rId="230" sId="4">
    <oc r="R27" t="inlineStr">
      <is>
        <t xml:space="preserve">نقيب / علاء </t>
      </is>
    </oc>
    <nc r="R27"/>
  </rcc>
  <rcc rId="231" sId="4">
    <oc r="R28" t="inlineStr">
      <is>
        <t>نقيب / ايمن</t>
      </is>
    </oc>
    <nc r="R28"/>
  </rcc>
  <rcc rId="232" sId="4">
    <oc r="R29" t="inlineStr">
      <is>
        <t>ضابط ابراهيم</t>
      </is>
    </oc>
    <nc r="R29"/>
  </rcc>
  <rcc rId="233" sId="4">
    <oc r="R30" t="inlineStr">
      <is>
        <t xml:space="preserve">نقيب / صلاح </t>
      </is>
    </oc>
    <nc r="R30"/>
  </rcc>
  <rcc rId="234" sId="4">
    <oc r="R31" t="inlineStr">
      <is>
        <t>نقيب / وليد</t>
      </is>
    </oc>
    <nc r="R31"/>
  </rcc>
  <rcc rId="235" sId="4">
    <oc r="R32" t="inlineStr">
      <is>
        <t>عقيد / محمد عبد العزيز</t>
      </is>
    </oc>
    <nc r="R32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4">
    <nc r="G6">
      <v>34</v>
    </nc>
  </rcc>
  <rcc rId="244" sId="4">
    <nc r="J6">
      <v>17</v>
    </nc>
  </rcc>
  <rcc rId="245" sId="4">
    <nc r="G7">
      <v>17</v>
    </nc>
  </rcc>
  <rcc rId="246" sId="4">
    <nc r="J7">
      <v>17</v>
    </nc>
  </rcc>
  <rcc rId="247" sId="4">
    <nc r="J8">
      <v>17</v>
    </nc>
  </rcc>
  <rcc rId="248" sId="4">
    <nc r="J30">
      <v>34</v>
    </nc>
  </rcc>
  <rcc rId="249" sId="4">
    <nc r="J31">
      <v>17</v>
    </nc>
  </rcc>
  <rcc rId="250" sId="7">
    <nc r="I7">
      <v>17</v>
    </nc>
  </rcc>
  <rcc rId="251" sId="7">
    <nc r="I8">
      <v>17</v>
    </nc>
  </rcc>
  <rcc rId="252" sId="7">
    <nc r="H7">
      <v>34</v>
    </nc>
  </rcc>
  <rcc rId="253" sId="7">
    <nc r="H8">
      <v>17</v>
    </nc>
  </rcc>
  <rcc rId="254" sId="7">
    <nc r="I9">
      <v>17</v>
    </nc>
  </rcc>
  <rcc rId="255" sId="7">
    <nc r="I15">
      <v>34</v>
    </nc>
  </rcc>
  <rcc rId="256" sId="7">
    <nc r="I16">
      <v>17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4">
    <nc r="K23">
      <v>2125</v>
    </nc>
  </rcc>
  <rcc rId="258" sId="4">
    <nc r="H23">
      <v>9897</v>
    </nc>
  </rcc>
  <rcc rId="259" sId="4">
    <nc r="N23">
      <v>37636</v>
    </nc>
  </rcc>
  <rcc rId="260" sId="4" numFmtId="4">
    <nc r="O23">
      <v>1045</v>
    </nc>
  </rcc>
  <rcc rId="261" sId="4">
    <nc r="P23">
      <v>2830</v>
    </nc>
  </rcc>
  <rcc rId="262" sId="4">
    <nc r="I23">
      <v>20</v>
    </nc>
  </rcc>
  <rcc rId="263" sId="4">
    <nc r="F23">
      <v>80</v>
    </nc>
  </rcc>
  <rcc rId="264" sId="4">
    <nc r="L23">
      <v>129</v>
    </nc>
  </rcc>
  <rcc rId="265" sId="4">
    <nc r="R23" t="inlineStr">
      <is>
        <t xml:space="preserve">عميد / اشرف </t>
      </is>
    </nc>
  </rcc>
  <rcc rId="266" sId="4">
    <nc r="M23">
      <v>51</v>
    </nc>
  </rcc>
  <rcc rId="267" sId="4">
    <nc r="M22">
      <v>34</v>
    </nc>
  </rcc>
  <rcc rId="268" sId="4">
    <nc r="G22">
      <v>17</v>
    </nc>
  </rcc>
  <rcc rId="269" sId="4">
    <nc r="G18">
      <v>17</v>
    </nc>
  </rcc>
  <rcc rId="270" sId="4">
    <nc r="J18">
      <v>17</v>
    </nc>
  </rcc>
  <rcc rId="271" sId="4">
    <nc r="M18">
      <v>17</v>
    </nc>
  </rcc>
  <rcc rId="272" sId="7">
    <nc r="G41">
      <v>51</v>
    </nc>
  </rcc>
  <rcc rId="273" sId="7">
    <nc r="G40">
      <v>34</v>
    </nc>
  </rcc>
  <rcc rId="274" sId="7">
    <nc r="E40">
      <v>17</v>
    </nc>
  </rcc>
  <rcc rId="275" sId="7">
    <nc r="F28">
      <v>17</v>
    </nc>
  </rcc>
  <rcc rId="276" sId="7">
    <nc r="G28">
      <v>17</v>
    </nc>
  </rcc>
  <rcc rId="277" sId="7">
    <nc r="I28">
      <v>17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4">
    <nc r="H5">
      <v>13832</v>
    </nc>
  </rcc>
  <rcc rId="279" sId="4">
    <nc r="K5">
      <v>6574</v>
    </nc>
  </rcc>
  <rcc rId="280" sId="4" numFmtId="4">
    <nc r="O5">
      <v>1270</v>
    </nc>
  </rcc>
  <rcc rId="281" sId="4">
    <nc r="F5">
      <v>83</v>
    </nc>
  </rcc>
  <rcc rId="282" sId="4">
    <nc r="I5">
      <v>18</v>
    </nc>
  </rcc>
  <rcc rId="283" sId="4">
    <nc r="R5" t="inlineStr">
      <is>
        <t>عقيد احمد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4">
    <nc r="K13">
      <v>6714</v>
    </nc>
  </rcc>
  <rcc rId="285" sId="4">
    <nc r="H13">
      <v>18022</v>
    </nc>
  </rcc>
  <rcc rId="286" sId="4">
    <nc r="N13">
      <v>13946</v>
    </nc>
  </rcc>
  <rcc rId="287" sId="4">
    <nc r="I13">
      <v>34</v>
    </nc>
  </rcc>
  <rcc rId="288" sId="4">
    <nc r="F13">
      <v>140</v>
    </nc>
  </rcc>
  <rcc rId="289" sId="4">
    <nc r="L13">
      <v>105</v>
    </nc>
  </rcc>
  <rcc rId="290" sId="4">
    <nc r="R13" t="inlineStr">
      <is>
        <t>عميد اسامه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4">
    <nc r="K17">
      <v>479</v>
    </nc>
  </rcc>
  <rcc rId="292" sId="4">
    <nc r="H17">
      <v>2413</v>
    </nc>
  </rcc>
  <rcc rId="293" sId="4">
    <nc r="N17">
      <v>3978</v>
    </nc>
  </rcc>
  <rcc rId="294" sId="4" numFmtId="4">
    <nc r="O17">
      <v>750</v>
    </nc>
  </rcc>
  <rcc rId="295" sId="4">
    <nc r="I17">
      <v>15</v>
    </nc>
  </rcc>
  <rcc rId="296" sId="4">
    <nc r="F17">
      <v>75</v>
    </nc>
  </rcc>
  <rcc rId="297" sId="4">
    <nc r="L17">
      <v>144</v>
    </nc>
  </rcc>
  <rcc rId="298" sId="4">
    <nc r="R17" t="inlineStr">
      <is>
        <t>عقيد احمد</t>
      </is>
    </nc>
  </rcc>
  <rcc rId="299" sId="4">
    <nc r="K19">
      <v>1113</v>
    </nc>
  </rcc>
  <rcc rId="300" sId="4">
    <nc r="H19">
      <v>5172</v>
    </nc>
  </rcc>
  <rcc rId="301" sId="4" numFmtId="4">
    <nc r="O19">
      <v>530</v>
    </nc>
  </rcc>
  <rcc rId="302" sId="4">
    <nc r="F19">
      <v>75</v>
    </nc>
  </rcc>
  <rcc rId="303" sId="4">
    <nc r="I19">
      <v>16</v>
    </nc>
  </rcc>
  <rcc rId="304" sId="4">
    <nc r="R19" t="inlineStr">
      <is>
        <t>عقيد احمد</t>
      </is>
    </nc>
  </rcc>
  <rcc rId="305" sId="4">
    <nc r="R9" t="inlineStr">
      <is>
        <t>عقيد محمد</t>
      </is>
    </nc>
  </rcc>
  <rcc rId="306" sId="4">
    <nc r="H9">
      <v>26080</v>
    </nc>
  </rcc>
  <rcc rId="307" sId="4">
    <nc r="K9">
      <v>8497</v>
    </nc>
  </rcc>
  <rcc rId="308" sId="4" numFmtId="4">
    <nc r="O9">
      <v>2360</v>
    </nc>
  </rcc>
  <rcc rId="309" sId="4">
    <nc r="I9">
      <v>24</v>
    </nc>
  </rcc>
  <rcc rId="310" sId="4">
    <nc r="F9">
      <v>67</v>
    </nc>
  </rcc>
  <rcc rId="311" sId="4">
    <nc r="H16">
      <v>2146</v>
    </nc>
  </rcc>
  <rcc rId="312" sId="4">
    <nc r="K16">
      <v>767</v>
    </nc>
  </rcc>
  <rcc rId="313" sId="4" numFmtId="4">
    <nc r="O16">
      <v>329</v>
    </nc>
  </rcc>
  <rcc rId="314" sId="4">
    <nc r="F16">
      <v>41</v>
    </nc>
  </rcc>
  <rcc rId="315" sId="4">
    <nc r="I16">
      <v>14</v>
    </nc>
  </rcc>
  <rcc rId="316" sId="4">
    <nc r="H12">
      <v>22957</v>
    </nc>
  </rcc>
  <rcc rId="317" sId="4">
    <nc r="K12">
      <v>6220</v>
    </nc>
  </rcc>
  <rcc rId="318" sId="4" numFmtId="4">
    <nc r="O12">
      <v>1840</v>
    </nc>
  </rcc>
  <rcc rId="319" sId="4">
    <nc r="F12">
      <v>150</v>
    </nc>
  </rcc>
  <rcc rId="320" sId="4">
    <nc r="I12">
      <v>42</v>
    </nc>
  </rcc>
  <rcc rId="321" sId="4">
    <nc r="R12" t="inlineStr">
      <is>
        <t>ظ احمد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4">
    <nc r="K8">
      <v>6536</v>
    </nc>
  </rcc>
  <rcc rId="323" sId="4">
    <nc r="E8">
      <v>2950</v>
    </nc>
  </rcc>
  <rcc rId="324" sId="4">
    <nc r="H8">
      <v>14463</v>
    </nc>
  </rcc>
  <rcc rId="325" sId="4">
    <nc r="N8">
      <v>3276</v>
    </nc>
  </rcc>
  <rcc rId="326" sId="4" numFmtId="4">
    <nc r="O8">
      <v>2354</v>
    </nc>
  </rcc>
  <rcc rId="327" sId="4">
    <nc r="I8">
      <v>25</v>
    </nc>
  </rcc>
  <rcc rId="328" sId="4">
    <nc r="F8">
      <v>44</v>
    </nc>
  </rcc>
  <rcc rId="329" sId="4">
    <nc r="C8">
      <v>29</v>
    </nc>
  </rcc>
  <rcc rId="330" sId="4">
    <nc r="L8">
      <v>164</v>
    </nc>
  </rcc>
  <rcc rId="331" sId="4">
    <nc r="R8" t="inlineStr">
      <is>
        <t>نقيب احمد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F9CF2E15-2A6B-47BB-AC30-FA3219D53478}" name="pp" id="-815149095" dateTime="2019-09-27T09:26:54"/>
  <userInfo guid="{F9CF2E15-2A6B-47BB-AC30-FA3219D53478}" name="pp" id="-815142349" dateTime="2019-09-27T12:37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5" sqref="I15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404" t="s">
        <v>0</v>
      </c>
      <c r="B1" s="404"/>
      <c r="C1" s="404"/>
      <c r="D1" s="404"/>
      <c r="E1" s="404"/>
      <c r="X1" s="401"/>
      <c r="Y1" s="401"/>
    </row>
    <row r="2" spans="1:26" ht="15.75" x14ac:dyDescent="0.25">
      <c r="A2" s="404" t="s">
        <v>1</v>
      </c>
      <c r="B2" s="404"/>
      <c r="C2" s="404"/>
      <c r="D2" s="404"/>
      <c r="E2" s="404"/>
    </row>
    <row r="3" spans="1:26" ht="15.75" x14ac:dyDescent="0.25">
      <c r="A3" s="404" t="s">
        <v>2</v>
      </c>
      <c r="B3" s="404"/>
      <c r="C3" s="404"/>
      <c r="D3" s="404"/>
      <c r="E3" s="404"/>
    </row>
    <row r="5" spans="1:26" ht="18.75" thickBot="1" x14ac:dyDescent="0.3">
      <c r="G5" s="199"/>
      <c r="I5" s="403" t="s">
        <v>194</v>
      </c>
      <c r="J5" s="403"/>
      <c r="K5" s="403"/>
      <c r="L5" s="403"/>
      <c r="M5" s="403"/>
      <c r="N5" s="403"/>
      <c r="V5" s="200" t="s">
        <v>41</v>
      </c>
    </row>
    <row r="6" spans="1:26" ht="20.100000000000001" customHeight="1" thickBot="1" x14ac:dyDescent="0.25">
      <c r="A6" s="402" t="s">
        <v>14</v>
      </c>
      <c r="B6" s="402" t="s">
        <v>3</v>
      </c>
      <c r="C6" s="402" t="s">
        <v>4</v>
      </c>
      <c r="D6" s="402" t="s">
        <v>5</v>
      </c>
      <c r="E6" s="402"/>
      <c r="F6" s="402"/>
      <c r="G6" s="402"/>
      <c r="H6" s="402"/>
      <c r="I6" s="402" t="s">
        <v>4</v>
      </c>
      <c r="J6" s="402" t="s">
        <v>11</v>
      </c>
      <c r="K6" s="402"/>
      <c r="L6" s="402"/>
      <c r="M6" s="402"/>
      <c r="N6" s="402"/>
      <c r="O6" s="402" t="s">
        <v>4</v>
      </c>
      <c r="P6" s="402" t="s">
        <v>12</v>
      </c>
      <c r="Q6" s="402"/>
      <c r="R6" s="402"/>
      <c r="S6" s="402"/>
      <c r="T6" s="402"/>
      <c r="U6" s="402" t="s">
        <v>4</v>
      </c>
      <c r="V6" s="402" t="s">
        <v>13</v>
      </c>
      <c r="W6" s="402"/>
      <c r="X6" s="402"/>
      <c r="Y6" s="402"/>
      <c r="Z6" s="402"/>
    </row>
    <row r="7" spans="1:26" ht="20.100000000000001" customHeight="1" thickBot="1" x14ac:dyDescent="0.25">
      <c r="A7" s="402"/>
      <c r="B7" s="402"/>
      <c r="C7" s="402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402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402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402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83</v>
      </c>
      <c r="K8" s="221">
        <f>I8-J8</f>
        <v>7</v>
      </c>
      <c r="L8" s="335">
        <f>'أخذ التمام الصباحي'!G5</f>
        <v>0</v>
      </c>
      <c r="M8" s="335">
        <v>25</v>
      </c>
      <c r="N8" s="203">
        <f>J8/M8</f>
        <v>3.32</v>
      </c>
      <c r="O8" s="336">
        <v>30</v>
      </c>
      <c r="P8" s="335">
        <f>'أخذ التمام الصباحي'!I5</f>
        <v>18</v>
      </c>
      <c r="Q8" s="221">
        <f>O8-P8</f>
        <v>12</v>
      </c>
      <c r="R8" s="335">
        <f>'أخذ التمام الصباحي'!J5</f>
        <v>0</v>
      </c>
      <c r="S8" s="335">
        <v>8</v>
      </c>
      <c r="T8" s="203">
        <f>P8/S8</f>
        <v>2.25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68</v>
      </c>
      <c r="K9" s="221">
        <f>I9-J9</f>
        <v>22</v>
      </c>
      <c r="L9" s="355">
        <f>'أخذ التمام الصباحي'!G6</f>
        <v>34</v>
      </c>
      <c r="M9" s="335">
        <v>29</v>
      </c>
      <c r="N9" s="203">
        <f>J9/M9</f>
        <v>2.3448275862068964</v>
      </c>
      <c r="O9" s="336">
        <v>30</v>
      </c>
      <c r="P9" s="338">
        <f>'أخذ التمام الصباحي'!I6</f>
        <v>30</v>
      </c>
      <c r="Q9" s="221">
        <f>O9-P9</f>
        <v>0</v>
      </c>
      <c r="R9" s="338">
        <f>'أخذ التمام الصباحي'!J6</f>
        <v>17</v>
      </c>
      <c r="S9" s="335">
        <v>9</v>
      </c>
      <c r="T9" s="203">
        <f>P9/S9</f>
        <v>3.3333333333333335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62</v>
      </c>
      <c r="E10" s="221">
        <f t="shared" ref="E10:E23" si="0">C10-D10</f>
        <v>28</v>
      </c>
      <c r="F10" s="335">
        <f>'أخذ التمام الصباحي'!D7</f>
        <v>34</v>
      </c>
      <c r="G10" s="335">
        <v>36</v>
      </c>
      <c r="H10" s="204">
        <f t="shared" ref="H10:H23" si="1">D10/G10</f>
        <v>1.7222222222222223</v>
      </c>
      <c r="I10" s="336">
        <v>45</v>
      </c>
      <c r="J10" s="338">
        <f>'أخذ التمام الصباحي'!F7</f>
        <v>38</v>
      </c>
      <c r="K10" s="221">
        <f t="shared" ref="K10:K34" si="2">I10-J10</f>
        <v>7</v>
      </c>
      <c r="L10" s="355">
        <f>'أخذ التمام الصباحي'!G7</f>
        <v>17</v>
      </c>
      <c r="M10" s="335">
        <v>24</v>
      </c>
      <c r="N10" s="203">
        <f t="shared" ref="N10:N34" si="3">J10/M10</f>
        <v>1.5833333333333333</v>
      </c>
      <c r="O10" s="336">
        <v>45</v>
      </c>
      <c r="P10" s="338">
        <f>'أخذ التمام الصباحي'!I7</f>
        <v>42</v>
      </c>
      <c r="Q10" s="221">
        <f t="shared" ref="Q10:Q34" si="4">O10-P10</f>
        <v>3</v>
      </c>
      <c r="R10" s="338">
        <f>'أخذ التمام الصباحي'!J7</f>
        <v>17</v>
      </c>
      <c r="S10" s="335">
        <v>4</v>
      </c>
      <c r="T10" s="203">
        <f t="shared" ref="T10:T34" si="5">P10/S10</f>
        <v>10.5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29</v>
      </c>
      <c r="E11" s="221">
        <f t="shared" si="0"/>
        <v>1</v>
      </c>
      <c r="F11" s="338">
        <f>'أخذ التمام الصباحي'!D8</f>
        <v>0</v>
      </c>
      <c r="G11" s="335">
        <v>5</v>
      </c>
      <c r="H11" s="204">
        <f t="shared" si="1"/>
        <v>5.8</v>
      </c>
      <c r="I11" s="336">
        <v>60</v>
      </c>
      <c r="J11" s="338">
        <f>'أخذ التمام الصباحي'!F8</f>
        <v>44</v>
      </c>
      <c r="K11" s="221">
        <f t="shared" si="2"/>
        <v>16</v>
      </c>
      <c r="L11" s="355">
        <f>'أخذ التمام الصباحي'!G8</f>
        <v>17</v>
      </c>
      <c r="M11" s="335">
        <v>25</v>
      </c>
      <c r="N11" s="203">
        <f t="shared" si="3"/>
        <v>1.76</v>
      </c>
      <c r="O11" s="336">
        <v>30</v>
      </c>
      <c r="P11" s="338">
        <f>'أخذ التمام الصباحي'!I8</f>
        <v>25</v>
      </c>
      <c r="Q11" s="221">
        <f t="shared" si="4"/>
        <v>5</v>
      </c>
      <c r="R11" s="338">
        <f>'أخذ التمام الصباحي'!J8</f>
        <v>17</v>
      </c>
      <c r="S11" s="335">
        <v>8</v>
      </c>
      <c r="T11" s="203">
        <f t="shared" si="5"/>
        <v>3.125</v>
      </c>
      <c r="U11" s="336">
        <v>180</v>
      </c>
      <c r="V11" s="335">
        <f>'أخذ التمام الصباحي'!L8</f>
        <v>164</v>
      </c>
      <c r="W11" s="221">
        <f t="shared" ref="W11:W29" si="6">U11-V11</f>
        <v>16</v>
      </c>
      <c r="X11" s="335">
        <f>'أخذ التمام الصباحي'!M8</f>
        <v>0</v>
      </c>
      <c r="Y11" s="335">
        <v>6</v>
      </c>
      <c r="Z11" s="203">
        <f>V11/Y11</f>
        <v>27.333333333333332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67</v>
      </c>
      <c r="K12" s="221">
        <f t="shared" si="2"/>
        <v>23</v>
      </c>
      <c r="L12" s="355">
        <f>'أخذ التمام الصباحي'!G9</f>
        <v>34</v>
      </c>
      <c r="M12" s="335">
        <v>42</v>
      </c>
      <c r="N12" s="203">
        <f t="shared" si="3"/>
        <v>1.5952380952380953</v>
      </c>
      <c r="O12" s="336">
        <v>30</v>
      </c>
      <c r="P12" s="338">
        <f>'أخذ التمام الصباحي'!I9</f>
        <v>24</v>
      </c>
      <c r="Q12" s="221">
        <f t="shared" si="4"/>
        <v>6</v>
      </c>
      <c r="R12" s="338">
        <f>'أخذ التمام الصباحي'!J9</f>
        <v>0</v>
      </c>
      <c r="S12" s="335">
        <v>12</v>
      </c>
      <c r="T12" s="203">
        <f t="shared" si="5"/>
        <v>2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18</v>
      </c>
      <c r="E13" s="221">
        <f t="shared" si="0"/>
        <v>12</v>
      </c>
      <c r="F13" s="338">
        <f>'أخذ التمام الصباحي'!D10</f>
        <v>0</v>
      </c>
      <c r="G13" s="335">
        <v>4</v>
      </c>
      <c r="H13" s="204">
        <f t="shared" si="1"/>
        <v>4.5</v>
      </c>
      <c r="I13" s="336">
        <v>90</v>
      </c>
      <c r="J13" s="338">
        <f>'أخذ التمام الصباحي'!F10</f>
        <v>76</v>
      </c>
      <c r="K13" s="221">
        <f t="shared" si="2"/>
        <v>14</v>
      </c>
      <c r="L13" s="355">
        <f>'أخذ التمام الصباحي'!G10</f>
        <v>17</v>
      </c>
      <c r="M13" s="335">
        <v>27</v>
      </c>
      <c r="N13" s="203">
        <f t="shared" si="3"/>
        <v>2.8148148148148149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179</v>
      </c>
      <c r="W13" s="221">
        <f t="shared" si="6"/>
        <v>1</v>
      </c>
      <c r="X13" s="335">
        <f>'أخذ التمام الصباحي'!M10</f>
        <v>0</v>
      </c>
      <c r="Y13" s="335">
        <v>8</v>
      </c>
      <c r="Z13" s="203">
        <f t="shared" ref="Z13:Z29" si="7">V13/Y13</f>
        <v>22.375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12</v>
      </c>
      <c r="E14" s="221">
        <f t="shared" si="0"/>
        <v>18</v>
      </c>
      <c r="F14" s="338">
        <f>'أخذ التمام الصباحي'!D11</f>
        <v>17</v>
      </c>
      <c r="G14" s="335">
        <v>7</v>
      </c>
      <c r="H14" s="204">
        <f t="shared" si="1"/>
        <v>1.7142857142857142</v>
      </c>
      <c r="I14" s="336">
        <v>90</v>
      </c>
      <c r="J14" s="338">
        <f>'أخذ التمام الصباحي'!F11</f>
        <v>74</v>
      </c>
      <c r="K14" s="221">
        <f t="shared" si="2"/>
        <v>16</v>
      </c>
      <c r="L14" s="355">
        <f>'أخذ التمام الصباحي'!G11</f>
        <v>17</v>
      </c>
      <c r="M14" s="335">
        <v>22</v>
      </c>
      <c r="N14" s="203">
        <f t="shared" si="3"/>
        <v>3.3636363636363638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157</v>
      </c>
      <c r="W14" s="221">
        <f t="shared" si="6"/>
        <v>23</v>
      </c>
      <c r="X14" s="338">
        <f>'أخذ التمام الصباحي'!M11</f>
        <v>17</v>
      </c>
      <c r="Y14" s="335">
        <v>20</v>
      </c>
      <c r="Z14" s="203">
        <f t="shared" si="7"/>
        <v>7.85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150</v>
      </c>
      <c r="K15" s="221">
        <f t="shared" si="2"/>
        <v>30</v>
      </c>
      <c r="L15" s="355">
        <f>'أخذ التمام الصباحي'!G12</f>
        <v>51</v>
      </c>
      <c r="M15" s="335">
        <v>52</v>
      </c>
      <c r="N15" s="203">
        <f t="shared" si="3"/>
        <v>2.8846153846153846</v>
      </c>
      <c r="O15" s="336">
        <v>60</v>
      </c>
      <c r="P15" s="335">
        <f>'أخذ التمام الصباحي'!I12</f>
        <v>42</v>
      </c>
      <c r="Q15" s="221">
        <f t="shared" si="4"/>
        <v>18</v>
      </c>
      <c r="R15" s="335">
        <f>'أخذ التمام الصباحي'!J12</f>
        <v>17</v>
      </c>
      <c r="S15" s="335">
        <v>15</v>
      </c>
      <c r="T15" s="203">
        <f t="shared" si="5"/>
        <v>2.8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140</v>
      </c>
      <c r="K16" s="221">
        <f t="shared" si="2"/>
        <v>40</v>
      </c>
      <c r="L16" s="355">
        <f>'أخذ التمام الصباحي'!G13</f>
        <v>34</v>
      </c>
      <c r="M16" s="335">
        <v>35</v>
      </c>
      <c r="N16" s="203">
        <f t="shared" si="3"/>
        <v>4</v>
      </c>
      <c r="O16" s="336">
        <v>45</v>
      </c>
      <c r="P16" s="338">
        <f>'أخذ التمام الصباحي'!I13</f>
        <v>34</v>
      </c>
      <c r="Q16" s="221">
        <f t="shared" si="4"/>
        <v>11</v>
      </c>
      <c r="R16" s="338">
        <f>'أخذ التمام الصباحي'!J13</f>
        <v>0</v>
      </c>
      <c r="S16" s="335">
        <v>11</v>
      </c>
      <c r="T16" s="203">
        <f t="shared" si="5"/>
        <v>3.0909090909090908</v>
      </c>
      <c r="U16" s="336">
        <v>120</v>
      </c>
      <c r="V16" s="335">
        <f>'أخذ التمام الصباحي'!L13</f>
        <v>105</v>
      </c>
      <c r="W16" s="221">
        <f t="shared" si="6"/>
        <v>15</v>
      </c>
      <c r="X16" s="335">
        <f>'أخذ التمام الصباحي'!M13</f>
        <v>0</v>
      </c>
      <c r="Y16" s="335">
        <v>25</v>
      </c>
      <c r="Z16" s="203">
        <f t="shared" si="7"/>
        <v>4.2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23</v>
      </c>
      <c r="Q17" s="221">
        <f t="shared" si="4"/>
        <v>7</v>
      </c>
      <c r="R17" s="338">
        <f>'أخذ التمام الصباحي'!J14</f>
        <v>0</v>
      </c>
      <c r="S17" s="335">
        <v>6</v>
      </c>
      <c r="T17" s="203">
        <f>P17/S17</f>
        <v>3.8333333333333335</v>
      </c>
      <c r="U17" s="336">
        <v>180</v>
      </c>
      <c r="V17" s="338">
        <f>'أخذ التمام الصباحي'!L14</f>
        <v>140</v>
      </c>
      <c r="W17" s="221">
        <f t="shared" si="6"/>
        <v>40</v>
      </c>
      <c r="X17" s="338">
        <f>'أخذ التمام الصباحي'!M14</f>
        <v>51</v>
      </c>
      <c r="Y17" s="335">
        <v>31</v>
      </c>
      <c r="Z17" s="203">
        <f t="shared" si="7"/>
        <v>4.5161290322580649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53</v>
      </c>
      <c r="K18" s="221">
        <f t="shared" si="2"/>
        <v>37</v>
      </c>
      <c r="L18" s="355">
        <f>'أخذ التمام الصباحي'!G15</f>
        <v>34</v>
      </c>
      <c r="M18" s="335">
        <v>12</v>
      </c>
      <c r="N18" s="203">
        <f t="shared" si="3"/>
        <v>4.416666666666667</v>
      </c>
      <c r="O18" s="336">
        <v>30</v>
      </c>
      <c r="P18" s="338">
        <f>'أخذ التمام الصباحي'!I15</f>
        <v>14</v>
      </c>
      <c r="Q18" s="221">
        <f t="shared" si="4"/>
        <v>16</v>
      </c>
      <c r="R18" s="338">
        <f>'أخذ التمام الصباحي'!J15</f>
        <v>0</v>
      </c>
      <c r="S18" s="335">
        <v>4</v>
      </c>
      <c r="T18" s="203">
        <f t="shared" si="5"/>
        <v>3.5</v>
      </c>
      <c r="U18" s="336">
        <v>60</v>
      </c>
      <c r="V18" s="338">
        <f>'أخذ التمام الصباحي'!L15</f>
        <v>49</v>
      </c>
      <c r="W18" s="194">
        <f t="shared" si="6"/>
        <v>11</v>
      </c>
      <c r="X18" s="338">
        <f>'أخذ التمام الصباحي'!M15</f>
        <v>0</v>
      </c>
      <c r="Y18" s="335">
        <v>5</v>
      </c>
      <c r="Z18" s="335">
        <f t="shared" si="7"/>
        <v>9.8000000000000007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41</v>
      </c>
      <c r="K19" s="221">
        <f t="shared" si="2"/>
        <v>19</v>
      </c>
      <c r="L19" s="355">
        <f>'أخذ التمام الصباحي'!G16</f>
        <v>17</v>
      </c>
      <c r="M19" s="335">
        <v>5</v>
      </c>
      <c r="N19" s="203">
        <f t="shared" si="3"/>
        <v>8.1999999999999993</v>
      </c>
      <c r="O19" s="336">
        <v>30</v>
      </c>
      <c r="P19" s="338">
        <f>'أخذ التمام الصباحي'!I16</f>
        <v>14</v>
      </c>
      <c r="Q19" s="221">
        <f t="shared" si="4"/>
        <v>16</v>
      </c>
      <c r="R19" s="338">
        <f>'أخذ التمام الصباحي'!J16</f>
        <v>0</v>
      </c>
      <c r="S19" s="335">
        <v>2</v>
      </c>
      <c r="T19" s="203">
        <f t="shared" si="5"/>
        <v>7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75</v>
      </c>
      <c r="K20" s="221">
        <f t="shared" si="2"/>
        <v>15</v>
      </c>
      <c r="L20" s="355">
        <f>'أخذ التمام الصباحي'!G17</f>
        <v>0</v>
      </c>
      <c r="M20" s="335">
        <v>4</v>
      </c>
      <c r="N20" s="203">
        <f t="shared" si="3"/>
        <v>18.75</v>
      </c>
      <c r="O20" s="336">
        <v>30</v>
      </c>
      <c r="P20" s="338">
        <f>'أخذ التمام الصباحي'!I17</f>
        <v>15</v>
      </c>
      <c r="Q20" s="221">
        <f t="shared" si="4"/>
        <v>15</v>
      </c>
      <c r="R20" s="338">
        <f>'أخذ التمام الصباحي'!J17</f>
        <v>0</v>
      </c>
      <c r="S20" s="335">
        <v>2</v>
      </c>
      <c r="T20" s="203">
        <f t="shared" si="5"/>
        <v>7.5</v>
      </c>
      <c r="U20" s="336">
        <v>180</v>
      </c>
      <c r="V20" s="335">
        <f>'أخذ التمام الصباحي'!L17</f>
        <v>144</v>
      </c>
      <c r="W20" s="221">
        <f t="shared" si="6"/>
        <v>36</v>
      </c>
      <c r="X20" s="335">
        <f>'أخذ التمام الصباحي'!M17</f>
        <v>0</v>
      </c>
      <c r="Y20" s="335">
        <v>7</v>
      </c>
      <c r="Z20" s="203">
        <f t="shared" si="7"/>
        <v>20.571428571428573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70</v>
      </c>
      <c r="K21" s="221">
        <f t="shared" si="2"/>
        <v>20</v>
      </c>
      <c r="L21" s="355">
        <f>'أخذ التمام الصباحي'!G18</f>
        <v>17</v>
      </c>
      <c r="M21" s="335">
        <v>34</v>
      </c>
      <c r="N21" s="203">
        <f t="shared" si="3"/>
        <v>2.0588235294117645</v>
      </c>
      <c r="O21" s="336">
        <v>30</v>
      </c>
      <c r="P21" s="338">
        <f>'أخذ التمام الصباحي'!I18</f>
        <v>12</v>
      </c>
      <c r="Q21" s="221">
        <f t="shared" si="4"/>
        <v>18</v>
      </c>
      <c r="R21" s="338">
        <f>'أخذ التمام الصباحي'!J18</f>
        <v>17</v>
      </c>
      <c r="S21" s="335">
        <v>13</v>
      </c>
      <c r="T21" s="203">
        <f t="shared" si="5"/>
        <v>0.92307692307692313</v>
      </c>
      <c r="U21" s="336">
        <v>180</v>
      </c>
      <c r="V21" s="338">
        <f>'أخذ التمام الصباحي'!L18</f>
        <v>142</v>
      </c>
      <c r="W21" s="221">
        <f t="shared" si="6"/>
        <v>38</v>
      </c>
      <c r="X21" s="338">
        <f>'أخذ التمام الصباحي'!M18</f>
        <v>17</v>
      </c>
      <c r="Y21" s="335">
        <v>22</v>
      </c>
      <c r="Z21" s="203">
        <f t="shared" si="7"/>
        <v>6.4545454545454541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75</v>
      </c>
      <c r="K22" s="221">
        <f t="shared" si="2"/>
        <v>15</v>
      </c>
      <c r="L22" s="355">
        <f>'أخذ التمام الصباحي'!G19</f>
        <v>0</v>
      </c>
      <c r="M22" s="335">
        <v>8</v>
      </c>
      <c r="N22" s="203">
        <f t="shared" si="3"/>
        <v>9.375</v>
      </c>
      <c r="O22" s="336">
        <v>30</v>
      </c>
      <c r="P22" s="338">
        <f>'أخذ التمام الصباحي'!I19</f>
        <v>16</v>
      </c>
      <c r="Q22" s="221">
        <f t="shared" si="4"/>
        <v>14</v>
      </c>
      <c r="R22" s="338">
        <f>'أخذ التمام الصباحي'!J19</f>
        <v>0</v>
      </c>
      <c r="S22" s="335">
        <v>2</v>
      </c>
      <c r="T22" s="203">
        <f t="shared" si="5"/>
        <v>8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29</v>
      </c>
      <c r="E23" s="194">
        <f t="shared" si="0"/>
        <v>1</v>
      </c>
      <c r="F23" s="194">
        <f>'أخذ التمام الصباحي'!D20</f>
        <v>0</v>
      </c>
      <c r="G23" s="194">
        <v>0.6</v>
      </c>
      <c r="H23" s="194">
        <f t="shared" si="1"/>
        <v>48.333333333333336</v>
      </c>
      <c r="I23" s="336">
        <v>60</v>
      </c>
      <c r="J23" s="338">
        <f>'أخذ التمام الصباحي'!F20</f>
        <v>52</v>
      </c>
      <c r="K23" s="221">
        <f t="shared" si="2"/>
        <v>8</v>
      </c>
      <c r="L23" s="355">
        <f>'أخذ التمام الصباحي'!G20</f>
        <v>0</v>
      </c>
      <c r="M23" s="335">
        <v>3</v>
      </c>
      <c r="N23" s="203">
        <f t="shared" si="3"/>
        <v>17.333333333333332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106</v>
      </c>
      <c r="W23" s="221">
        <f t="shared" si="6"/>
        <v>14</v>
      </c>
      <c r="X23" s="335">
        <f>'أخذ التمام الصباحي'!M20</f>
        <v>0</v>
      </c>
      <c r="Y23" s="335">
        <v>7</v>
      </c>
      <c r="Z23" s="203">
        <f t="shared" si="7"/>
        <v>15.142857142857142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53</v>
      </c>
      <c r="K24" s="221">
        <f t="shared" si="2"/>
        <v>7</v>
      </c>
      <c r="L24" s="355">
        <f>'أخذ التمام الصباحي'!G21</f>
        <v>0</v>
      </c>
      <c r="M24" s="335">
        <v>6</v>
      </c>
      <c r="N24" s="203">
        <f t="shared" si="3"/>
        <v>8.8333333333333339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106</v>
      </c>
      <c r="W24" s="221">
        <f t="shared" si="6"/>
        <v>14</v>
      </c>
      <c r="X24" s="338">
        <f>'أخذ التمام الصباحي'!M21</f>
        <v>0</v>
      </c>
      <c r="Y24" s="335">
        <v>5</v>
      </c>
      <c r="Z24" s="203">
        <f t="shared" si="7"/>
        <v>21.2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70</v>
      </c>
      <c r="K25" s="221">
        <f t="shared" si="2"/>
        <v>20</v>
      </c>
      <c r="L25" s="355">
        <f>'أخذ التمام الصباحي'!G22</f>
        <v>17</v>
      </c>
      <c r="M25" s="335">
        <v>15</v>
      </c>
      <c r="N25" s="203">
        <f t="shared" si="3"/>
        <v>4.666666666666667</v>
      </c>
      <c r="O25" s="336">
        <v>30</v>
      </c>
      <c r="P25" s="335">
        <f>'أخذ التمام الصباحي'!I22</f>
        <v>16</v>
      </c>
      <c r="Q25" s="221">
        <f t="shared" si="4"/>
        <v>14</v>
      </c>
      <c r="R25" s="335">
        <f>'أخذ التمام الصباحي'!J22</f>
        <v>0</v>
      </c>
      <c r="S25" s="335">
        <v>3</v>
      </c>
      <c r="T25" s="203">
        <f t="shared" si="5"/>
        <v>5.333333333333333</v>
      </c>
      <c r="U25" s="336">
        <v>180</v>
      </c>
      <c r="V25" s="338">
        <f>'أخذ التمام الصباحي'!L22</f>
        <v>144</v>
      </c>
      <c r="W25" s="221">
        <f t="shared" si="6"/>
        <v>36</v>
      </c>
      <c r="X25" s="338">
        <f>'أخذ التمام الصباحي'!M22</f>
        <v>85</v>
      </c>
      <c r="Y25" s="335">
        <v>43</v>
      </c>
      <c r="Z25" s="203">
        <f t="shared" si="7"/>
        <v>3.3488372093023258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80</v>
      </c>
      <c r="K26" s="221">
        <f t="shared" si="2"/>
        <v>10</v>
      </c>
      <c r="L26" s="355">
        <f>'أخذ التمام الصباحي'!G23</f>
        <v>0</v>
      </c>
      <c r="M26" s="335">
        <v>17</v>
      </c>
      <c r="N26" s="203">
        <f t="shared" si="3"/>
        <v>4.7058823529411766</v>
      </c>
      <c r="O26" s="336">
        <v>30</v>
      </c>
      <c r="P26" s="338">
        <f>'أخذ التمام الصباحي'!I23</f>
        <v>20</v>
      </c>
      <c r="Q26" s="221">
        <f t="shared" si="4"/>
        <v>10</v>
      </c>
      <c r="R26" s="338">
        <f>'أخذ التمام الصباحي'!J23</f>
        <v>0</v>
      </c>
      <c r="S26" s="335">
        <v>4</v>
      </c>
      <c r="T26" s="203">
        <f t="shared" si="5"/>
        <v>5</v>
      </c>
      <c r="U26" s="336">
        <v>180</v>
      </c>
      <c r="V26" s="338">
        <f>'أخذ التمام الصباحي'!L23</f>
        <v>129</v>
      </c>
      <c r="W26" s="221">
        <f t="shared" si="6"/>
        <v>51</v>
      </c>
      <c r="X26" s="338">
        <f>'أخذ التمام الصباحي'!M23</f>
        <v>51</v>
      </c>
      <c r="Y26" s="335">
        <v>40</v>
      </c>
      <c r="Z26" s="203">
        <f t="shared" si="7"/>
        <v>3.2250000000000001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70</v>
      </c>
      <c r="K27" s="221">
        <f t="shared" si="2"/>
        <v>20</v>
      </c>
      <c r="L27" s="355">
        <f>'أخذ التمام الصباحي'!G24</f>
        <v>17</v>
      </c>
      <c r="M27" s="335">
        <v>12</v>
      </c>
      <c r="N27" s="203">
        <f t="shared" si="3"/>
        <v>5.833333333333333</v>
      </c>
      <c r="O27" s="336">
        <v>30</v>
      </c>
      <c r="P27" s="338">
        <f>'أخذ التمام الصباحي'!I24</f>
        <v>27</v>
      </c>
      <c r="Q27" s="221">
        <f t="shared" si="4"/>
        <v>3</v>
      </c>
      <c r="R27" s="338">
        <f>'أخذ التمام الصباحي'!J24</f>
        <v>0</v>
      </c>
      <c r="S27" s="335">
        <v>2</v>
      </c>
      <c r="T27" s="203">
        <f t="shared" si="5"/>
        <v>13.5</v>
      </c>
      <c r="U27" s="336">
        <v>180</v>
      </c>
      <c r="V27" s="338">
        <f>'أخذ التمام الصباحي'!L24</f>
        <v>150</v>
      </c>
      <c r="W27" s="221">
        <f t="shared" si="6"/>
        <v>30</v>
      </c>
      <c r="X27" s="338">
        <f>'أخذ التمام الصباحي'!M24</f>
        <v>34</v>
      </c>
      <c r="Y27" s="335">
        <v>22</v>
      </c>
      <c r="Z27" s="203">
        <f t="shared" si="7"/>
        <v>6.8181818181818183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85</v>
      </c>
      <c r="K28" s="221">
        <f t="shared" si="2"/>
        <v>5</v>
      </c>
      <c r="L28" s="355">
        <f>'أخذ التمام الصباحي'!G25</f>
        <v>0</v>
      </c>
      <c r="M28" s="335">
        <v>9</v>
      </c>
      <c r="N28" s="203">
        <f t="shared" si="3"/>
        <v>9.4444444444444446</v>
      </c>
      <c r="O28" s="336">
        <v>30</v>
      </c>
      <c r="P28" s="338">
        <f>'أخذ التمام الصباحي'!I25</f>
        <v>16</v>
      </c>
      <c r="Q28" s="221">
        <f t="shared" si="4"/>
        <v>14</v>
      </c>
      <c r="R28" s="338">
        <f>'أخذ التمام الصباحي'!J25</f>
        <v>0</v>
      </c>
      <c r="S28" s="335">
        <v>2</v>
      </c>
      <c r="T28" s="203">
        <f t="shared" si="5"/>
        <v>8</v>
      </c>
      <c r="U28" s="336">
        <v>180</v>
      </c>
      <c r="V28" s="338">
        <f>'أخذ التمام الصباحي'!L25</f>
        <v>159</v>
      </c>
      <c r="W28" s="221">
        <f t="shared" si="6"/>
        <v>21</v>
      </c>
      <c r="X28" s="338">
        <f>'أخذ التمام الصباحي'!M25</f>
        <v>0</v>
      </c>
      <c r="Y28" s="335">
        <v>19</v>
      </c>
      <c r="Z28" s="203">
        <f t="shared" si="7"/>
        <v>8.3684210526315788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72</v>
      </c>
      <c r="E29" s="194">
        <f t="shared" ref="E29:E35" si="8">C29-D29</f>
        <v>18</v>
      </c>
      <c r="F29" s="194">
        <f>'أخذ التمام الصباحي'!D26</f>
        <v>0</v>
      </c>
      <c r="G29" s="194">
        <v>5</v>
      </c>
      <c r="H29" s="194">
        <f t="shared" ref="H29:H35" si="9">D29/G29</f>
        <v>14.4</v>
      </c>
      <c r="I29" s="336">
        <v>45</v>
      </c>
      <c r="J29" s="338">
        <f>'أخذ التمام الصباحي'!F26</f>
        <v>40</v>
      </c>
      <c r="K29" s="221">
        <f t="shared" si="2"/>
        <v>5</v>
      </c>
      <c r="L29" s="355">
        <f>'أخذ التمام الصباحي'!G26</f>
        <v>0</v>
      </c>
      <c r="M29" s="335">
        <v>9</v>
      </c>
      <c r="N29" s="203">
        <f t="shared" si="3"/>
        <v>4.4444444444444446</v>
      </c>
      <c r="O29" s="336">
        <v>45</v>
      </c>
      <c r="P29" s="338">
        <f>'أخذ التمام الصباحي'!I26</f>
        <v>39</v>
      </c>
      <c r="Q29" s="221">
        <f t="shared" si="4"/>
        <v>6</v>
      </c>
      <c r="R29" s="338">
        <f>'أخذ التمام الصباحي'!J26</f>
        <v>0</v>
      </c>
      <c r="S29" s="335">
        <v>2</v>
      </c>
      <c r="T29" s="203">
        <f t="shared" si="5"/>
        <v>19.5</v>
      </c>
      <c r="U29" s="336">
        <v>180</v>
      </c>
      <c r="V29" s="338">
        <f>'أخذ التمام الصباحي'!L26</f>
        <v>166</v>
      </c>
      <c r="W29" s="221">
        <f t="shared" si="6"/>
        <v>14</v>
      </c>
      <c r="X29" s="338">
        <f>'أخذ التمام الصباحي'!M26</f>
        <v>0</v>
      </c>
      <c r="Y29" s="335">
        <v>16</v>
      </c>
      <c r="Z29" s="203">
        <f t="shared" si="7"/>
        <v>10.375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129</v>
      </c>
      <c r="K30" s="221">
        <f t="shared" si="2"/>
        <v>6</v>
      </c>
      <c r="L30" s="355">
        <f>'أخذ التمام الصباحي'!G27</f>
        <v>0</v>
      </c>
      <c r="M30" s="335">
        <v>6</v>
      </c>
      <c r="N30" s="203">
        <f t="shared" si="3"/>
        <v>21.5</v>
      </c>
      <c r="O30" s="336">
        <v>45</v>
      </c>
      <c r="P30" s="338">
        <f>'أخذ التمام الصباحي'!I27</f>
        <v>35</v>
      </c>
      <c r="Q30" s="221">
        <f t="shared" si="4"/>
        <v>10</v>
      </c>
      <c r="R30" s="338">
        <f>'أخذ التمام الصباحي'!J27</f>
        <v>0</v>
      </c>
      <c r="S30" s="335">
        <v>2</v>
      </c>
      <c r="T30" s="203">
        <f t="shared" si="5"/>
        <v>17.5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165</v>
      </c>
      <c r="K31" s="221">
        <f t="shared" si="2"/>
        <v>15</v>
      </c>
      <c r="L31" s="355">
        <f>'أخذ التمام الصباحي'!G28</f>
        <v>34</v>
      </c>
      <c r="M31" s="339">
        <v>27</v>
      </c>
      <c r="N31" s="203">
        <f t="shared" si="3"/>
        <v>6.1111111111111107</v>
      </c>
      <c r="O31" s="336">
        <v>90</v>
      </c>
      <c r="P31" s="338">
        <f>'أخذ التمام الصباحي'!I28</f>
        <v>64</v>
      </c>
      <c r="Q31" s="221">
        <f t="shared" si="4"/>
        <v>26</v>
      </c>
      <c r="R31" s="338">
        <f>'أخذ التمام الصباحي'!J28</f>
        <v>17</v>
      </c>
      <c r="S31" s="339">
        <v>10</v>
      </c>
      <c r="T31" s="203">
        <f t="shared" si="5"/>
        <v>6.4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134</v>
      </c>
      <c r="K32" s="221">
        <f t="shared" si="2"/>
        <v>46</v>
      </c>
      <c r="L32" s="355">
        <f>'أخذ التمام الصباحي'!G29</f>
        <v>34</v>
      </c>
      <c r="M32" s="339">
        <v>27</v>
      </c>
      <c r="N32" s="203">
        <f t="shared" si="3"/>
        <v>4.9629629629629628</v>
      </c>
      <c r="O32" s="336">
        <v>90</v>
      </c>
      <c r="P32" s="338">
        <f>'أخذ التمام الصباحي'!I29</f>
        <v>58</v>
      </c>
      <c r="Q32" s="221">
        <f t="shared" si="4"/>
        <v>32</v>
      </c>
      <c r="R32" s="338">
        <f>'أخذ التمام الصباحي'!J29</f>
        <v>17</v>
      </c>
      <c r="S32" s="339">
        <v>9</v>
      </c>
      <c r="T32" s="203">
        <f t="shared" si="5"/>
        <v>6.4444444444444446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151</v>
      </c>
      <c r="K33" s="221">
        <f t="shared" si="2"/>
        <v>29</v>
      </c>
      <c r="L33" s="355">
        <f>'أخذ التمام الصباحي'!G30</f>
        <v>0</v>
      </c>
      <c r="M33" s="339">
        <v>33</v>
      </c>
      <c r="N33" s="203">
        <f t="shared" si="3"/>
        <v>4.5757575757575761</v>
      </c>
      <c r="O33" s="336">
        <v>90</v>
      </c>
      <c r="P33" s="338">
        <f>'أخذ التمام الصباحي'!I30</f>
        <v>79</v>
      </c>
      <c r="Q33" s="221">
        <f t="shared" si="4"/>
        <v>11</v>
      </c>
      <c r="R33" s="338">
        <f>'أخذ التمام الصباحي'!J30</f>
        <v>34</v>
      </c>
      <c r="S33" s="339">
        <v>8</v>
      </c>
      <c r="T33" s="203">
        <f t="shared" si="5"/>
        <v>9.875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174</v>
      </c>
      <c r="K34" s="221">
        <f t="shared" si="2"/>
        <v>6</v>
      </c>
      <c r="L34" s="355">
        <f>'أخذ التمام الصباحي'!G31</f>
        <v>51</v>
      </c>
      <c r="M34" s="339">
        <v>52</v>
      </c>
      <c r="N34" s="203">
        <f t="shared" si="3"/>
        <v>3.3461538461538463</v>
      </c>
      <c r="O34" s="336">
        <v>90</v>
      </c>
      <c r="P34" s="338">
        <f>'أخذ التمام الصباحي'!I31</f>
        <v>82</v>
      </c>
      <c r="Q34" s="221">
        <f t="shared" si="4"/>
        <v>8</v>
      </c>
      <c r="R34" s="338">
        <f>'أخذ التمام الصباحي'!J31</f>
        <v>17</v>
      </c>
      <c r="S34" s="339">
        <v>11</v>
      </c>
      <c r="T34" s="203">
        <f t="shared" si="5"/>
        <v>7.4545454545454541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68</v>
      </c>
      <c r="E35" s="194">
        <f t="shared" si="8"/>
        <v>22</v>
      </c>
      <c r="F35" s="194">
        <f>'أخذ التمام الصباحي'!D32</f>
        <v>0</v>
      </c>
      <c r="G35" s="194">
        <v>20</v>
      </c>
      <c r="H35" s="194">
        <f t="shared" si="9"/>
        <v>3.4</v>
      </c>
      <c r="I35" s="357">
        <v>135</v>
      </c>
      <c r="J35" s="356">
        <f>'أخذ التمام الصباحي'!F32</f>
        <v>66</v>
      </c>
      <c r="K35" s="221">
        <f t="shared" ref="K35:K38" si="10">I35-J35</f>
        <v>69</v>
      </c>
      <c r="L35" s="356">
        <f>'أخذ التمام الصباحي'!G32</f>
        <v>0</v>
      </c>
      <c r="M35" s="356">
        <v>27</v>
      </c>
      <c r="N35" s="203">
        <f t="shared" ref="N35:N38" si="11">J35/M35</f>
        <v>2.4444444444444446</v>
      </c>
      <c r="O35" s="357">
        <v>90</v>
      </c>
      <c r="P35" s="356">
        <f>'أخذ التمام الصباحي'!I32</f>
        <v>85</v>
      </c>
      <c r="Q35" s="221">
        <f t="shared" ref="Q35:Q38" si="12">O35-P35</f>
        <v>5</v>
      </c>
      <c r="R35" s="356">
        <f>'أخذ التمام الصباحي'!J32</f>
        <v>0</v>
      </c>
      <c r="S35" s="356">
        <v>7</v>
      </c>
      <c r="T35" s="203">
        <f t="shared" ref="T35:T38" si="13">P35/S35</f>
        <v>12.142857142857142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0" t="s">
        <v>34</v>
      </c>
      <c r="B39" s="390"/>
      <c r="C39" s="206">
        <f>SUM(C8:C38)</f>
        <v>390</v>
      </c>
      <c r="D39" s="206">
        <f t="shared" ref="D39:Z39" si="16">SUM(D8:D38)</f>
        <v>290</v>
      </c>
      <c r="E39" s="206">
        <f t="shared" si="16"/>
        <v>100</v>
      </c>
      <c r="F39" s="206">
        <f t="shared" si="16"/>
        <v>51</v>
      </c>
      <c r="G39" s="206">
        <f t="shared" si="16"/>
        <v>77.599999999999994</v>
      </c>
      <c r="H39" s="206">
        <f t="shared" si="16"/>
        <v>79.869841269841274</v>
      </c>
      <c r="I39" s="206">
        <f t="shared" si="16"/>
        <v>3480</v>
      </c>
      <c r="J39" s="206">
        <f t="shared" si="16"/>
        <v>2406</v>
      </c>
      <c r="K39" s="206">
        <f t="shared" si="16"/>
        <v>1074</v>
      </c>
      <c r="L39" s="206">
        <f t="shared" si="16"/>
        <v>442</v>
      </c>
      <c r="M39" s="206">
        <f t="shared" si="16"/>
        <v>684</v>
      </c>
      <c r="N39" s="206">
        <f t="shared" si="16"/>
        <v>171.58549028951666</v>
      </c>
      <c r="O39" s="206">
        <f t="shared" si="16"/>
        <v>1380</v>
      </c>
      <c r="P39" s="206">
        <f t="shared" si="16"/>
        <v>830</v>
      </c>
      <c r="Q39" s="206">
        <f t="shared" si="16"/>
        <v>550</v>
      </c>
      <c r="R39" s="206">
        <f t="shared" si="16"/>
        <v>170</v>
      </c>
      <c r="S39" s="206">
        <f t="shared" si="16"/>
        <v>174</v>
      </c>
      <c r="T39" s="206">
        <f t="shared" si="16"/>
        <v>169.00583305583308</v>
      </c>
      <c r="U39" s="206">
        <f t="shared" si="16"/>
        <v>2520</v>
      </c>
      <c r="V39" s="206">
        <f t="shared" si="16"/>
        <v>2040</v>
      </c>
      <c r="W39" s="206">
        <f t="shared" si="16"/>
        <v>480</v>
      </c>
      <c r="X39" s="206">
        <f t="shared" si="16"/>
        <v>255</v>
      </c>
      <c r="Y39" s="206">
        <f t="shared" si="16"/>
        <v>306</v>
      </c>
      <c r="Z39" s="206">
        <f t="shared" si="16"/>
        <v>171.57873361453829</v>
      </c>
    </row>
    <row r="40" spans="1:26" ht="20.100000000000001" customHeight="1" thickBot="1" x14ac:dyDescent="0.25">
      <c r="A40" s="391" t="s">
        <v>35</v>
      </c>
      <c r="B40" s="391"/>
      <c r="C40" s="392">
        <f>C39+I39+O39+U39</f>
        <v>7770</v>
      </c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4"/>
    </row>
    <row r="41" spans="1:26" ht="20.100000000000001" customHeight="1" thickBot="1" x14ac:dyDescent="0.25">
      <c r="A41" s="391" t="s">
        <v>36</v>
      </c>
      <c r="B41" s="391"/>
      <c r="C41" s="392">
        <f>D39+J39+P39+V39</f>
        <v>5566</v>
      </c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393"/>
      <c r="Z41" s="394"/>
    </row>
    <row r="42" spans="1:26" ht="20.100000000000001" customHeight="1" thickBot="1" x14ac:dyDescent="0.25">
      <c r="A42" s="391" t="s">
        <v>37</v>
      </c>
      <c r="B42" s="391"/>
      <c r="C42" s="392">
        <f>E39+K39+Q39+W39</f>
        <v>2204</v>
      </c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4"/>
    </row>
    <row r="43" spans="1:26" ht="20.100000000000001" customHeight="1" thickBot="1" x14ac:dyDescent="0.25">
      <c r="A43" s="391" t="s">
        <v>38</v>
      </c>
      <c r="B43" s="391"/>
      <c r="C43" s="395">
        <f>C41/C40</f>
        <v>0.71634491634491637</v>
      </c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7"/>
    </row>
    <row r="44" spans="1:26" ht="20.100000000000001" customHeight="1" thickBot="1" x14ac:dyDescent="0.25">
      <c r="A44" s="391" t="s">
        <v>39</v>
      </c>
      <c r="B44" s="391"/>
      <c r="C44" s="392">
        <f>F39+L39+R39+X39</f>
        <v>918</v>
      </c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4"/>
    </row>
    <row r="45" spans="1:26" ht="15.75" thickBot="1" x14ac:dyDescent="0.25">
      <c r="A45" s="391" t="s">
        <v>40</v>
      </c>
      <c r="B45" s="391"/>
      <c r="C45" s="398">
        <f>C44/'التمام الصباحي'!$C$41:$Z$41</f>
        <v>0.16492993172835069</v>
      </c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0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I15" sqref="I15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4" t="s">
        <v>0</v>
      </c>
      <c r="B1" s="404"/>
      <c r="C1" s="404"/>
      <c r="D1" s="404"/>
      <c r="E1" s="404"/>
      <c r="X1" s="401"/>
      <c r="Y1" s="401"/>
    </row>
    <row r="2" spans="1:25" ht="15.75" x14ac:dyDescent="0.25">
      <c r="A2" s="404" t="s">
        <v>1</v>
      </c>
      <c r="B2" s="404"/>
      <c r="C2" s="404"/>
      <c r="D2" s="404"/>
      <c r="E2" s="404"/>
    </row>
    <row r="3" spans="1:25" ht="15.75" x14ac:dyDescent="0.25">
      <c r="A3" s="404" t="s">
        <v>2</v>
      </c>
      <c r="B3" s="404"/>
      <c r="C3" s="404"/>
      <c r="D3" s="404"/>
      <c r="E3" s="404"/>
    </row>
    <row r="5" spans="1:25" ht="36.75" customHeight="1" thickBot="1" x14ac:dyDescent="0.3">
      <c r="G5" s="199"/>
      <c r="H5" s="403" t="s">
        <v>161</v>
      </c>
      <c r="I5" s="403"/>
      <c r="J5" s="403"/>
      <c r="K5" s="403"/>
      <c r="L5" s="403"/>
      <c r="M5" s="403"/>
      <c r="N5" s="403"/>
      <c r="O5" s="403"/>
      <c r="T5" s="200" t="s">
        <v>41</v>
      </c>
    </row>
    <row r="6" spans="1:25" ht="20.100000000000001" customHeight="1" thickBot="1" x14ac:dyDescent="0.25">
      <c r="A6" s="402" t="s">
        <v>14</v>
      </c>
      <c r="B6" s="402" t="s">
        <v>3</v>
      </c>
      <c r="C6" s="402" t="s">
        <v>4</v>
      </c>
      <c r="D6" s="537" t="s">
        <v>5</v>
      </c>
      <c r="E6" s="538"/>
      <c r="F6" s="538"/>
      <c r="G6" s="539"/>
      <c r="H6" s="402" t="s">
        <v>4</v>
      </c>
      <c r="I6" s="537" t="s">
        <v>11</v>
      </c>
      <c r="J6" s="538"/>
      <c r="K6" s="538"/>
      <c r="L6" s="539"/>
      <c r="M6" s="402" t="s">
        <v>4</v>
      </c>
      <c r="N6" s="537" t="s">
        <v>12</v>
      </c>
      <c r="O6" s="538"/>
      <c r="P6" s="538"/>
      <c r="Q6" s="539"/>
      <c r="R6" s="40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402"/>
      <c r="B7" s="402"/>
      <c r="C7" s="402"/>
      <c r="D7" s="201" t="s">
        <v>6</v>
      </c>
      <c r="E7" s="201" t="s">
        <v>7</v>
      </c>
      <c r="F7" s="201" t="s">
        <v>9</v>
      </c>
      <c r="G7" s="201" t="s">
        <v>10</v>
      </c>
      <c r="H7" s="402"/>
      <c r="I7" s="201" t="s">
        <v>6</v>
      </c>
      <c r="J7" s="201" t="s">
        <v>7</v>
      </c>
      <c r="K7" s="201" t="s">
        <v>9</v>
      </c>
      <c r="L7" s="201" t="s">
        <v>10</v>
      </c>
      <c r="M7" s="402"/>
      <c r="N7" s="201" t="s">
        <v>6</v>
      </c>
      <c r="O7" s="201" t="s">
        <v>7</v>
      </c>
      <c r="P7" s="201" t="s">
        <v>9</v>
      </c>
      <c r="Q7" s="201" t="s">
        <v>10</v>
      </c>
      <c r="R7" s="40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0" t="s">
        <v>34</v>
      </c>
      <c r="B28" s="390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91" t="s">
        <v>35</v>
      </c>
      <c r="B29" s="391"/>
      <c r="C29" s="392">
        <f>C28+H28+M28+R28</f>
        <v>4605</v>
      </c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4"/>
    </row>
    <row r="30" spans="1:26" ht="20.100000000000001" customHeight="1" thickBot="1" x14ac:dyDescent="0.25">
      <c r="A30" s="391" t="s">
        <v>36</v>
      </c>
      <c r="B30" s="391"/>
      <c r="C30" s="392">
        <f>D28+I28+N28+S28</f>
        <v>4605</v>
      </c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4"/>
    </row>
    <row r="31" spans="1:26" ht="20.100000000000001" customHeight="1" thickBot="1" x14ac:dyDescent="0.25">
      <c r="A31" s="391" t="s">
        <v>37</v>
      </c>
      <c r="B31" s="391"/>
      <c r="C31" s="392">
        <f>E28+J28+O28+T28</f>
        <v>0</v>
      </c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4"/>
    </row>
    <row r="32" spans="1:26" ht="15.75" thickBot="1" x14ac:dyDescent="0.25">
      <c r="A32" s="391" t="s">
        <v>38</v>
      </c>
      <c r="B32" s="391"/>
      <c r="C32" s="395">
        <f>C30/C29</f>
        <v>1</v>
      </c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7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4" t="s">
        <v>0</v>
      </c>
      <c r="B1" s="404"/>
      <c r="C1" s="404"/>
      <c r="D1" s="404"/>
      <c r="E1" s="404"/>
      <c r="X1" s="401"/>
      <c r="Y1" s="401"/>
    </row>
    <row r="2" spans="1:25" ht="15.75" x14ac:dyDescent="0.25">
      <c r="A2" s="404" t="s">
        <v>1</v>
      </c>
      <c r="B2" s="404"/>
      <c r="C2" s="404"/>
      <c r="D2" s="404"/>
      <c r="E2" s="404"/>
    </row>
    <row r="3" spans="1:25" ht="15.75" x14ac:dyDescent="0.25">
      <c r="A3" s="404" t="s">
        <v>2</v>
      </c>
      <c r="B3" s="404"/>
      <c r="C3" s="404"/>
      <c r="D3" s="404"/>
      <c r="E3" s="404"/>
    </row>
    <row r="5" spans="1:25" ht="32.25" customHeight="1" thickBot="1" x14ac:dyDescent="0.3">
      <c r="G5" s="199"/>
      <c r="H5" s="403" t="s">
        <v>162</v>
      </c>
      <c r="I5" s="403"/>
      <c r="J5" s="403"/>
      <c r="K5" s="403"/>
      <c r="L5" s="403"/>
      <c r="M5" s="403"/>
      <c r="N5" s="403"/>
      <c r="O5" s="403"/>
      <c r="T5" s="200" t="s">
        <v>41</v>
      </c>
    </row>
    <row r="6" spans="1:25" ht="20.100000000000001" customHeight="1" thickBot="1" x14ac:dyDescent="0.25">
      <c r="A6" s="402" t="s">
        <v>14</v>
      </c>
      <c r="B6" s="402" t="s">
        <v>3</v>
      </c>
      <c r="C6" s="402" t="s">
        <v>4</v>
      </c>
      <c r="D6" s="537" t="s">
        <v>5</v>
      </c>
      <c r="E6" s="538"/>
      <c r="F6" s="538"/>
      <c r="G6" s="539"/>
      <c r="H6" s="402" t="s">
        <v>4</v>
      </c>
      <c r="I6" s="537" t="s">
        <v>11</v>
      </c>
      <c r="J6" s="538"/>
      <c r="K6" s="538"/>
      <c r="L6" s="539"/>
      <c r="M6" s="402" t="s">
        <v>4</v>
      </c>
      <c r="N6" s="537" t="s">
        <v>12</v>
      </c>
      <c r="O6" s="538"/>
      <c r="P6" s="538"/>
      <c r="Q6" s="539"/>
      <c r="R6" s="40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402"/>
      <c r="B7" s="402"/>
      <c r="C7" s="402"/>
      <c r="D7" s="201" t="s">
        <v>6</v>
      </c>
      <c r="E7" s="201" t="s">
        <v>7</v>
      </c>
      <c r="F7" s="201" t="s">
        <v>9</v>
      </c>
      <c r="G7" s="201" t="s">
        <v>10</v>
      </c>
      <c r="H7" s="402"/>
      <c r="I7" s="201" t="s">
        <v>6</v>
      </c>
      <c r="J7" s="201" t="s">
        <v>7</v>
      </c>
      <c r="K7" s="201" t="s">
        <v>9</v>
      </c>
      <c r="L7" s="201" t="s">
        <v>10</v>
      </c>
      <c r="M7" s="402"/>
      <c r="N7" s="201" t="s">
        <v>6</v>
      </c>
      <c r="O7" s="201" t="s">
        <v>7</v>
      </c>
      <c r="P7" s="201" t="s">
        <v>9</v>
      </c>
      <c r="Q7" s="201" t="s">
        <v>10</v>
      </c>
      <c r="R7" s="40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58</v>
      </c>
      <c r="J8" s="221">
        <f>'خطة الإمداد'!F32</f>
        <v>32</v>
      </c>
      <c r="K8" s="261">
        <v>19</v>
      </c>
      <c r="L8" s="203">
        <f>I8/K8</f>
        <v>3.0526315789473686</v>
      </c>
      <c r="M8" s="262">
        <v>30</v>
      </c>
      <c r="N8" s="261">
        <f>M8-O8</f>
        <v>10</v>
      </c>
      <c r="O8" s="221">
        <f>'خطة الإمداد'!G32</f>
        <v>20</v>
      </c>
      <c r="P8" s="261">
        <v>5</v>
      </c>
      <c r="Q8" s="203">
        <f>N8/P8</f>
        <v>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24</v>
      </c>
      <c r="E10" s="261">
        <f>'خطة الإمداد'!E35</f>
        <v>6</v>
      </c>
      <c r="F10" s="261">
        <v>4</v>
      </c>
      <c r="G10" s="204">
        <f>D10/F10</f>
        <v>6</v>
      </c>
      <c r="H10" s="262">
        <v>60</v>
      </c>
      <c r="I10" s="261">
        <f t="shared" ref="I10:I27" si="1">H10-J10</f>
        <v>19</v>
      </c>
      <c r="J10" s="221">
        <f>'خطة الإمداد'!F35</f>
        <v>41</v>
      </c>
      <c r="K10" s="261">
        <v>21</v>
      </c>
      <c r="L10" s="203">
        <f t="shared" ref="L10:L21" si="2">I10/K10</f>
        <v>0.90476190476190477</v>
      </c>
      <c r="M10" s="262">
        <v>30</v>
      </c>
      <c r="N10" s="261">
        <f t="shared" ref="N10:N27" si="3">M10-O10</f>
        <v>17</v>
      </c>
      <c r="O10" s="221">
        <f>'خطة الإمداد'!G35</f>
        <v>13</v>
      </c>
      <c r="P10" s="261">
        <v>5</v>
      </c>
      <c r="Q10" s="203">
        <f>N10/P10</f>
        <v>3.4</v>
      </c>
      <c r="R10" s="262">
        <v>180</v>
      </c>
      <c r="S10" s="221">
        <f t="shared" ref="S10:S27" si="4">R10-T10</f>
        <v>158</v>
      </c>
      <c r="T10" s="261">
        <f>'خطة الإمداد'!H35</f>
        <v>22</v>
      </c>
      <c r="U10" s="261">
        <v>3</v>
      </c>
      <c r="V10" s="203">
        <f>S10/U10</f>
        <v>52.666666666666664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-5</v>
      </c>
      <c r="J11" s="221">
        <f>'خطة الإمداد'!F36</f>
        <v>65</v>
      </c>
      <c r="K11" s="261">
        <v>34</v>
      </c>
      <c r="L11" s="203">
        <f t="shared" si="2"/>
        <v>-0.14705882352941177</v>
      </c>
      <c r="M11" s="262">
        <v>30</v>
      </c>
      <c r="N11" s="261">
        <f t="shared" si="3"/>
        <v>12</v>
      </c>
      <c r="O11" s="221">
        <f>'خطة الإمداد'!G36</f>
        <v>18</v>
      </c>
      <c r="P11" s="261">
        <v>8</v>
      </c>
      <c r="Q11" s="203">
        <f>N11/P11</f>
        <v>1.5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14</v>
      </c>
      <c r="E12" s="261">
        <f>'خطة الإمداد'!E37</f>
        <v>16</v>
      </c>
      <c r="F12" s="261">
        <v>4</v>
      </c>
      <c r="G12" s="204">
        <f>D12/F12</f>
        <v>3.5</v>
      </c>
      <c r="H12" s="262">
        <v>90</v>
      </c>
      <c r="I12" s="261">
        <f t="shared" si="1"/>
        <v>49</v>
      </c>
      <c r="J12" s="221">
        <f>'خطة الإمداد'!F37</f>
        <v>41</v>
      </c>
      <c r="K12" s="261">
        <v>19</v>
      </c>
      <c r="L12" s="203">
        <f t="shared" si="2"/>
        <v>2.5789473684210527</v>
      </c>
      <c r="M12" s="263"/>
      <c r="N12" s="263"/>
      <c r="O12" s="263"/>
      <c r="P12" s="263"/>
      <c r="Q12" s="205"/>
      <c r="R12" s="262">
        <v>180</v>
      </c>
      <c r="S12" s="221">
        <f t="shared" si="4"/>
        <v>171</v>
      </c>
      <c r="T12" s="261">
        <f>'خطة الإمداد'!H37</f>
        <v>9</v>
      </c>
      <c r="U12" s="261">
        <v>8</v>
      </c>
      <c r="V12" s="203">
        <f>S12/U12</f>
        <v>21.375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5</v>
      </c>
      <c r="E13" s="261">
        <f>'خطة الإمداد'!E38</f>
        <v>25</v>
      </c>
      <c r="F13" s="261">
        <v>4</v>
      </c>
      <c r="G13" s="204">
        <f>D13/F13</f>
        <v>1.25</v>
      </c>
      <c r="H13" s="262">
        <v>90</v>
      </c>
      <c r="I13" s="261">
        <f t="shared" si="1"/>
        <v>52</v>
      </c>
      <c r="J13" s="221">
        <f>'خطة الإمداد'!F38</f>
        <v>38</v>
      </c>
      <c r="K13" s="261">
        <v>16</v>
      </c>
      <c r="L13" s="203">
        <f t="shared" si="2"/>
        <v>3.25</v>
      </c>
      <c r="M13" s="263"/>
      <c r="N13" s="263"/>
      <c r="O13" s="263"/>
      <c r="P13" s="263"/>
      <c r="Q13" s="205"/>
      <c r="R13" s="262">
        <v>180</v>
      </c>
      <c r="S13" s="221">
        <f t="shared" si="4"/>
        <v>137</v>
      </c>
      <c r="T13" s="261">
        <f>'خطة الإمداد'!H38</f>
        <v>43</v>
      </c>
      <c r="U13" s="261">
        <v>19</v>
      </c>
      <c r="V13" s="203">
        <f>S13/U13</f>
        <v>7.2105263157894735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98</v>
      </c>
      <c r="J14" s="221">
        <f>'خطة الإمداد'!F39</f>
        <v>82</v>
      </c>
      <c r="K14" s="261">
        <v>39</v>
      </c>
      <c r="L14" s="203">
        <f t="shared" si="2"/>
        <v>2.5128205128205128</v>
      </c>
      <c r="M14" s="262">
        <v>60</v>
      </c>
      <c r="N14" s="261">
        <f t="shared" si="3"/>
        <v>27</v>
      </c>
      <c r="O14" s="221">
        <f>'خطة الإمداد'!G39</f>
        <v>33</v>
      </c>
      <c r="P14" s="261">
        <v>7</v>
      </c>
      <c r="Q14" s="203">
        <f t="shared" ref="Q14:Q21" si="5">N14/P14</f>
        <v>3.8571428571428572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105</v>
      </c>
      <c r="J15" s="221">
        <f>'خطة الإمداد'!F40</f>
        <v>75</v>
      </c>
      <c r="K15" s="261">
        <v>36</v>
      </c>
      <c r="L15" s="203">
        <f t="shared" si="2"/>
        <v>2.9166666666666665</v>
      </c>
      <c r="M15" s="262">
        <v>45</v>
      </c>
      <c r="N15" s="261">
        <f t="shared" si="3"/>
        <v>23</v>
      </c>
      <c r="O15" s="221">
        <f>'خطة الإمداد'!G40</f>
        <v>22</v>
      </c>
      <c r="P15" s="261">
        <v>8</v>
      </c>
      <c r="Q15" s="203">
        <f t="shared" si="5"/>
        <v>2.875</v>
      </c>
      <c r="R15" s="262">
        <v>120</v>
      </c>
      <c r="S15" s="221">
        <f t="shared" si="4"/>
        <v>80</v>
      </c>
      <c r="T15" s="261">
        <f>'خطة الإمداد'!H40</f>
        <v>40</v>
      </c>
      <c r="U15" s="261">
        <v>26</v>
      </c>
      <c r="V15" s="203">
        <f>S15/U15</f>
        <v>3.0769230769230771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17</v>
      </c>
      <c r="O16" s="221">
        <f>'خطة الإمداد'!G41</f>
        <v>13</v>
      </c>
      <c r="P16" s="261">
        <v>2</v>
      </c>
      <c r="Q16" s="203">
        <f t="shared" si="5"/>
        <v>8.5</v>
      </c>
      <c r="R16" s="262">
        <v>180</v>
      </c>
      <c r="S16" s="221">
        <f t="shared" si="4"/>
        <v>109</v>
      </c>
      <c r="T16" s="261">
        <f>'خطة الإمداد'!H41</f>
        <v>71</v>
      </c>
      <c r="U16" s="261">
        <v>56</v>
      </c>
      <c r="V16" s="203">
        <f>S16/U16</f>
        <v>1.9464285714285714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41</v>
      </c>
      <c r="J17" s="221">
        <f>'خطة الإمداد'!F42</f>
        <v>49</v>
      </c>
      <c r="K17" s="261">
        <v>5</v>
      </c>
      <c r="L17" s="203">
        <f t="shared" si="2"/>
        <v>8.1999999999999993</v>
      </c>
      <c r="M17" s="262">
        <v>30</v>
      </c>
      <c r="N17" s="261">
        <f t="shared" si="3"/>
        <v>10</v>
      </c>
      <c r="O17" s="221">
        <f>'خطة الإمداد'!G42</f>
        <v>20</v>
      </c>
      <c r="P17" s="261">
        <v>1</v>
      </c>
      <c r="Q17" s="203">
        <f t="shared" si="5"/>
        <v>10</v>
      </c>
      <c r="R17" s="262">
        <v>60</v>
      </c>
      <c r="S17" s="194">
        <f t="shared" si="4"/>
        <v>44</v>
      </c>
      <c r="T17" s="261">
        <f>'خطة الإمداد'!H42</f>
        <v>16</v>
      </c>
      <c r="U17" s="261">
        <v>2</v>
      </c>
      <c r="V17" s="261">
        <f>S17/U17</f>
        <v>22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36</v>
      </c>
      <c r="J18" s="221">
        <f>'خطة الإمداد'!F43</f>
        <v>24</v>
      </c>
      <c r="K18" s="261">
        <v>2</v>
      </c>
      <c r="L18" s="203">
        <f t="shared" si="2"/>
        <v>18</v>
      </c>
      <c r="M18" s="262">
        <v>30</v>
      </c>
      <c r="N18" s="261">
        <f t="shared" si="3"/>
        <v>12</v>
      </c>
      <c r="O18" s="221">
        <f>'خطة الإمداد'!G43</f>
        <v>18</v>
      </c>
      <c r="P18" s="261">
        <v>5</v>
      </c>
      <c r="Q18" s="203">
        <f t="shared" si="5"/>
        <v>2.4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71</v>
      </c>
      <c r="J19" s="221">
        <f>'خطة الإمداد'!F44</f>
        <v>19</v>
      </c>
      <c r="K19" s="261">
        <v>6</v>
      </c>
      <c r="L19" s="203">
        <f t="shared" si="2"/>
        <v>11.833333333333334</v>
      </c>
      <c r="M19" s="262">
        <v>30</v>
      </c>
      <c r="N19" s="261">
        <f t="shared" si="3"/>
        <v>13</v>
      </c>
      <c r="O19" s="221">
        <f>'خطة الإمداد'!G44</f>
        <v>17</v>
      </c>
      <c r="P19" s="261">
        <v>2</v>
      </c>
      <c r="Q19" s="203">
        <f t="shared" si="5"/>
        <v>6.5</v>
      </c>
      <c r="R19" s="262">
        <v>180</v>
      </c>
      <c r="S19" s="221">
        <f t="shared" si="4"/>
        <v>137</v>
      </c>
      <c r="T19" s="261">
        <f>'خطة الإمداد'!H44</f>
        <v>43</v>
      </c>
      <c r="U19" s="261">
        <v>16</v>
      </c>
      <c r="V19" s="203">
        <f>S19/U19</f>
        <v>8.5625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36</v>
      </c>
      <c r="J20" s="221">
        <f>'خطة الإمداد'!F45</f>
        <v>54</v>
      </c>
      <c r="K20" s="261">
        <v>7</v>
      </c>
      <c r="L20" s="203">
        <f t="shared" si="2"/>
        <v>5.1428571428571432</v>
      </c>
      <c r="M20" s="262">
        <v>30</v>
      </c>
      <c r="N20" s="261">
        <f t="shared" si="3"/>
        <v>-1</v>
      </c>
      <c r="O20" s="221">
        <f>'خطة الإمداد'!G45</f>
        <v>31</v>
      </c>
      <c r="P20" s="261">
        <v>1</v>
      </c>
      <c r="Q20" s="203">
        <f t="shared" si="5"/>
        <v>-1</v>
      </c>
      <c r="R20" s="262">
        <v>180</v>
      </c>
      <c r="S20" s="221">
        <f t="shared" si="4"/>
        <v>120</v>
      </c>
      <c r="T20" s="261">
        <f>'خطة الإمداد'!H45</f>
        <v>60</v>
      </c>
      <c r="U20" s="261">
        <v>18</v>
      </c>
      <c r="V20" s="203">
        <f>S20/U20</f>
        <v>6.666666666666667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67</v>
      </c>
      <c r="J21" s="221">
        <f>'خطة الإمداد'!F46</f>
        <v>23</v>
      </c>
      <c r="K21" s="261">
        <v>5</v>
      </c>
      <c r="L21" s="203">
        <f t="shared" si="2"/>
        <v>13.4</v>
      </c>
      <c r="M21" s="262">
        <v>30</v>
      </c>
      <c r="N21" s="261">
        <f t="shared" si="3"/>
        <v>14</v>
      </c>
      <c r="O21" s="221">
        <f>'خطة الإمداد'!G46</f>
        <v>16</v>
      </c>
      <c r="P21" s="261">
        <v>1</v>
      </c>
      <c r="Q21" s="203">
        <f t="shared" si="5"/>
        <v>14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28.4</v>
      </c>
      <c r="E22" s="194">
        <f>'خطة الإمداد'!E47</f>
        <v>1.6</v>
      </c>
      <c r="F22" s="194">
        <v>0.2</v>
      </c>
      <c r="G22" s="194">
        <f>D22/F22</f>
        <v>141.99999999999997</v>
      </c>
      <c r="H22" s="262">
        <v>60</v>
      </c>
      <c r="I22" s="261">
        <f t="shared" si="1"/>
        <v>49</v>
      </c>
      <c r="J22" s="221">
        <f>'خطة الإمداد'!F47</f>
        <v>11</v>
      </c>
      <c r="K22" s="261">
        <v>1</v>
      </c>
      <c r="L22" s="203">
        <f t="shared" ref="L22:L27" si="6">I22/K22</f>
        <v>49</v>
      </c>
      <c r="M22" s="263"/>
      <c r="N22" s="263"/>
      <c r="O22" s="263"/>
      <c r="P22" s="263"/>
      <c r="Q22" s="205"/>
      <c r="R22" s="262">
        <v>120</v>
      </c>
      <c r="S22" s="221">
        <f t="shared" si="4"/>
        <v>99</v>
      </c>
      <c r="T22" s="261">
        <f>'خطة الإمداد'!H47</f>
        <v>21</v>
      </c>
      <c r="U22" s="261">
        <v>14</v>
      </c>
      <c r="V22" s="203">
        <f t="shared" ref="V22:V27" si="7">S22/U22</f>
        <v>7.0714285714285712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47</v>
      </c>
      <c r="J23" s="221">
        <f>'خطة الإمداد'!F48</f>
        <v>13</v>
      </c>
      <c r="K23" s="261">
        <v>1</v>
      </c>
      <c r="L23" s="203">
        <f t="shared" si="6"/>
        <v>47</v>
      </c>
      <c r="M23" s="263"/>
      <c r="N23" s="263"/>
      <c r="O23" s="263"/>
      <c r="P23" s="263"/>
      <c r="Q23" s="205"/>
      <c r="R23" s="262">
        <v>120</v>
      </c>
      <c r="S23" s="221">
        <f t="shared" si="4"/>
        <v>101</v>
      </c>
      <c r="T23" s="261">
        <f>'خطة الإمداد'!H48</f>
        <v>19</v>
      </c>
      <c r="U23" s="261">
        <v>7</v>
      </c>
      <c r="V23" s="203">
        <f t="shared" si="7"/>
        <v>14.428571428571429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55</v>
      </c>
      <c r="J24" s="221">
        <f>'خطة الإمداد'!F49</f>
        <v>35</v>
      </c>
      <c r="K24" s="261">
        <v>11</v>
      </c>
      <c r="L24" s="203">
        <f t="shared" si="6"/>
        <v>5</v>
      </c>
      <c r="M24" s="262">
        <v>30</v>
      </c>
      <c r="N24" s="261">
        <f t="shared" si="3"/>
        <v>13</v>
      </c>
      <c r="O24" s="221">
        <f>'خطة الإمداد'!G49</f>
        <v>17</v>
      </c>
      <c r="P24" s="261">
        <v>1</v>
      </c>
      <c r="Q24" s="203">
        <f>N24/P24</f>
        <v>13</v>
      </c>
      <c r="R24" s="262">
        <v>180</v>
      </c>
      <c r="S24" s="221">
        <f t="shared" si="4"/>
        <v>101</v>
      </c>
      <c r="T24" s="261">
        <f>'خطة الإمداد'!H49</f>
        <v>79</v>
      </c>
      <c r="U24" s="261">
        <v>42</v>
      </c>
      <c r="V24" s="203">
        <f t="shared" si="7"/>
        <v>2.4047619047619047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63</v>
      </c>
      <c r="J25" s="221">
        <f>'خطة الإمداد'!F50</f>
        <v>27</v>
      </c>
      <c r="K25" s="261">
        <v>14</v>
      </c>
      <c r="L25" s="203">
        <f t="shared" si="6"/>
        <v>4.5</v>
      </c>
      <c r="M25" s="262">
        <v>30</v>
      </c>
      <c r="N25" s="261">
        <f t="shared" si="3"/>
        <v>16</v>
      </c>
      <c r="O25" s="221">
        <f>'خطة الإمداد'!G50</f>
        <v>14</v>
      </c>
      <c r="P25" s="261">
        <v>2</v>
      </c>
      <c r="Q25" s="203">
        <f>N25/P25</f>
        <v>8</v>
      </c>
      <c r="R25" s="262">
        <v>180</v>
      </c>
      <c r="S25" s="221">
        <f t="shared" si="4"/>
        <v>89</v>
      </c>
      <c r="T25" s="261">
        <f>'خطة الإمداد'!H50</f>
        <v>91</v>
      </c>
      <c r="U25" s="261">
        <v>35</v>
      </c>
      <c r="V25" s="203">
        <f t="shared" si="7"/>
        <v>2.5428571428571427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58</v>
      </c>
      <c r="J26" s="221">
        <f>'خطة الإمداد'!F51</f>
        <v>32</v>
      </c>
      <c r="K26" s="261">
        <v>6</v>
      </c>
      <c r="L26" s="203">
        <f t="shared" si="6"/>
        <v>9.6666666666666661</v>
      </c>
      <c r="M26" s="262">
        <v>30</v>
      </c>
      <c r="N26" s="261">
        <f t="shared" si="3"/>
        <v>25</v>
      </c>
      <c r="O26" s="221">
        <f>'خطة الإمداد'!G51</f>
        <v>5</v>
      </c>
      <c r="P26" s="261">
        <v>1</v>
      </c>
      <c r="Q26" s="203">
        <f>N26/P26</f>
        <v>25</v>
      </c>
      <c r="R26" s="262">
        <v>180</v>
      </c>
      <c r="S26" s="221">
        <f t="shared" si="4"/>
        <v>128</v>
      </c>
      <c r="T26" s="261">
        <f>'خطة الإمداد'!H51</f>
        <v>52</v>
      </c>
      <c r="U26" s="261">
        <v>21</v>
      </c>
      <c r="V26" s="203">
        <f t="shared" si="7"/>
        <v>6.0952380952380949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76</v>
      </c>
      <c r="J27" s="221">
        <f>'خطة الإمداد'!F52</f>
        <v>14</v>
      </c>
      <c r="K27" s="261">
        <v>7</v>
      </c>
      <c r="L27" s="203">
        <f t="shared" si="6"/>
        <v>10.857142857142858</v>
      </c>
      <c r="M27" s="262">
        <v>30</v>
      </c>
      <c r="N27" s="261">
        <f t="shared" si="3"/>
        <v>14</v>
      </c>
      <c r="O27" s="221">
        <f>'خطة الإمداد'!G52</f>
        <v>16</v>
      </c>
      <c r="P27" s="261">
        <v>1</v>
      </c>
      <c r="Q27" s="203">
        <f>N27/P27</f>
        <v>14</v>
      </c>
      <c r="R27" s="262">
        <v>180</v>
      </c>
      <c r="S27" s="221">
        <f t="shared" si="4"/>
        <v>140</v>
      </c>
      <c r="T27" s="261">
        <f>'خطة الإمداد'!H52</f>
        <v>40</v>
      </c>
      <c r="U27" s="261">
        <v>22</v>
      </c>
      <c r="V27" s="203">
        <f t="shared" si="7"/>
        <v>6.3636363636363633</v>
      </c>
    </row>
    <row r="28" spans="1:23" ht="24.75" customHeight="1" thickBot="1" x14ac:dyDescent="0.25">
      <c r="A28" s="390" t="s">
        <v>34</v>
      </c>
      <c r="B28" s="390"/>
      <c r="C28" s="206">
        <f>SUM(C8:C27)</f>
        <v>150</v>
      </c>
      <c r="D28" s="206">
        <f>SUM(D8:D27)</f>
        <v>101.4</v>
      </c>
      <c r="E28" s="206">
        <f t="shared" ref="E28:V28" si="8">SUM(E8:E27)</f>
        <v>48.6</v>
      </c>
      <c r="F28" s="206">
        <f t="shared" si="8"/>
        <v>21.2</v>
      </c>
      <c r="G28" s="206">
        <f t="shared" si="8"/>
        <v>156.08333333333331</v>
      </c>
      <c r="H28" s="262">
        <f t="shared" si="8"/>
        <v>1740</v>
      </c>
      <c r="I28" s="206">
        <f t="shared" si="8"/>
        <v>1046</v>
      </c>
      <c r="J28" s="206">
        <f t="shared" si="8"/>
        <v>694</v>
      </c>
      <c r="K28" s="206">
        <f t="shared" si="8"/>
        <v>255</v>
      </c>
      <c r="L28" s="207">
        <f t="shared" si="8"/>
        <v>209.50210254142144</v>
      </c>
      <c r="M28" s="262">
        <f t="shared" si="8"/>
        <v>495</v>
      </c>
      <c r="N28" s="206">
        <f t="shared" si="8"/>
        <v>222</v>
      </c>
      <c r="O28" s="206">
        <f t="shared" si="8"/>
        <v>273</v>
      </c>
      <c r="P28" s="206">
        <f t="shared" si="8"/>
        <v>50</v>
      </c>
      <c r="Q28" s="207">
        <f t="shared" si="8"/>
        <v>114.03214285714286</v>
      </c>
      <c r="R28" s="262">
        <f t="shared" si="8"/>
        <v>2220</v>
      </c>
      <c r="S28" s="206">
        <f t="shared" si="8"/>
        <v>1614</v>
      </c>
      <c r="T28" s="206">
        <f t="shared" si="8"/>
        <v>606</v>
      </c>
      <c r="U28" s="206">
        <f t="shared" si="8"/>
        <v>289</v>
      </c>
      <c r="V28" s="207">
        <f t="shared" si="8"/>
        <v>162.41120480396796</v>
      </c>
    </row>
    <row r="29" spans="1:23" ht="20.100000000000001" customHeight="1" thickBot="1" x14ac:dyDescent="0.25">
      <c r="A29" s="391" t="s">
        <v>35</v>
      </c>
      <c r="B29" s="391"/>
      <c r="C29" s="392">
        <f>C28+H28+M28+R28</f>
        <v>4605</v>
      </c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4"/>
    </row>
    <row r="30" spans="1:23" ht="20.100000000000001" customHeight="1" thickBot="1" x14ac:dyDescent="0.25">
      <c r="A30" s="391" t="s">
        <v>36</v>
      </c>
      <c r="B30" s="391"/>
      <c r="C30" s="392">
        <f>D28+I28+N28+S28</f>
        <v>2983.4</v>
      </c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4"/>
    </row>
    <row r="31" spans="1:23" ht="20.100000000000001" customHeight="1" thickBot="1" x14ac:dyDescent="0.25">
      <c r="A31" s="391" t="s">
        <v>37</v>
      </c>
      <c r="B31" s="391"/>
      <c r="C31" s="392">
        <f>E28+J28+O28+T28</f>
        <v>1621.6</v>
      </c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4"/>
    </row>
    <row r="32" spans="1:23" ht="20.100000000000001" customHeight="1" thickBot="1" x14ac:dyDescent="0.25">
      <c r="A32" s="391" t="s">
        <v>38</v>
      </c>
      <c r="B32" s="391"/>
      <c r="C32" s="395">
        <f>C30/C29</f>
        <v>0.64786102062975026</v>
      </c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396"/>
      <c r="T32" s="396"/>
      <c r="U32" s="396"/>
      <c r="V32" s="397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6" t="s">
        <v>94</v>
      </c>
      <c r="R5" s="416"/>
      <c r="S5" s="416"/>
      <c r="T5" s="416"/>
      <c r="U5" s="416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7</v>
      </c>
      <c r="E8" s="10">
        <f>'التمام الصباحي'!N8</f>
        <v>3.32</v>
      </c>
      <c r="F8" s="72">
        <f>'التمام الصباحي'!Q8</f>
        <v>12</v>
      </c>
      <c r="G8" s="10">
        <f>'التمام الصباحي'!T8</f>
        <v>2.25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</v>
      </c>
      <c r="C9" s="9">
        <f>'التمام الصباحي'!H11</f>
        <v>5.8</v>
      </c>
      <c r="D9" s="72">
        <f>'التمام الصباحي'!K11</f>
        <v>16</v>
      </c>
      <c r="E9" s="10">
        <f>'التمام الصباحي'!N11</f>
        <v>1.76</v>
      </c>
      <c r="F9" s="72">
        <f>'التمام الصباحي'!Q11</f>
        <v>5</v>
      </c>
      <c r="G9" s="10">
        <f>'التمام الصباحي'!T11</f>
        <v>3.125</v>
      </c>
      <c r="H9" s="5">
        <f>'التمام الصباحي'!W11</f>
        <v>16</v>
      </c>
      <c r="I9" s="10">
        <f>'التمام الصباحي'!Z11</f>
        <v>27.333333333333332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6">
        <f>IF((ROUNDDOWN((SUM(M9:M10)/51)-(R9+R10),0.9))&lt;0,0,(ROUNDDOWN((SUM(M9:M10)/51)-(R9+R10),0.9)))</f>
        <v>0</v>
      </c>
      <c r="T9" s="546">
        <f>IF((ROUNDDOWN((SUM(O9:O10)/51)-(R9+R10),0.9))&lt;0,0,(ROUNDDOWN((SUM(O9:O10)/51)-(R9+R10),0.9)))</f>
        <v>0</v>
      </c>
      <c r="U9" s="546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23</v>
      </c>
      <c r="E10" s="10">
        <f>'التمام الصباحي'!N12</f>
        <v>1.5952380952380953</v>
      </c>
      <c r="F10" s="72">
        <f>'التمام الصباحي'!Q12</f>
        <v>6</v>
      </c>
      <c r="G10" s="10">
        <f>'التمام الصباحي'!T12</f>
        <v>2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7"/>
      <c r="T10" s="547"/>
      <c r="U10" s="547"/>
    </row>
    <row r="11" spans="1:21" ht="17.25" thickTop="1" thickBot="1" x14ac:dyDescent="0.3">
      <c r="A11" s="77" t="s">
        <v>18</v>
      </c>
      <c r="B11" s="5">
        <f>'التمام الصباحي'!E13</f>
        <v>12</v>
      </c>
      <c r="C11" s="9">
        <f>'التمام الصباحي'!H13</f>
        <v>4.5</v>
      </c>
      <c r="D11" s="72">
        <f>'التمام الصباحي'!K13</f>
        <v>14</v>
      </c>
      <c r="E11" s="10">
        <f>'التمام الصباحي'!N13</f>
        <v>2.8148148148148149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</v>
      </c>
      <c r="I11" s="10">
        <f>'التمام الصباحي'!Z13</f>
        <v>22.375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8">
        <f>IF((ROUNDDOWN((SUM(M11:M12)/51)-(R11+R12),0.9))&lt;0,0,(ROUNDDOWN((SUM(M11:M12)/51)-(R11+R12),0.9)))</f>
        <v>0</v>
      </c>
      <c r="T11" s="548">
        <f t="shared" ref="T11" si="5">IF((ROUNDDOWN((SUM(O11:O12)/51)-(R11+R12),0.9))&lt;0,0,(ROUNDDOWN((SUM(O11:O12)/51)-(R11+R12),0.9)))</f>
        <v>0</v>
      </c>
      <c r="U11" s="548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18</v>
      </c>
      <c r="C12" s="9">
        <f>'التمام الصباحي'!H14</f>
        <v>1.7142857142857142</v>
      </c>
      <c r="D12" s="72">
        <f>'التمام الصباحي'!K14</f>
        <v>16</v>
      </c>
      <c r="E12" s="10">
        <f>'التمام الصباحي'!N14</f>
        <v>3.3636363636363638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23</v>
      </c>
      <c r="I12" s="10">
        <f>'التمام الصباحي'!Z14</f>
        <v>7.85</v>
      </c>
      <c r="K12" s="79" t="s">
        <v>19</v>
      </c>
      <c r="L12" s="41">
        <f t="shared" si="3"/>
        <v>17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48"/>
      <c r="T12" s="548"/>
      <c r="U12" s="548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30</v>
      </c>
      <c r="E13" s="10">
        <f>'التمام الصباحي'!N15</f>
        <v>2.8846153846153846</v>
      </c>
      <c r="F13" s="72">
        <f>'التمام الصباحي'!Q15</f>
        <v>18</v>
      </c>
      <c r="G13" s="10">
        <f>'التمام الصباحي'!T15</f>
        <v>2.8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0</v>
      </c>
      <c r="S13" s="546">
        <f>IF((ROUNDDOWN((SUM(M13:M14)/51)-(R13+R14),0.9))&lt;0,0,(ROUNDDOWN((SUM(M13:M14)/51)-(R13+R14),0.9)))</f>
        <v>1</v>
      </c>
      <c r="T13" s="546">
        <f t="shared" ref="T13" si="7">IF((ROUNDDOWN((SUM(O13:O14)/51)-(R13+R14),0.9))&lt;0,0,(ROUNDDOWN((SUM(O13:O14)/51)-(R13+R14),0.9)))</f>
        <v>0</v>
      </c>
      <c r="U13" s="546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40</v>
      </c>
      <c r="E14" s="10">
        <f>'التمام الصباحي'!N16</f>
        <v>4</v>
      </c>
      <c r="F14" s="72">
        <f>'التمام الصباحي'!Q16</f>
        <v>11</v>
      </c>
      <c r="G14" s="10">
        <f>'التمام الصباحي'!T16</f>
        <v>3.0909090909090908</v>
      </c>
      <c r="H14" s="5">
        <f>'التمام الصباحي'!W16</f>
        <v>15</v>
      </c>
      <c r="I14" s="10">
        <f>'التمام الصباحي'!Z16</f>
        <v>4.2</v>
      </c>
      <c r="K14" s="88" t="s">
        <v>21</v>
      </c>
      <c r="L14" s="80"/>
      <c r="M14" s="41">
        <f t="shared" si="1"/>
        <v>34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7"/>
      <c r="T14" s="547"/>
      <c r="U14" s="547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7</v>
      </c>
      <c r="G15" s="10">
        <f>'التمام الصباحي'!T17</f>
        <v>3.8333333333333335</v>
      </c>
      <c r="H15" s="5">
        <f>'التمام الصباحي'!W17</f>
        <v>40</v>
      </c>
      <c r="I15" s="10">
        <f>'التمام الصباحي'!Z17</f>
        <v>4.5161290322580649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37</v>
      </c>
      <c r="E16" s="10">
        <f>'التمام الصباحي'!N18</f>
        <v>4.416666666666667</v>
      </c>
      <c r="F16" s="72">
        <f>'التمام الصباحي'!Q18</f>
        <v>16</v>
      </c>
      <c r="G16" s="10">
        <f>'التمام الصباحي'!T18</f>
        <v>3.5</v>
      </c>
      <c r="H16" s="5">
        <f>'التمام الصباحي'!W18</f>
        <v>11</v>
      </c>
      <c r="I16" s="10">
        <f>'التمام الصباحي'!Z18</f>
        <v>9.8000000000000007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9">
        <f>IF((ROUNDDOWN((SUM(M16:M17)/51)-(R16+R17),0.9))&lt;0,0,(ROUNDDOWN((SUM(M16:M17)/51)-(R16+R17),0.9)))</f>
        <v>1</v>
      </c>
      <c r="T16" s="549">
        <f>IF((ROUNDDOWN((SUM(O16:O17)/51)-(R16+R17),0.9))&lt;0,0,(ROUNDDOWN((SUM(O16:O17)/51)-(R16+R17),0.9)))</f>
        <v>0</v>
      </c>
      <c r="U16" s="549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19</v>
      </c>
      <c r="E17" s="10">
        <f>'التمام الصباحي'!N19</f>
        <v>8.1999999999999993</v>
      </c>
      <c r="F17" s="72">
        <f>'التمام الصباحي'!Q19</f>
        <v>16</v>
      </c>
      <c r="G17" s="10">
        <f>'التمام الصباحي'!T19</f>
        <v>7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50"/>
      <c r="T17" s="550"/>
      <c r="U17" s="550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15</v>
      </c>
      <c r="E18" s="10">
        <f>'التمام الصباحي'!N20</f>
        <v>18.75</v>
      </c>
      <c r="F18" s="72">
        <f>'التمام الصباحي'!Q20</f>
        <v>15</v>
      </c>
      <c r="G18" s="10">
        <f>'التمام الصباحي'!T20</f>
        <v>7.5</v>
      </c>
      <c r="H18" s="5">
        <f>'التمام الصباحي'!W20</f>
        <v>36</v>
      </c>
      <c r="I18" s="10">
        <f>'التمام الصباحي'!Z20</f>
        <v>20.571428571428573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20</v>
      </c>
      <c r="E19" s="10">
        <f>'التمام الصباحي'!N21</f>
        <v>2.0588235294117645</v>
      </c>
      <c r="F19" s="72">
        <f>'التمام الصباحي'!Q21</f>
        <v>18</v>
      </c>
      <c r="G19" s="10">
        <f>'التمام الصباحي'!T21</f>
        <v>0.92307692307692313</v>
      </c>
      <c r="H19" s="5">
        <f>'التمام الصباحي'!W21</f>
        <v>38</v>
      </c>
      <c r="I19" s="10">
        <f>'التمام الصباحي'!Z21</f>
        <v>6.4545454545454541</v>
      </c>
      <c r="K19" s="85" t="s">
        <v>25</v>
      </c>
      <c r="L19" s="80"/>
      <c r="M19" s="41">
        <f t="shared" si="1"/>
        <v>17</v>
      </c>
      <c r="N19" s="41">
        <f t="shared" si="2"/>
        <v>17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46">
        <f>IF((ROUNDDOWN((SUM(M19:M20)/51)-(R19+R20),0.9))&lt;0,0,(ROUNDDOWN((SUM(M19:M20)/51)-(R19+R20),0.9)))</f>
        <v>0</v>
      </c>
      <c r="T19" s="546">
        <f>IF((ROUNDDOWN((SUM(O19:O20)/51)-(R19+R20),0.9))&lt;0,0,(ROUNDDOWN((SUM(O19:O20)/51)-(R19+R20),0.9)))</f>
        <v>0</v>
      </c>
      <c r="U19" s="546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15</v>
      </c>
      <c r="E20" s="10">
        <f>'التمام الصباحي'!N22</f>
        <v>9.375</v>
      </c>
      <c r="F20" s="72">
        <f>'التمام الصباحي'!Q22</f>
        <v>14</v>
      </c>
      <c r="G20" s="10">
        <f>'التمام الصباحي'!T22</f>
        <v>8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7"/>
      <c r="T20" s="547"/>
      <c r="U20" s="547"/>
    </row>
    <row r="21" spans="1:21" ht="17.25" thickTop="1" thickBot="1" x14ac:dyDescent="0.3">
      <c r="A21" s="77" t="s">
        <v>28</v>
      </c>
      <c r="B21" s="5">
        <f>'التمام الصباحي'!E23</f>
        <v>1</v>
      </c>
      <c r="C21" s="9">
        <f>'التمام الصباحي'!H23</f>
        <v>48.333333333333336</v>
      </c>
      <c r="D21" s="72">
        <f>'التمام الصباحي'!K23</f>
        <v>8</v>
      </c>
      <c r="E21" s="10">
        <f>'التمام الصباحي'!N23</f>
        <v>17.333333333333332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14</v>
      </c>
      <c r="I21" s="10">
        <f>'التمام الصباحي'!Z23</f>
        <v>15.142857142857142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48">
        <f>IF((ROUNDDOWN((SUM(M21:M22)/51)-(R21+R22),0.9))&lt;0,0,(ROUNDDOWN((SUM(M21:M22)/51)-(R21+R22),0.9)))</f>
        <v>0</v>
      </c>
      <c r="T21" s="549">
        <f>IF((ROUNDDOWN((SUM(O21:O22)/51)-(R21+R22),0.9))&lt;0,0,(ROUNDDOWN((SUM(O21:O22)/51)-(R21+R22),0.9)))</f>
        <v>0</v>
      </c>
      <c r="U21" s="549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7</v>
      </c>
      <c r="E22" s="10">
        <f>'التمام الصباحي'!N24</f>
        <v>8.8333333333333339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14</v>
      </c>
      <c r="I22" s="10">
        <f>'التمام الصباحي'!Z24</f>
        <v>21.2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8"/>
      <c r="T22" s="550"/>
      <c r="U22" s="550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20</v>
      </c>
      <c r="E23" s="10">
        <f>'التمام الصباحي'!N25</f>
        <v>4.666666666666667</v>
      </c>
      <c r="F23" s="72">
        <f>'التمام الصباحي'!Q25</f>
        <v>14</v>
      </c>
      <c r="G23" s="10">
        <f>'التمام الصباحي'!T25</f>
        <v>5.333333333333333</v>
      </c>
      <c r="H23" s="5">
        <f>'التمام الصباحي'!W25</f>
        <v>36</v>
      </c>
      <c r="I23" s="10">
        <f>'التمام الصباحي'!Z25</f>
        <v>3.3488372093023258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34</v>
      </c>
      <c r="P23" s="81"/>
      <c r="Q23" s="86" t="s">
        <v>30</v>
      </c>
      <c r="R23" s="87">
        <f t="shared" si="0"/>
        <v>1</v>
      </c>
      <c r="S23" s="546">
        <f>IF((ROUNDDOWN((SUM(M23:M24)/51)-(R23+R24),0.9))&lt;0,0,(ROUNDDOWN((SUM(M23:M24)/51)-(R23+R24),0.9)))</f>
        <v>0</v>
      </c>
      <c r="T23" s="546">
        <f>IF((ROUNDDOWN((SUM(O23:O24)/51)-(R23+R24),0.9))&lt;0,0,(ROUNDDOWN((SUM(O23:O24)/51)-(R23+R24),0.9)))</f>
        <v>0</v>
      </c>
      <c r="U23" s="546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10</v>
      </c>
      <c r="E24" s="10">
        <f>'التمام الصباحي'!N26</f>
        <v>4.7058823529411766</v>
      </c>
      <c r="F24" s="72">
        <f>'التمام الصباحي'!Q26</f>
        <v>10</v>
      </c>
      <c r="G24" s="10">
        <f>'التمام الصباحي'!T26</f>
        <v>5</v>
      </c>
      <c r="H24" s="5">
        <f>'التمام الصباحي'!W26</f>
        <v>51</v>
      </c>
      <c r="I24" s="10">
        <f>'التمام الصباحي'!Z26</f>
        <v>3.2250000000000001</v>
      </c>
      <c r="K24" s="88" t="s">
        <v>31</v>
      </c>
      <c r="L24" s="80"/>
      <c r="M24" s="41">
        <f t="shared" si="1"/>
        <v>0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7"/>
      <c r="T24" s="547"/>
      <c r="U24" s="547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20</v>
      </c>
      <c r="E25" s="10">
        <f>'التمام الصباحي'!N27</f>
        <v>5.833333333333333</v>
      </c>
      <c r="F25" s="72">
        <f>'التمام الصباحي'!Q27</f>
        <v>3</v>
      </c>
      <c r="G25" s="10">
        <f>'التمام الصباحي'!T27</f>
        <v>13.5</v>
      </c>
      <c r="H25" s="5">
        <f>'التمام الصباحي'!W27</f>
        <v>30</v>
      </c>
      <c r="I25" s="10">
        <f>'التمام الصباحي'!Z27</f>
        <v>6.8181818181818183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8">
        <f>IF((ROUNDDOWN((SUM(M25:M26)/51)-(R25+R26),0.9))&lt;0,0,(ROUNDDOWN((SUM(M25:M26)/51)-(R25+R26),0.9)))</f>
        <v>0</v>
      </c>
      <c r="T25" s="548">
        <f>IF((ROUNDDOWN((SUM(O25:O26)/51)-(R25+R26),0.9))&lt;0,0,(ROUNDDOWN((SUM(O25:O26)/51)-(R25+R26),0.9)))</f>
        <v>0</v>
      </c>
      <c r="U25" s="548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5</v>
      </c>
      <c r="E26" s="10">
        <f>'التمام الصباحي'!N28</f>
        <v>9.4444444444444446</v>
      </c>
      <c r="F26" s="72">
        <f>'التمام الصباحي'!Q28</f>
        <v>14</v>
      </c>
      <c r="G26" s="10">
        <f>'التمام الصباحي'!T28</f>
        <v>8</v>
      </c>
      <c r="H26" s="5">
        <f>'التمام الصباحي'!W28</f>
        <v>21</v>
      </c>
      <c r="I26" s="10">
        <f>'التمام الصباحي'!Z28</f>
        <v>8.3684210526315788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51"/>
      <c r="T26" s="551"/>
      <c r="U26" s="551"/>
    </row>
    <row r="29" spans="1:21" ht="15.75" x14ac:dyDescent="0.2">
      <c r="K29" s="159" t="s">
        <v>117</v>
      </c>
      <c r="M29">
        <f>SUM(L8:O26)</f>
        <v>459</v>
      </c>
      <c r="U29" s="138">
        <f>SUM(R8:U26)</f>
        <v>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3" t="s">
        <v>123</v>
      </c>
      <c r="C3" s="553"/>
      <c r="D3" s="553"/>
      <c r="F3" s="553" t="s">
        <v>124</v>
      </c>
      <c r="G3" s="553"/>
      <c r="H3" s="553"/>
      <c r="J3" s="452" t="s">
        <v>125</v>
      </c>
      <c r="K3" s="452"/>
      <c r="M3" s="452" t="s">
        <v>127</v>
      </c>
      <c r="N3" s="452"/>
      <c r="P3" s="452" t="s">
        <v>126</v>
      </c>
      <c r="Q3" s="452"/>
    </row>
    <row r="4" spans="2:20" ht="15.75" thickBot="1" x14ac:dyDescent="0.25">
      <c r="B4" s="501" t="s">
        <v>3</v>
      </c>
      <c r="C4" s="414" t="s">
        <v>84</v>
      </c>
      <c r="D4" s="414" t="s">
        <v>88</v>
      </c>
      <c r="F4" s="501" t="s">
        <v>3</v>
      </c>
      <c r="G4" s="414" t="s">
        <v>84</v>
      </c>
      <c r="H4" s="414" t="s">
        <v>88</v>
      </c>
      <c r="J4" s="501" t="s">
        <v>3</v>
      </c>
      <c r="K4" s="414" t="s">
        <v>85</v>
      </c>
      <c r="L4" s="552"/>
      <c r="M4" s="501" t="s">
        <v>3</v>
      </c>
      <c r="N4" s="414" t="s">
        <v>109</v>
      </c>
      <c r="P4" s="501" t="s">
        <v>3</v>
      </c>
      <c r="Q4" s="414" t="s">
        <v>90</v>
      </c>
    </row>
    <row r="5" spans="2:20" ht="15.75" thickBot="1" x14ac:dyDescent="0.25">
      <c r="B5" s="503"/>
      <c r="C5" s="414"/>
      <c r="D5" s="414"/>
      <c r="F5" s="503"/>
      <c r="G5" s="414"/>
      <c r="H5" s="414"/>
      <c r="J5" s="503"/>
      <c r="K5" s="414"/>
      <c r="L5" s="552"/>
      <c r="M5" s="503"/>
      <c r="N5" s="414"/>
      <c r="P5" s="503"/>
      <c r="Q5" s="414"/>
    </row>
    <row r="6" spans="2:20" ht="16.5" thickBot="1" x14ac:dyDescent="0.25">
      <c r="B6" s="165" t="s">
        <v>120</v>
      </c>
      <c r="C6" s="543">
        <f>IF(G20&gt;H20,$C$21*2*$K$21,IF(G20=H20,$C$21*2*$K$21,0))</f>
        <v>0</v>
      </c>
      <c r="D6" s="543">
        <f>IF(G20&gt;H20,$D$21*2*$L$21,IF(G20=H20,$D$21*2*$L$21,0))</f>
        <v>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0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0</v>
      </c>
      <c r="D9" s="543">
        <f>IF(G20&gt;H20,$D$24*2*$L$18,IF(G20=H20,$D$24*2*$L$18,0))</f>
        <v>70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304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64</v>
      </c>
      <c r="D11" s="543">
        <f>IF(G20&gt;H20,$D$26*2*$L$19,IF(G20=H20,$D$26*2*$L$19,0))</f>
        <v>0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66" t="s">
        <v>154</v>
      </c>
      <c r="K12" s="182">
        <f>K6+K7+K9</f>
        <v>0</v>
      </c>
      <c r="M12" s="566" t="s">
        <v>154</v>
      </c>
      <c r="N12" s="182">
        <f>SUM(N6:N10)</f>
        <v>304</v>
      </c>
      <c r="P12" s="566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78</v>
      </c>
      <c r="D13" s="543">
        <f>IF(G20&gt;H20,$D$28*2*$L$20,IF(G20=H20,$D$28*2*$L$20,0))</f>
        <v>110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66"/>
      <c r="K13" s="182"/>
      <c r="M13" s="566"/>
      <c r="N13" s="182"/>
      <c r="P13" s="566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322</v>
      </c>
      <c r="H16" s="166">
        <f>SUM(G6:H14)</f>
        <v>0</v>
      </c>
      <c r="J16" s="560" t="s">
        <v>130</v>
      </c>
      <c r="K16" s="558" t="s">
        <v>131</v>
      </c>
      <c r="L16" s="558"/>
      <c r="M16" s="558"/>
      <c r="N16" s="558" t="s">
        <v>85</v>
      </c>
      <c r="O16" s="558" t="s">
        <v>132</v>
      </c>
      <c r="P16" s="558" t="s">
        <v>86</v>
      </c>
      <c r="Q16" s="558" t="s">
        <v>119</v>
      </c>
      <c r="R16" s="564" t="s">
        <v>133</v>
      </c>
      <c r="S16" s="564" t="s">
        <v>134</v>
      </c>
      <c r="T16" s="564" t="s">
        <v>135</v>
      </c>
    </row>
    <row r="17" spans="2:20" ht="18" x14ac:dyDescent="0.2">
      <c r="B17" s="181"/>
      <c r="J17" s="561"/>
      <c r="K17" s="169" t="s">
        <v>136</v>
      </c>
      <c r="L17" s="169" t="s">
        <v>137</v>
      </c>
      <c r="M17" s="169" t="s">
        <v>138</v>
      </c>
      <c r="N17" s="559"/>
      <c r="O17" s="559"/>
      <c r="P17" s="559"/>
      <c r="Q17" s="559"/>
      <c r="R17" s="565"/>
      <c r="S17" s="565"/>
      <c r="T17" s="565"/>
    </row>
    <row r="18" spans="2:20" ht="16.5" thickBot="1" x14ac:dyDescent="0.25">
      <c r="B18" s="553" t="s">
        <v>129</v>
      </c>
      <c r="C18" s="553"/>
      <c r="D18" s="553"/>
      <c r="F18" s="553"/>
      <c r="G18" s="553"/>
      <c r="H18" s="553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4" t="s">
        <v>84</v>
      </c>
      <c r="D19" s="504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4"/>
      <c r="D20" s="504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0</v>
      </c>
      <c r="D21" s="543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0</v>
      </c>
      <c r="D24" s="543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1</v>
      </c>
      <c r="D26" s="543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1</v>
      </c>
      <c r="D28" s="543">
        <f>ROUNDDOWN(SUM(المستودعات!G13:I14)/51,0.9)</f>
        <v>1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13" t="s">
        <v>85</v>
      </c>
      <c r="C30" s="514"/>
      <c r="D30" s="515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2">
        <f>ROUNDDOWN(SUM(المستودعات!O5:Q5)/51,0.9)</f>
        <v>0</v>
      </c>
      <c r="D31" s="563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4">
        <f>ROUNDDOWN(SUM(المستودعات!O6:Q7)/51,0.9)</f>
        <v>0</v>
      </c>
      <c r="D32" s="555"/>
    </row>
    <row r="33" spans="2:4" ht="16.5" thickBot="1" x14ac:dyDescent="0.25">
      <c r="B33" s="165" t="s">
        <v>24</v>
      </c>
      <c r="C33" s="556"/>
      <c r="D33" s="557"/>
    </row>
    <row r="34" spans="2:4" ht="16.5" thickBot="1" x14ac:dyDescent="0.25">
      <c r="B34" s="165" t="s">
        <v>26</v>
      </c>
      <c r="C34" s="562">
        <f>ROUNDDOWN(SUM(المستودعات!O8:Q8)/51,0.9)</f>
        <v>0</v>
      </c>
      <c r="D34" s="563"/>
    </row>
    <row r="35" spans="2:4" ht="22.5" customHeight="1" thickBot="1" x14ac:dyDescent="0.25">
      <c r="B35" s="513" t="s">
        <v>128</v>
      </c>
      <c r="C35" s="514"/>
      <c r="D35" s="515"/>
    </row>
    <row r="36" spans="2:4" ht="16.5" thickBot="1" x14ac:dyDescent="0.25">
      <c r="B36" s="165" t="s">
        <v>25</v>
      </c>
      <c r="C36" s="554">
        <f>ROUNDDOWN(SUM(المستودعات!J23:K24)/51,0.9)</f>
        <v>0</v>
      </c>
      <c r="D36" s="555"/>
    </row>
    <row r="37" spans="2:4" ht="16.5" thickBot="1" x14ac:dyDescent="0.25">
      <c r="B37" s="165" t="s">
        <v>27</v>
      </c>
      <c r="C37" s="556"/>
      <c r="D37" s="557"/>
    </row>
    <row r="38" spans="2:4" ht="16.5" thickBot="1" x14ac:dyDescent="0.25">
      <c r="B38" s="96" t="s">
        <v>112</v>
      </c>
      <c r="C38" s="562"/>
      <c r="D38" s="563"/>
    </row>
    <row r="39" spans="2:4" ht="16.5" thickBot="1" x14ac:dyDescent="0.25">
      <c r="B39" s="165" t="s">
        <v>28</v>
      </c>
      <c r="C39" s="554">
        <f>ROUNDDOWN(SUM(المستودعات!C28:I29)/51,0.9)</f>
        <v>1</v>
      </c>
      <c r="D39" s="555"/>
    </row>
    <row r="40" spans="2:4" ht="16.5" thickBot="1" x14ac:dyDescent="0.25">
      <c r="B40" s="165" t="s">
        <v>29</v>
      </c>
      <c r="C40" s="556"/>
      <c r="D40" s="557"/>
    </row>
    <row r="41" spans="2:4" ht="21.75" customHeight="1" thickBot="1" x14ac:dyDescent="0.25">
      <c r="B41" s="513" t="s">
        <v>90</v>
      </c>
      <c r="C41" s="514"/>
      <c r="D41" s="515"/>
    </row>
    <row r="42" spans="2:4" ht="16.5" thickBot="1" x14ac:dyDescent="0.25">
      <c r="B42" s="165" t="s">
        <v>30</v>
      </c>
      <c r="C42" s="554">
        <f>ROUNDDOWN(SUM(المستودعات!Q15:Q16)/51,0.9)</f>
        <v>0</v>
      </c>
      <c r="D42" s="555"/>
    </row>
    <row r="43" spans="2:4" ht="16.5" thickBot="1" x14ac:dyDescent="0.25">
      <c r="B43" s="165" t="s">
        <v>31</v>
      </c>
      <c r="C43" s="556"/>
      <c r="D43" s="557"/>
    </row>
    <row r="44" spans="2:4" ht="16.5" thickBot="1" x14ac:dyDescent="0.25">
      <c r="B44" s="165" t="s">
        <v>32</v>
      </c>
      <c r="C44" s="554">
        <f>ROUNDDOWN(SUM(المستودعات!Q17:Q18)/51,0.9)</f>
        <v>0</v>
      </c>
      <c r="D44" s="555"/>
    </row>
    <row r="45" spans="2:4" ht="16.5" thickBot="1" x14ac:dyDescent="0.25">
      <c r="B45" s="165" t="s">
        <v>33</v>
      </c>
      <c r="C45" s="556"/>
      <c r="D45" s="557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7" t="s">
        <v>103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15" t="s">
        <v>104</v>
      </c>
      <c r="C4" s="415"/>
      <c r="D4" s="456"/>
      <c r="E4" s="568" t="s">
        <v>84</v>
      </c>
      <c r="F4" s="569"/>
      <c r="G4" s="569"/>
      <c r="H4" s="424"/>
    </row>
    <row r="5" spans="1:15" ht="15.75" thickBot="1" x14ac:dyDescent="0.25">
      <c r="A5" s="455"/>
      <c r="B5" s="423" t="s">
        <v>81</v>
      </c>
      <c r="C5" s="569"/>
      <c r="D5" s="570"/>
      <c r="E5" s="112" t="s">
        <v>81</v>
      </c>
      <c r="F5" s="423" t="s">
        <v>87</v>
      </c>
      <c r="G5" s="569"/>
      <c r="H5" s="424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5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17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0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17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0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0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253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448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1634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7" t="s">
        <v>105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23" t="s">
        <v>85</v>
      </c>
      <c r="C4" s="569"/>
      <c r="D4" s="569"/>
      <c r="E4" s="569"/>
      <c r="F4" s="569"/>
      <c r="G4" s="569"/>
      <c r="H4" s="424"/>
      <c r="I4" s="278" t="s">
        <v>119</v>
      </c>
    </row>
    <row r="5" spans="1:15" ht="15.75" thickBot="1" x14ac:dyDescent="0.25">
      <c r="A5" s="455"/>
      <c r="B5" s="120" t="s">
        <v>81</v>
      </c>
      <c r="C5" s="576" t="s">
        <v>87</v>
      </c>
      <c r="D5" s="540"/>
      <c r="E5" s="577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4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5"/>
      <c r="C16" s="52" t="s">
        <v>93</v>
      </c>
      <c r="D16" s="53">
        <f>[1]التعاون.ملخص!$D$6</f>
        <v>0</v>
      </c>
    </row>
    <row r="17" spans="2:4" ht="16.5" thickBot="1" x14ac:dyDescent="0.25">
      <c r="B17" s="575"/>
      <c r="C17" s="59" t="s">
        <v>87</v>
      </c>
      <c r="D17" s="60" t="e">
        <f>[1]موبيل.ملخص!$D$5</f>
        <v>#REF!</v>
      </c>
    </row>
    <row r="18" spans="2:4" ht="16.5" thickBot="1" x14ac:dyDescent="0.25">
      <c r="B18" s="572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71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72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71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73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7" t="s">
        <v>106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23" t="s">
        <v>91</v>
      </c>
      <c r="C4" s="569"/>
      <c r="D4" s="569"/>
      <c r="E4" s="569"/>
      <c r="F4" s="569"/>
      <c r="G4" s="569"/>
      <c r="H4" s="569"/>
      <c r="I4" s="424"/>
    </row>
    <row r="5" spans="1:15" ht="15.75" thickBot="1" x14ac:dyDescent="0.25">
      <c r="A5" s="455"/>
      <c r="B5" s="542" t="s">
        <v>81</v>
      </c>
      <c r="C5" s="542"/>
      <c r="D5" s="562"/>
      <c r="E5" s="581" t="s">
        <v>83</v>
      </c>
      <c r="F5" s="582"/>
      <c r="G5" s="563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8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9"/>
      <c r="C15" s="52" t="s">
        <v>93</v>
      </c>
      <c r="D15" s="57">
        <f>[1]التعاون.ملخص!$D$7</f>
        <v>81</v>
      </c>
    </row>
    <row r="16" spans="1:15" ht="16.5" thickBot="1" x14ac:dyDescent="0.3">
      <c r="B16" s="580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8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9"/>
      <c r="C20" s="70" t="s">
        <v>93</v>
      </c>
      <c r="D20" s="71">
        <f>[1]التعاون.ملخص!$D$9</f>
        <v>79</v>
      </c>
    </row>
    <row r="21" spans="2:4" ht="16.5" thickBot="1" x14ac:dyDescent="0.3">
      <c r="B21" s="580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7" t="s">
        <v>0</v>
      </c>
      <c r="B1" s="407"/>
      <c r="C1" s="407"/>
      <c r="D1" s="407"/>
      <c r="E1" s="407"/>
      <c r="Q1" s="405"/>
      <c r="R1" s="405"/>
    </row>
    <row r="2" spans="1:18" ht="15.75" x14ac:dyDescent="0.25">
      <c r="A2" s="407" t="s">
        <v>1</v>
      </c>
      <c r="B2" s="407"/>
      <c r="C2" s="407"/>
      <c r="D2" s="407"/>
      <c r="E2" s="407"/>
    </row>
    <row r="3" spans="1:18" ht="15.75" x14ac:dyDescent="0.25">
      <c r="A3" s="407" t="s">
        <v>2</v>
      </c>
      <c r="B3" s="407"/>
      <c r="C3" s="407"/>
      <c r="D3" s="407"/>
      <c r="E3" s="407"/>
    </row>
    <row r="4" spans="1:18" ht="48.75" customHeight="1" thickBot="1" x14ac:dyDescent="0.3">
      <c r="F4" s="416" t="s">
        <v>195</v>
      </c>
      <c r="G4" s="416"/>
      <c r="H4" s="416"/>
      <c r="I4" s="416"/>
      <c r="J4" s="416"/>
      <c r="K4" s="416"/>
      <c r="L4" s="416"/>
      <c r="M4" s="416"/>
      <c r="P4" s="416" t="s">
        <v>51</v>
      </c>
      <c r="Q4" s="416"/>
      <c r="R4" s="30"/>
    </row>
    <row r="5" spans="1:18" ht="20.100000000000001" customHeight="1" thickBot="1" x14ac:dyDescent="0.25">
      <c r="A5" s="414" t="s">
        <v>14</v>
      </c>
      <c r="B5" s="414" t="s">
        <v>3</v>
      </c>
      <c r="C5" s="415" t="s">
        <v>5</v>
      </c>
      <c r="D5" s="415"/>
      <c r="E5" s="415"/>
      <c r="F5" s="415" t="s">
        <v>11</v>
      </c>
      <c r="G5" s="415"/>
      <c r="H5" s="415"/>
      <c r="I5" s="415" t="s">
        <v>12</v>
      </c>
      <c r="J5" s="415"/>
      <c r="K5" s="415"/>
      <c r="L5" s="415" t="s">
        <v>50</v>
      </c>
      <c r="M5" s="415"/>
      <c r="N5" s="415"/>
      <c r="O5" s="423" t="s">
        <v>45</v>
      </c>
      <c r="P5" s="424"/>
      <c r="Q5" s="411" t="s">
        <v>49</v>
      </c>
    </row>
    <row r="6" spans="1:18" ht="20.100000000000001" customHeight="1" thickBot="1" x14ac:dyDescent="0.25">
      <c r="A6" s="414"/>
      <c r="B6" s="414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2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13832</v>
      </c>
      <c r="G7" s="2">
        <f>F7*6.75</f>
        <v>93366</v>
      </c>
      <c r="H7" s="2">
        <f>F7*0.33</f>
        <v>4564.5600000000004</v>
      </c>
      <c r="I7" s="2">
        <f>'أخذ التمام الصباحي'!K5</f>
        <v>6574</v>
      </c>
      <c r="J7" s="2">
        <f>I7*7.75</f>
        <v>50948.5</v>
      </c>
      <c r="K7" s="2">
        <f>I7*0.45</f>
        <v>2958.3</v>
      </c>
      <c r="L7" s="6"/>
      <c r="M7" s="6"/>
      <c r="N7" s="6"/>
      <c r="O7" s="7">
        <f>SUM(D7,G7,J7,M7)/100</f>
        <v>1443.145</v>
      </c>
      <c r="P7" s="10">
        <f>'أخذ التمام الصباحي'!Q5</f>
        <v>1270</v>
      </c>
      <c r="Q7" s="7">
        <f t="shared" ref="Q7:Q27" si="0">P7-O7</f>
        <v>-173.14499999999998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20465</v>
      </c>
      <c r="G8" s="287">
        <f>F8*6.75</f>
        <v>138138.75</v>
      </c>
      <c r="H8" s="287">
        <f>F8*0.33</f>
        <v>6753.4500000000007</v>
      </c>
      <c r="I8" s="287">
        <f>'أخذ التمام الصباحي'!K6</f>
        <v>7349</v>
      </c>
      <c r="J8" s="287">
        <f>I8*7.75</f>
        <v>56954.75</v>
      </c>
      <c r="K8" s="287">
        <f>I8*0.45</f>
        <v>3307.05</v>
      </c>
      <c r="L8" s="6"/>
      <c r="M8" s="6"/>
      <c r="N8" s="6"/>
      <c r="O8" s="7">
        <f>SUM(D8,G8,J8,M8)/100</f>
        <v>1950.9349999999999</v>
      </c>
      <c r="P8" s="10">
        <f>'أخذ التمام الصباحي'!Q6</f>
        <v>1620</v>
      </c>
      <c r="Q8" s="7">
        <f t="shared" si="0"/>
        <v>-330.93499999999995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29391</v>
      </c>
      <c r="D9" s="5">
        <f t="shared" ref="D9" si="1">C9*5.5</f>
        <v>161650.5</v>
      </c>
      <c r="E9" s="5">
        <f>C9*0.25</f>
        <v>7347.75</v>
      </c>
      <c r="F9" s="292">
        <f>'أخذ التمام الصباحي'!H7</f>
        <v>16208</v>
      </c>
      <c r="G9" s="292">
        <f t="shared" ref="G9:G27" si="2">F9*6.75</f>
        <v>109404</v>
      </c>
      <c r="H9" s="292">
        <f t="shared" ref="H9:H27" si="3">F9*0.33</f>
        <v>5348.64</v>
      </c>
      <c r="I9" s="292">
        <f>'أخذ التمام الصباحي'!K7</f>
        <v>3029</v>
      </c>
      <c r="J9" s="292">
        <f t="shared" ref="J9:J27" si="4">I9*7.75</f>
        <v>23474.75</v>
      </c>
      <c r="K9" s="292">
        <f t="shared" ref="K9:K27" si="5">I9*0.45</f>
        <v>1363.05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2945.2925</v>
      </c>
      <c r="P9" s="10">
        <f>'أخذ التمام الصباحي'!Q7</f>
        <v>2522</v>
      </c>
      <c r="Q9" s="7">
        <f t="shared" si="0"/>
        <v>-423.29250000000002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2950</v>
      </c>
      <c r="D10" s="5">
        <f t="shared" ref="D10:D22" si="7">C10*5.5</f>
        <v>16225</v>
      </c>
      <c r="E10" s="5">
        <f>C10*0.25</f>
        <v>737.5</v>
      </c>
      <c r="F10" s="292">
        <f>'أخذ التمام الصباحي'!H8</f>
        <v>14463</v>
      </c>
      <c r="G10" s="292">
        <f t="shared" si="2"/>
        <v>97625.25</v>
      </c>
      <c r="H10" s="292">
        <f t="shared" si="3"/>
        <v>4772.79</v>
      </c>
      <c r="I10" s="292">
        <f>'أخذ التمام الصباحي'!K8</f>
        <v>6536</v>
      </c>
      <c r="J10" s="292">
        <f t="shared" si="4"/>
        <v>50654</v>
      </c>
      <c r="K10" s="292">
        <f t="shared" si="5"/>
        <v>2941.2000000000003</v>
      </c>
      <c r="L10" s="2">
        <f>'أخذ التمام الصباحي'!N8</f>
        <v>3276</v>
      </c>
      <c r="M10" s="2">
        <f t="shared" ref="M10:M27" si="8">L10*5.5</f>
        <v>18018</v>
      </c>
      <c r="N10" s="2">
        <f>L10*0.26</f>
        <v>851.76</v>
      </c>
      <c r="O10" s="7">
        <f t="shared" ref="O10:O27" si="9">SUM(D10,G10,J10,M10)/100</f>
        <v>1825.2225000000001</v>
      </c>
      <c r="P10" s="10">
        <f>'أخذ التمام الصباحي'!Q8</f>
        <v>2354</v>
      </c>
      <c r="Q10" s="7">
        <f t="shared" si="0"/>
        <v>528.77749999999992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26080</v>
      </c>
      <c r="G11" s="292">
        <f t="shared" si="2"/>
        <v>176040</v>
      </c>
      <c r="H11" s="292">
        <f t="shared" si="3"/>
        <v>8606.4</v>
      </c>
      <c r="I11" s="292">
        <f>'أخذ التمام الصباحي'!K9</f>
        <v>8497</v>
      </c>
      <c r="J11" s="292">
        <f t="shared" si="4"/>
        <v>65851.75</v>
      </c>
      <c r="K11" s="292">
        <f t="shared" si="5"/>
        <v>3823.65</v>
      </c>
      <c r="L11" s="6"/>
      <c r="M11" s="6"/>
      <c r="N11" s="6"/>
      <c r="O11" s="7">
        <f t="shared" si="9"/>
        <v>2418.9175</v>
      </c>
      <c r="P11" s="10">
        <f>'أخذ التمام الصباحي'!Q9</f>
        <v>2360</v>
      </c>
      <c r="Q11" s="7">
        <f t="shared" si="0"/>
        <v>-58.917500000000018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1051</v>
      </c>
      <c r="D12" s="5">
        <f t="shared" si="7"/>
        <v>5780.5</v>
      </c>
      <c r="E12" s="5">
        <f t="shared" si="10"/>
        <v>262.75</v>
      </c>
      <c r="F12" s="292">
        <f>'أخذ التمام الصباحي'!H10</f>
        <v>16030</v>
      </c>
      <c r="G12" s="292">
        <f t="shared" si="2"/>
        <v>108202.5</v>
      </c>
      <c r="H12" s="292">
        <f t="shared" si="3"/>
        <v>5289.9000000000005</v>
      </c>
      <c r="I12" s="6"/>
      <c r="J12" s="6"/>
      <c r="K12" s="6"/>
      <c r="L12" s="20">
        <f>'أخذ التمام الصباحي'!N10</f>
        <v>3030</v>
      </c>
      <c r="M12" s="2">
        <f t="shared" si="8"/>
        <v>16665</v>
      </c>
      <c r="N12" s="2">
        <f>L12*0.26</f>
        <v>787.80000000000007</v>
      </c>
      <c r="O12" s="7">
        <f t="shared" si="9"/>
        <v>1306.48</v>
      </c>
      <c r="P12" s="10">
        <f>'أخذ التمام الصباحي'!Q10</f>
        <v>1590</v>
      </c>
      <c r="Q12" s="7">
        <f t="shared" si="0"/>
        <v>283.52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4928</v>
      </c>
      <c r="D13" s="5">
        <f t="shared" si="7"/>
        <v>27104</v>
      </c>
      <c r="E13" s="5">
        <f t="shared" si="10"/>
        <v>1232</v>
      </c>
      <c r="F13" s="292">
        <f>'أخذ التمام الصباحي'!H11</f>
        <v>14658</v>
      </c>
      <c r="G13" s="292">
        <f t="shared" si="2"/>
        <v>98941.5</v>
      </c>
      <c r="H13" s="292">
        <f t="shared" si="3"/>
        <v>4837.1400000000003</v>
      </c>
      <c r="I13" s="6"/>
      <c r="J13" s="6"/>
      <c r="K13" s="6"/>
      <c r="L13" s="20">
        <f>'أخذ التمام الصباحي'!N11</f>
        <v>12448</v>
      </c>
      <c r="M13" s="2">
        <f t="shared" si="8"/>
        <v>68464</v>
      </c>
      <c r="N13" s="2">
        <f>L13*0.26</f>
        <v>3236.48</v>
      </c>
      <c r="O13" s="7">
        <f t="shared" si="9"/>
        <v>1945.095</v>
      </c>
      <c r="P13" s="10">
        <f>'أخذ التمام الصباحي'!Q11</f>
        <v>2200</v>
      </c>
      <c r="Q13" s="7">
        <f t="shared" si="0"/>
        <v>254.90499999999997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22957</v>
      </c>
      <c r="G14" s="292">
        <f t="shared" si="2"/>
        <v>154959.75</v>
      </c>
      <c r="H14" s="292">
        <f t="shared" si="3"/>
        <v>7575.81</v>
      </c>
      <c r="I14" s="292">
        <f>'أخذ التمام الصباحي'!K12</f>
        <v>6220</v>
      </c>
      <c r="J14" s="292">
        <f t="shared" si="4"/>
        <v>48205</v>
      </c>
      <c r="K14" s="292">
        <f t="shared" si="5"/>
        <v>2799</v>
      </c>
      <c r="L14" s="6"/>
      <c r="M14" s="6"/>
      <c r="N14" s="6"/>
      <c r="O14" s="7">
        <f t="shared" si="9"/>
        <v>2031.6475</v>
      </c>
      <c r="P14" s="10">
        <f>'أخذ التمام الصباحي'!Q12</f>
        <v>1840</v>
      </c>
      <c r="Q14" s="7">
        <f t="shared" si="0"/>
        <v>-191.64750000000004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18022</v>
      </c>
      <c r="G15" s="292">
        <f t="shared" si="2"/>
        <v>121648.5</v>
      </c>
      <c r="H15" s="292">
        <f t="shared" si="3"/>
        <v>5947.26</v>
      </c>
      <c r="I15" s="292">
        <f>'أخذ التمام الصباحي'!K13</f>
        <v>6714</v>
      </c>
      <c r="J15" s="292">
        <f t="shared" si="4"/>
        <v>52033.5</v>
      </c>
      <c r="K15" s="292">
        <f t="shared" si="5"/>
        <v>3021.3</v>
      </c>
      <c r="L15" s="20">
        <f>'أخذ التمام الصباحي'!N13</f>
        <v>13946</v>
      </c>
      <c r="M15" s="2">
        <f t="shared" si="8"/>
        <v>76703</v>
      </c>
      <c r="N15" s="2">
        <f>L15*0.26</f>
        <v>3625.96</v>
      </c>
      <c r="O15" s="7">
        <f t="shared" si="9"/>
        <v>2503.85</v>
      </c>
      <c r="P15" s="10">
        <f>'أخذ التمام الصباحي'!Q13</f>
        <v>0</v>
      </c>
      <c r="Q15" s="7">
        <f t="shared" si="0"/>
        <v>-2503.85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5010</v>
      </c>
      <c r="G16" s="292">
        <f t="shared" si="2"/>
        <v>33817.5</v>
      </c>
      <c r="H16" s="292">
        <f t="shared" si="3"/>
        <v>1653.3000000000002</v>
      </c>
      <c r="I16" s="292">
        <f>'أخذ التمام الصباحي'!K14</f>
        <v>2744</v>
      </c>
      <c r="J16" s="292">
        <f t="shared" si="4"/>
        <v>21266</v>
      </c>
      <c r="K16" s="292">
        <f t="shared" si="5"/>
        <v>1234.8</v>
      </c>
      <c r="L16" s="20">
        <f>'أخذ التمام الصباحي'!N14</f>
        <v>65828</v>
      </c>
      <c r="M16" s="2">
        <f t="shared" si="8"/>
        <v>362054</v>
      </c>
      <c r="N16" s="139">
        <f>L16*0.26</f>
        <v>17115.28</v>
      </c>
      <c r="O16" s="7">
        <f t="shared" si="9"/>
        <v>4171.375</v>
      </c>
      <c r="P16" s="10">
        <f>'أخذ التمام الصباحي'!Q14</f>
        <v>7040</v>
      </c>
      <c r="Q16" s="7">
        <f t="shared" si="0"/>
        <v>2868.625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8566</v>
      </c>
      <c r="G17" s="292">
        <f t="shared" si="2"/>
        <v>57820.5</v>
      </c>
      <c r="H17" s="292">
        <f t="shared" si="3"/>
        <v>2826.78</v>
      </c>
      <c r="I17" s="292">
        <f>'أخذ التمام الصباحي'!K15</f>
        <v>3497</v>
      </c>
      <c r="J17" s="292">
        <f t="shared" si="4"/>
        <v>27101.75</v>
      </c>
      <c r="K17" s="292">
        <f t="shared" si="5"/>
        <v>1573.65</v>
      </c>
      <c r="L17" s="20">
        <f>'أخذ التمام الصباحي'!N15</f>
        <v>1316</v>
      </c>
      <c r="M17" s="2">
        <f t="shared" si="8"/>
        <v>7238</v>
      </c>
      <c r="N17" s="139">
        <f>L17*0.26</f>
        <v>342.16</v>
      </c>
      <c r="O17" s="7">
        <f t="shared" si="9"/>
        <v>921.60249999999996</v>
      </c>
      <c r="P17" s="10">
        <f>'أخذ التمام الصباحي'!Q15</f>
        <v>1150</v>
      </c>
      <c r="Q17" s="7">
        <f t="shared" si="0"/>
        <v>228.39750000000004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2146</v>
      </c>
      <c r="G18" s="292">
        <f t="shared" si="2"/>
        <v>14485.5</v>
      </c>
      <c r="H18" s="292">
        <f t="shared" si="3"/>
        <v>708.18000000000006</v>
      </c>
      <c r="I18" s="292">
        <f>'أخذ التمام الصباحي'!K16</f>
        <v>767</v>
      </c>
      <c r="J18" s="292">
        <f t="shared" si="4"/>
        <v>5944.25</v>
      </c>
      <c r="K18" s="292">
        <f t="shared" si="5"/>
        <v>345.15000000000003</v>
      </c>
      <c r="L18" s="6"/>
      <c r="M18" s="6"/>
      <c r="N18" s="6"/>
      <c r="O18" s="7">
        <f t="shared" si="9"/>
        <v>204.29750000000001</v>
      </c>
      <c r="P18" s="10">
        <f>'أخذ التمام الصباحي'!Q16</f>
        <v>329</v>
      </c>
      <c r="Q18" s="7">
        <f t="shared" si="0"/>
        <v>124.70249999999999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2413</v>
      </c>
      <c r="G19" s="292">
        <f t="shared" si="2"/>
        <v>16287.75</v>
      </c>
      <c r="H19" s="292">
        <f t="shared" si="3"/>
        <v>796.29000000000008</v>
      </c>
      <c r="I19" s="292">
        <f>'أخذ التمام الصباحي'!K17</f>
        <v>479</v>
      </c>
      <c r="J19" s="292">
        <f t="shared" si="4"/>
        <v>3712.25</v>
      </c>
      <c r="K19" s="292">
        <f t="shared" si="5"/>
        <v>215.55</v>
      </c>
      <c r="L19" s="20">
        <f>'أخذ التمام الصباحي'!N17</f>
        <v>3978</v>
      </c>
      <c r="M19" s="2">
        <f t="shared" si="8"/>
        <v>21879</v>
      </c>
      <c r="N19" s="2">
        <f>L19*0.26</f>
        <v>1034.28</v>
      </c>
      <c r="O19" s="7">
        <f t="shared" si="9"/>
        <v>418.79</v>
      </c>
      <c r="P19" s="10">
        <f>'أخذ التمام الصباحي'!Q17</f>
        <v>750</v>
      </c>
      <c r="Q19" s="7">
        <f t="shared" si="0"/>
        <v>331.21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6590</v>
      </c>
      <c r="G20" s="292">
        <f t="shared" si="2"/>
        <v>44482.5</v>
      </c>
      <c r="H20" s="292">
        <f t="shared" si="3"/>
        <v>2174.7000000000003</v>
      </c>
      <c r="I20" s="292">
        <f>'أخذ التمام الصباحي'!K18</f>
        <v>1884</v>
      </c>
      <c r="J20" s="292">
        <f t="shared" si="4"/>
        <v>14601</v>
      </c>
      <c r="K20" s="292">
        <f t="shared" si="5"/>
        <v>847.80000000000007</v>
      </c>
      <c r="L20" s="20">
        <f>'أخذ التمام الصباحي'!N18</f>
        <v>17452</v>
      </c>
      <c r="M20" s="2">
        <f t="shared" si="8"/>
        <v>95986</v>
      </c>
      <c r="N20" s="139">
        <f>L20*0.26</f>
        <v>4537.5200000000004</v>
      </c>
      <c r="O20" s="7">
        <f t="shared" si="9"/>
        <v>1550.6949999999999</v>
      </c>
      <c r="P20" s="10">
        <f>'أخذ التمام الصباحي'!Q18</f>
        <v>1930</v>
      </c>
      <c r="Q20" s="7">
        <f t="shared" si="0"/>
        <v>379.30500000000006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5172</v>
      </c>
      <c r="G21" s="292">
        <f t="shared" si="2"/>
        <v>34911</v>
      </c>
      <c r="H21" s="292">
        <f t="shared" si="3"/>
        <v>1706.76</v>
      </c>
      <c r="I21" s="292">
        <f>'أخذ التمام الصباحي'!K19</f>
        <v>1113</v>
      </c>
      <c r="J21" s="292">
        <f t="shared" si="4"/>
        <v>8625.75</v>
      </c>
      <c r="K21" s="292">
        <f t="shared" si="5"/>
        <v>500.85</v>
      </c>
      <c r="L21" s="6"/>
      <c r="M21" s="6"/>
      <c r="N21" s="6"/>
      <c r="O21" s="7">
        <f t="shared" si="9"/>
        <v>435.36750000000001</v>
      </c>
      <c r="P21" s="10">
        <f>'أخذ التمام الصباحي'!Q19</f>
        <v>530</v>
      </c>
      <c r="Q21" s="7">
        <f t="shared" si="0"/>
        <v>94.632499999999993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143</v>
      </c>
      <c r="D22" s="5">
        <f t="shared" si="7"/>
        <v>786.5</v>
      </c>
      <c r="E22" s="5">
        <f>C22*0.25</f>
        <v>35.75</v>
      </c>
      <c r="F22" s="292">
        <f>'أخذ التمام الصباحي'!H20</f>
        <v>885</v>
      </c>
      <c r="G22" s="292">
        <f t="shared" si="2"/>
        <v>5973.75</v>
      </c>
      <c r="H22" s="292">
        <f t="shared" si="3"/>
        <v>292.05</v>
      </c>
      <c r="I22" s="6"/>
      <c r="J22" s="6"/>
      <c r="K22" s="6"/>
      <c r="L22" s="20">
        <f>'أخذ التمام الصباحي'!N20</f>
        <v>8329</v>
      </c>
      <c r="M22" s="2">
        <f t="shared" si="8"/>
        <v>45809.5</v>
      </c>
      <c r="N22" s="2">
        <f t="shared" ref="N22:N27" si="11">L22*0.26</f>
        <v>2165.54</v>
      </c>
      <c r="O22" s="7">
        <f t="shared" si="9"/>
        <v>525.69749999999999</v>
      </c>
      <c r="P22" s="10">
        <f>'أخذ التمام الصباحي'!Q20</f>
        <v>790</v>
      </c>
      <c r="Q22" s="7">
        <f t="shared" si="0"/>
        <v>264.30250000000001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1412</v>
      </c>
      <c r="G23" s="292">
        <f t="shared" si="2"/>
        <v>9531</v>
      </c>
      <c r="H23" s="292">
        <f t="shared" si="3"/>
        <v>465.96000000000004</v>
      </c>
      <c r="I23" s="6"/>
      <c r="J23" s="6"/>
      <c r="K23" s="6"/>
      <c r="L23" s="20">
        <f>'أخذ التمام الصباحي'!N21</f>
        <v>2975</v>
      </c>
      <c r="M23" s="2">
        <f t="shared" si="8"/>
        <v>16362.5</v>
      </c>
      <c r="N23" s="183">
        <f t="shared" si="11"/>
        <v>773.5</v>
      </c>
      <c r="O23" s="7">
        <f t="shared" si="9"/>
        <v>258.935</v>
      </c>
      <c r="P23" s="10">
        <f>'أخذ التمام الصباحي'!Q21</f>
        <v>300</v>
      </c>
      <c r="Q23" s="7">
        <f t="shared" si="0"/>
        <v>41.064999999999998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9748</v>
      </c>
      <c r="G24" s="292">
        <f t="shared" si="2"/>
        <v>65799</v>
      </c>
      <c r="H24" s="292">
        <f t="shared" si="3"/>
        <v>3216.84</v>
      </c>
      <c r="I24" s="292">
        <f>'أخذ التمام الصباحي'!K22</f>
        <v>1548</v>
      </c>
      <c r="J24" s="292">
        <f t="shared" si="4"/>
        <v>11997</v>
      </c>
      <c r="K24" s="292">
        <f t="shared" si="5"/>
        <v>696.6</v>
      </c>
      <c r="L24" s="20">
        <f>'أخذ التمام الصباحي'!N22</f>
        <v>33318</v>
      </c>
      <c r="M24" s="2">
        <f t="shared" si="8"/>
        <v>183249</v>
      </c>
      <c r="N24" s="183">
        <f t="shared" si="11"/>
        <v>8662.68</v>
      </c>
      <c r="O24" s="7">
        <f t="shared" si="9"/>
        <v>2610.4499999999998</v>
      </c>
      <c r="P24" s="10">
        <f>'أخذ التمام الصباحي'!Q22</f>
        <v>3600</v>
      </c>
      <c r="Q24" s="7">
        <f t="shared" si="0"/>
        <v>989.55000000000018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9897</v>
      </c>
      <c r="G25" s="292">
        <f t="shared" si="2"/>
        <v>66804.75</v>
      </c>
      <c r="H25" s="292">
        <f t="shared" si="3"/>
        <v>3266.01</v>
      </c>
      <c r="I25" s="292">
        <f>'أخذ التمام الصباحي'!K23</f>
        <v>2125</v>
      </c>
      <c r="J25" s="292">
        <f t="shared" si="4"/>
        <v>16468.75</v>
      </c>
      <c r="K25" s="292">
        <f t="shared" si="5"/>
        <v>956.25</v>
      </c>
      <c r="L25" s="20">
        <f>'أخذ التمام الصباحي'!N23</f>
        <v>37636</v>
      </c>
      <c r="M25" s="2">
        <f t="shared" si="8"/>
        <v>206998</v>
      </c>
      <c r="N25" s="183">
        <f t="shared" si="11"/>
        <v>9785.36</v>
      </c>
      <c r="O25" s="7">
        <f t="shared" si="9"/>
        <v>2902.7150000000001</v>
      </c>
      <c r="P25" s="10">
        <f>'أخذ التمام الصباحي'!Q23</f>
        <v>3875</v>
      </c>
      <c r="Q25" s="7">
        <f t="shared" si="0"/>
        <v>972.28499999999985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7575</v>
      </c>
      <c r="G26" s="292">
        <f t="shared" si="2"/>
        <v>51131.25</v>
      </c>
      <c r="H26" s="292">
        <f t="shared" si="3"/>
        <v>2499.75</v>
      </c>
      <c r="I26" s="292">
        <f>'أخذ التمام الصباحي'!K24</f>
        <v>725</v>
      </c>
      <c r="J26" s="292">
        <f t="shared" si="4"/>
        <v>5618.75</v>
      </c>
      <c r="K26" s="292">
        <f t="shared" si="5"/>
        <v>326.25</v>
      </c>
      <c r="L26" s="20">
        <f>'أخذ التمام الصباحي'!N24</f>
        <v>21792</v>
      </c>
      <c r="M26" s="2">
        <f t="shared" si="8"/>
        <v>119856</v>
      </c>
      <c r="N26" s="183">
        <f t="shared" si="11"/>
        <v>5665.92</v>
      </c>
      <c r="O26" s="7">
        <f t="shared" si="9"/>
        <v>1766.06</v>
      </c>
      <c r="P26" s="10">
        <f>'أخذ التمام الصباحي'!Q24</f>
        <v>2320</v>
      </c>
      <c r="Q26" s="7">
        <f t="shared" si="0"/>
        <v>553.94000000000005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5784</v>
      </c>
      <c r="G27" s="292">
        <f t="shared" si="2"/>
        <v>39042</v>
      </c>
      <c r="H27" s="292">
        <f t="shared" si="3"/>
        <v>1908.72</v>
      </c>
      <c r="I27" s="292">
        <f>'أخذ التمام الصباحي'!K25</f>
        <v>956</v>
      </c>
      <c r="J27" s="292">
        <f t="shared" si="4"/>
        <v>7409</v>
      </c>
      <c r="K27" s="292">
        <f t="shared" si="5"/>
        <v>430.2</v>
      </c>
      <c r="L27" s="20">
        <f>'أخذ التمام الصباحي'!N25</f>
        <v>15092</v>
      </c>
      <c r="M27" s="2">
        <f t="shared" si="8"/>
        <v>83006</v>
      </c>
      <c r="N27" s="183">
        <f t="shared" si="11"/>
        <v>3923.92</v>
      </c>
      <c r="O27" s="7">
        <f t="shared" si="9"/>
        <v>1294.57</v>
      </c>
      <c r="P27" s="10">
        <f>'أخذ التمام الصباحي'!Q25</f>
        <v>1666</v>
      </c>
      <c r="Q27" s="7">
        <f t="shared" si="0"/>
        <v>371.43000000000006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2762</v>
      </c>
      <c r="D28" s="5">
        <f t="shared" ref="D28" si="12">C28*5.5</f>
        <v>15191</v>
      </c>
      <c r="E28" s="5">
        <f t="shared" ref="E28" si="13">C28*0.25</f>
        <v>690.5</v>
      </c>
      <c r="F28" s="301">
        <f>'أخذ التمام الصباحي'!H26</f>
        <v>5986</v>
      </c>
      <c r="G28" s="301">
        <f t="shared" ref="G28" si="14">F28*6.75</f>
        <v>40405.5</v>
      </c>
      <c r="H28" s="301">
        <f t="shared" ref="H28" si="15">F28*0.33</f>
        <v>1975.38</v>
      </c>
      <c r="I28" s="301">
        <f>'أخذ التمام الصباحي'!K26</f>
        <v>1432</v>
      </c>
      <c r="J28" s="301">
        <f t="shared" ref="J28" si="16">I28*7.75</f>
        <v>11098</v>
      </c>
      <c r="K28" s="301">
        <f t="shared" ref="K28" si="17">I28*0.45</f>
        <v>644.4</v>
      </c>
      <c r="L28" s="301">
        <f>'أخذ التمام الصباحي'!N26</f>
        <v>11696</v>
      </c>
      <c r="M28" s="301">
        <f t="shared" ref="M28" si="18">L28*5.5</f>
        <v>64328</v>
      </c>
      <c r="N28" s="301">
        <f t="shared" ref="N28" si="19">L28*0.26</f>
        <v>3040.96</v>
      </c>
      <c r="O28" s="7">
        <f t="shared" ref="O28" si="20">SUM(D28,G28,J28,M28)/100</f>
        <v>1310.2249999999999</v>
      </c>
      <c r="P28" s="10">
        <f>'أخذ التمام الصباحي'!Q26</f>
        <v>900</v>
      </c>
      <c r="Q28" s="7">
        <f t="shared" ref="Q28" si="21">P28-O28</f>
        <v>-410.22499999999991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3025</v>
      </c>
      <c r="G29" s="321">
        <f t="shared" ref="G29:G33" si="24">F29*6.75</f>
        <v>20418.75</v>
      </c>
      <c r="H29" s="321">
        <f t="shared" ref="H29:H33" si="25">F29*0.33</f>
        <v>998.25</v>
      </c>
      <c r="I29" s="5">
        <f>'أخذ التمام الصباحي'!K27</f>
        <v>1501</v>
      </c>
      <c r="J29" s="321">
        <f t="shared" ref="J29:J33" si="26">I29*7.75</f>
        <v>11632.75</v>
      </c>
      <c r="K29" s="321">
        <f t="shared" ref="K29:K33" si="27">I29*0.45</f>
        <v>675.45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320.51499999999999</v>
      </c>
      <c r="P29" s="10">
        <f>'أخذ التمام الصباحي'!Q27</f>
        <v>141</v>
      </c>
      <c r="Q29" s="7">
        <f t="shared" ref="Q29:Q33" si="31">P29-O29</f>
        <v>-179.51499999999999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20285</v>
      </c>
      <c r="G30" s="321">
        <f t="shared" si="24"/>
        <v>136923.75</v>
      </c>
      <c r="H30" s="321">
        <f t="shared" si="25"/>
        <v>6694.05</v>
      </c>
      <c r="I30" s="5">
        <f>'أخذ التمام الصباحي'!K28</f>
        <v>8426</v>
      </c>
      <c r="J30" s="321">
        <f t="shared" si="26"/>
        <v>65301.5</v>
      </c>
      <c r="K30" s="321">
        <f t="shared" si="27"/>
        <v>3791.7000000000003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2022.2525000000001</v>
      </c>
      <c r="P30" s="10">
        <f>'أخذ التمام الصباحي'!Q28</f>
        <v>1000</v>
      </c>
      <c r="Q30" s="7">
        <f t="shared" si="31"/>
        <v>-1022.2525000000001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26378</v>
      </c>
      <c r="G31" s="321">
        <f t="shared" si="24"/>
        <v>178051.5</v>
      </c>
      <c r="H31" s="321">
        <f t="shared" si="25"/>
        <v>8704.74</v>
      </c>
      <c r="I31" s="5">
        <f>'أخذ التمام الصباحي'!K29</f>
        <v>10652</v>
      </c>
      <c r="J31" s="321">
        <f t="shared" si="26"/>
        <v>82553</v>
      </c>
      <c r="K31" s="321">
        <f t="shared" si="27"/>
        <v>4793.4000000000005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2606.0450000000001</v>
      </c>
      <c r="P31" s="10">
        <f>'أخذ التمام الصباحي'!Q29</f>
        <v>3000</v>
      </c>
      <c r="Q31" s="7">
        <f t="shared" si="31"/>
        <v>393.95499999999993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26473</v>
      </c>
      <c r="G32" s="321">
        <f t="shared" si="24"/>
        <v>178692.75</v>
      </c>
      <c r="H32" s="321">
        <f t="shared" si="25"/>
        <v>8736.09</v>
      </c>
      <c r="I32" s="5">
        <f>'أخذ التمام الصباحي'!K30</f>
        <v>8025</v>
      </c>
      <c r="J32" s="321">
        <f t="shared" si="26"/>
        <v>62193.75</v>
      </c>
      <c r="K32" s="321">
        <f t="shared" si="27"/>
        <v>3611.25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2408.8649999999998</v>
      </c>
      <c r="P32" s="10">
        <f>'أخذ التمام الصباحي'!Q30</f>
        <v>399</v>
      </c>
      <c r="Q32" s="7">
        <f t="shared" si="31"/>
        <v>-2009.8649999999998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46570</v>
      </c>
      <c r="G33" s="321">
        <f t="shared" si="24"/>
        <v>314347.5</v>
      </c>
      <c r="H33" s="321">
        <f t="shared" si="25"/>
        <v>15368.1</v>
      </c>
      <c r="I33" s="5">
        <f>'أخذ التمام الصباحي'!K31</f>
        <v>14145</v>
      </c>
      <c r="J33" s="321">
        <f t="shared" si="26"/>
        <v>109623.75</v>
      </c>
      <c r="K33" s="321">
        <f t="shared" si="27"/>
        <v>6365.25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4239.7124999999996</v>
      </c>
      <c r="P33" s="10">
        <f>'أخذ التمام الصباحي'!Q31</f>
        <v>5000</v>
      </c>
      <c r="Q33" s="7">
        <f t="shared" si="31"/>
        <v>760.28750000000036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10359</v>
      </c>
      <c r="D34" s="5">
        <f t="shared" ref="D34:D37" si="32">C34*5.5</f>
        <v>56974.5</v>
      </c>
      <c r="E34" s="5">
        <f t="shared" ref="E34:E37" si="33">C34*0.25</f>
        <v>2589.75</v>
      </c>
      <c r="F34" s="5">
        <f>'أخذ التمام الصباحي'!H32</f>
        <v>12526</v>
      </c>
      <c r="G34" s="361">
        <f t="shared" ref="G34:G37" si="34">F34*6.75</f>
        <v>84550.5</v>
      </c>
      <c r="H34" s="361">
        <f t="shared" ref="H34:H37" si="35">F34*0.33</f>
        <v>4133.58</v>
      </c>
      <c r="I34" s="5">
        <f>'أخذ التمام الصباحي'!K32</f>
        <v>1147</v>
      </c>
      <c r="J34" s="361">
        <f t="shared" ref="J34:J37" si="36">I34*7.75</f>
        <v>8889.25</v>
      </c>
      <c r="K34" s="361">
        <f t="shared" ref="K34:K37" si="37">I34*0.45</f>
        <v>516.15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1504.1424999999999</v>
      </c>
      <c r="P34" s="10">
        <f>'أخذ التمام الصباحي'!Q32</f>
        <v>2113</v>
      </c>
      <c r="Q34" s="7">
        <f t="shared" ref="Q34:Q37" si="41">P34-O34</f>
        <v>608.85750000000007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3" t="s">
        <v>34</v>
      </c>
      <c r="B38" s="413"/>
      <c r="C38" s="43">
        <f>SUM(C7:C37)</f>
        <v>51584</v>
      </c>
      <c r="D38" s="43">
        <f t="shared" ref="D38:Q38" si="42">SUM(D7:D37)</f>
        <v>283712</v>
      </c>
      <c r="E38" s="43">
        <f t="shared" si="42"/>
        <v>12896</v>
      </c>
      <c r="F38" s="43">
        <f t="shared" si="42"/>
        <v>369156</v>
      </c>
      <c r="G38" s="43">
        <f t="shared" si="42"/>
        <v>2491803</v>
      </c>
      <c r="H38" s="43">
        <f t="shared" si="42"/>
        <v>121821.48000000003</v>
      </c>
      <c r="I38" s="43">
        <f t="shared" si="42"/>
        <v>106085</v>
      </c>
      <c r="J38" s="43">
        <f t="shared" si="42"/>
        <v>822158.75</v>
      </c>
      <c r="K38" s="43">
        <f t="shared" si="42"/>
        <v>47738.25</v>
      </c>
      <c r="L38" s="43">
        <f t="shared" si="42"/>
        <v>252112</v>
      </c>
      <c r="M38" s="43">
        <f t="shared" si="42"/>
        <v>1386616</v>
      </c>
      <c r="N38" s="43">
        <f t="shared" si="42"/>
        <v>65549.119999999995</v>
      </c>
      <c r="O38" s="43">
        <f t="shared" si="42"/>
        <v>49842.897499999999</v>
      </c>
      <c r="P38" s="43">
        <f t="shared" si="42"/>
        <v>52589</v>
      </c>
      <c r="Q38" s="43">
        <f t="shared" si="42"/>
        <v>2746.1025000000009</v>
      </c>
    </row>
    <row r="39" spans="1:17" ht="32.25" customHeight="1" thickBot="1" x14ac:dyDescent="0.25">
      <c r="A39" s="406" t="s">
        <v>75</v>
      </c>
      <c r="B39" s="406"/>
      <c r="C39" s="417">
        <f>C38+F38+I38+L38</f>
        <v>778937</v>
      </c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9"/>
    </row>
    <row r="40" spans="1:17" ht="30.75" customHeight="1" thickBot="1" x14ac:dyDescent="0.25">
      <c r="A40" s="406" t="s">
        <v>47</v>
      </c>
      <c r="B40" s="406"/>
      <c r="C40" s="420">
        <f>D38+G38+J38+M38</f>
        <v>4984289.75</v>
      </c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2"/>
    </row>
    <row r="41" spans="1:17" ht="30.75" customHeight="1" thickBot="1" x14ac:dyDescent="0.25">
      <c r="A41" s="406" t="s">
        <v>48</v>
      </c>
      <c r="B41" s="406"/>
      <c r="C41" s="408">
        <f>E38+H38+K38+N38</f>
        <v>248004.85000000003</v>
      </c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10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1" t="s">
        <v>3</v>
      </c>
      <c r="B4" s="423" t="s">
        <v>90</v>
      </c>
      <c r="C4" s="569"/>
      <c r="D4" s="569"/>
      <c r="E4" s="569"/>
      <c r="F4" s="424"/>
    </row>
    <row r="5" spans="1:13" ht="15.75" thickBot="1" x14ac:dyDescent="0.25">
      <c r="A5" s="502"/>
      <c r="B5" s="423" t="s">
        <v>83</v>
      </c>
      <c r="C5" s="569"/>
      <c r="D5" s="568" t="s">
        <v>81</v>
      </c>
      <c r="E5" s="570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4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3"/>
      <c r="C16" s="52" t="s">
        <v>93</v>
      </c>
      <c r="D16" s="53">
        <f>[1]التعاون.ملخص!$D$10</f>
        <v>0</v>
      </c>
    </row>
    <row r="17" spans="2:4" ht="16.5" thickBot="1" x14ac:dyDescent="0.25">
      <c r="B17" s="574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3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1" t="s">
        <v>3</v>
      </c>
      <c r="B4" s="423" t="s">
        <v>165</v>
      </c>
      <c r="C4" s="569"/>
      <c r="D4" s="569"/>
      <c r="E4" s="569"/>
      <c r="F4" s="424"/>
    </row>
    <row r="5" spans="1:13" ht="15.75" thickBot="1" x14ac:dyDescent="0.25">
      <c r="A5" s="502"/>
      <c r="B5" s="423" t="s">
        <v>83</v>
      </c>
      <c r="C5" s="569"/>
      <c r="D5" s="568" t="s">
        <v>81</v>
      </c>
      <c r="E5" s="570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4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3"/>
      <c r="C16" s="52" t="s">
        <v>93</v>
      </c>
      <c r="D16" s="53">
        <f>[1]التعاون.ملخص!$D$10</f>
        <v>0</v>
      </c>
    </row>
    <row r="17" spans="2:4" ht="16.5" thickBot="1" x14ac:dyDescent="0.25">
      <c r="B17" s="574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3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5" t="str">
        <f>'منطقة القاهرة'!A4</f>
        <v>المحطة</v>
      </c>
      <c r="B1" s="415" t="str">
        <f>'منطقة القاهرة'!B4</f>
        <v xml:space="preserve">الهايكستب </v>
      </c>
      <c r="C1" s="415">
        <f>'منطقة القاهرة'!C4</f>
        <v>0</v>
      </c>
      <c r="D1" s="456">
        <f>'منطقة القاهرة'!D4</f>
        <v>0</v>
      </c>
      <c r="E1" s="568" t="str">
        <f>'منطقة القاهرة'!E4</f>
        <v>مسطرد</v>
      </c>
      <c r="F1" s="569">
        <f>'منطقة القاهرة'!F4</f>
        <v>0</v>
      </c>
      <c r="G1" s="569">
        <f>'منطقة القاهرة'!G4</f>
        <v>0</v>
      </c>
      <c r="H1" s="424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5">
        <f>'منطقة القاهرة'!A5</f>
        <v>0</v>
      </c>
      <c r="B2" s="423" t="str">
        <f>'منطقة القاهرة'!B5</f>
        <v>تعاون</v>
      </c>
      <c r="C2" s="569">
        <f>'منطقة القاهرة'!C5</f>
        <v>0</v>
      </c>
      <c r="D2" s="570">
        <f>'منطقة القاهرة'!D5</f>
        <v>0</v>
      </c>
      <c r="E2" s="269" t="str">
        <f>'منطقة القاهرة'!E5</f>
        <v>تعاون</v>
      </c>
      <c r="F2" s="423" t="str">
        <f>'منطقة القاهرة'!F5</f>
        <v>موبيل</v>
      </c>
      <c r="G2" s="569">
        <f>'منطقة القاهرة'!G5</f>
        <v>0</v>
      </c>
      <c r="H2" s="424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253</v>
      </c>
    </row>
    <row r="3" spans="1:13" ht="16.5" thickBot="1" x14ac:dyDescent="0.3">
      <c r="A3" s="455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448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1634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4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73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4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5" t="str">
        <f>'منطقة السويس'!A4</f>
        <v>المحطة</v>
      </c>
      <c r="B13" s="423" t="str">
        <f>'منطقة السويس'!B4</f>
        <v>السويس</v>
      </c>
      <c r="C13" s="569">
        <f>'منطقة السويس'!C4</f>
        <v>0</v>
      </c>
      <c r="D13" s="569">
        <f>'منطقة السويس'!D4</f>
        <v>0</v>
      </c>
      <c r="E13" s="569">
        <f>'منطقة السويس'!E4</f>
        <v>0</v>
      </c>
      <c r="F13" s="569">
        <f>'منطقة السويس'!F4</f>
        <v>0</v>
      </c>
      <c r="G13" s="569">
        <f>'منطقة السويس'!G4</f>
        <v>0</v>
      </c>
      <c r="H13" s="424">
        <f>'منطقة السويس'!H4</f>
        <v>0</v>
      </c>
      <c r="I13" s="276" t="s">
        <v>119</v>
      </c>
      <c r="K13" s="575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5">
        <f>'منطقة السويس'!A5</f>
        <v>0</v>
      </c>
      <c r="B14" s="120" t="str">
        <f>'منطقة السويس'!B5</f>
        <v>تعاون</v>
      </c>
      <c r="C14" s="576" t="str">
        <f>'منطقة السويس'!C5</f>
        <v>موبيل</v>
      </c>
      <c r="D14" s="540">
        <f>'منطقة السويس'!D5</f>
        <v>0</v>
      </c>
      <c r="E14" s="577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75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5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72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71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72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71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73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8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5" t="str">
        <f>'منطقة الاسكندرية'!A4</f>
        <v>المحطة</v>
      </c>
      <c r="B22" s="423" t="str">
        <f>'منطقة الاسكندرية'!B4</f>
        <v>الماكس</v>
      </c>
      <c r="C22" s="569">
        <f>'منطقة الاسكندرية'!C4</f>
        <v>0</v>
      </c>
      <c r="D22" s="569">
        <f>'منطقة الاسكندرية'!D4</f>
        <v>0</v>
      </c>
      <c r="E22" s="569">
        <f>'منطقة الاسكندرية'!E4</f>
        <v>0</v>
      </c>
      <c r="F22" s="569">
        <f>'منطقة الاسكندرية'!F4</f>
        <v>0</v>
      </c>
      <c r="G22" s="569">
        <f>'منطقة الاسكندرية'!G4</f>
        <v>0</v>
      </c>
      <c r="H22" s="569">
        <f>'منطقة الاسكندرية'!H4</f>
        <v>0</v>
      </c>
      <c r="I22" s="424">
        <f>'منطقة الاسكندرية'!I4</f>
        <v>0</v>
      </c>
      <c r="K22" s="579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5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62">
        <f>'منطقة الاسكندرية'!D5</f>
        <v>0</v>
      </c>
      <c r="E23" s="581" t="str">
        <f>'منطقة الاسكندرية'!E5</f>
        <v>مصر</v>
      </c>
      <c r="F23" s="582">
        <f>'منطقة الاسكندرية'!F5</f>
        <v>0</v>
      </c>
      <c r="G23" s="563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80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5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8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9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80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83"/>
      <c r="D30" s="583"/>
    </row>
    <row r="31" spans="1:13" ht="16.5" thickBot="1" x14ac:dyDescent="0.3">
      <c r="A31" s="501" t="str">
        <f>'منطقة طنطا'!A4</f>
        <v>المحطة</v>
      </c>
      <c r="B31" s="423" t="str">
        <f>'منطقة طنطا'!B4</f>
        <v>طنطا</v>
      </c>
      <c r="C31" s="569">
        <f>'منطقة طنطا'!C4</f>
        <v>0</v>
      </c>
      <c r="D31" s="569">
        <f>'منطقة طنطا'!D4</f>
        <v>0</v>
      </c>
      <c r="E31" s="569">
        <f>'منطقة طنطا'!E4</f>
        <v>0</v>
      </c>
      <c r="F31" s="424">
        <f>'منطقة طنطا'!F4</f>
        <v>0</v>
      </c>
      <c r="H31" s="78"/>
      <c r="I31" s="78"/>
      <c r="J31" s="78"/>
      <c r="K31" s="574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23" t="str">
        <f>'منطقة طنطا'!B5</f>
        <v>مصر</v>
      </c>
      <c r="C32" s="569">
        <f>'منطقة طنطا'!C5</f>
        <v>0</v>
      </c>
      <c r="D32" s="568" t="str">
        <f>'منطقة طنطا'!D5</f>
        <v>تعاون</v>
      </c>
      <c r="E32" s="570">
        <f>'منطقة طنطا'!E5</f>
        <v>0</v>
      </c>
      <c r="F32" s="266" t="str">
        <f>'منطقة طنطا'!F5</f>
        <v>تعاون هايكستب</v>
      </c>
      <c r="K32" s="573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4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73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52" t="s">
        <v>0</v>
      </c>
      <c r="B1" s="452"/>
      <c r="C1" s="452"/>
      <c r="D1" s="452"/>
      <c r="O1" s="451"/>
      <c r="P1" s="451"/>
    </row>
    <row r="2" spans="1:17" ht="15" x14ac:dyDescent="0.2">
      <c r="A2" s="452" t="s">
        <v>1</v>
      </c>
      <c r="B2" s="452"/>
      <c r="C2" s="452"/>
      <c r="D2" s="452"/>
    </row>
    <row r="3" spans="1:17" ht="15" x14ac:dyDescent="0.2">
      <c r="A3" s="452" t="s">
        <v>2</v>
      </c>
      <c r="B3" s="452"/>
      <c r="C3" s="452"/>
      <c r="D3" s="452"/>
    </row>
    <row r="4" spans="1:17" ht="15" x14ac:dyDescent="0.2">
      <c r="A4" s="452" t="s">
        <v>53</v>
      </c>
      <c r="B4" s="452"/>
      <c r="C4" s="452"/>
      <c r="D4" s="452"/>
    </row>
    <row r="5" spans="1:17" ht="15" x14ac:dyDescent="0.2">
      <c r="A5" s="453" t="s">
        <v>196</v>
      </c>
      <c r="B5" s="453"/>
      <c r="C5" s="453"/>
      <c r="D5" s="453"/>
    </row>
    <row r="6" spans="1:17" ht="24" thickBot="1" x14ac:dyDescent="0.25">
      <c r="H6" s="447" t="s">
        <v>54</v>
      </c>
      <c r="I6" s="447"/>
      <c r="J6" s="447"/>
      <c r="K6" s="447"/>
    </row>
    <row r="7" spans="1:17" ht="20.25" customHeight="1" thickBot="1" x14ac:dyDescent="0.25">
      <c r="B7" s="430" t="s">
        <v>55</v>
      </c>
      <c r="C7" s="443"/>
      <c r="D7" s="443"/>
      <c r="E7" s="431"/>
      <c r="F7" s="17"/>
      <c r="G7" s="17"/>
      <c r="H7" s="17"/>
      <c r="I7" s="17"/>
      <c r="J7" s="17"/>
      <c r="K7" s="17"/>
      <c r="L7" s="17"/>
      <c r="M7" s="17"/>
      <c r="N7" s="17"/>
      <c r="O7" s="17"/>
      <c r="P7" s="430" t="s">
        <v>51</v>
      </c>
      <c r="Q7" s="431"/>
    </row>
    <row r="8" spans="1:17" ht="13.5" thickBot="1" x14ac:dyDescent="0.25">
      <c r="B8" s="448" t="s">
        <v>52</v>
      </c>
      <c r="C8" s="454" t="s">
        <v>5</v>
      </c>
      <c r="D8" s="454"/>
      <c r="E8" s="454"/>
      <c r="F8" s="454" t="s">
        <v>11</v>
      </c>
      <c r="G8" s="454"/>
      <c r="H8" s="454"/>
      <c r="I8" s="454" t="s">
        <v>12</v>
      </c>
      <c r="J8" s="454"/>
      <c r="K8" s="454"/>
      <c r="L8" s="454" t="s">
        <v>50</v>
      </c>
      <c r="M8" s="454"/>
      <c r="N8" s="454"/>
      <c r="O8" s="454" t="s">
        <v>56</v>
      </c>
      <c r="P8" s="454"/>
      <c r="Q8" s="454"/>
    </row>
    <row r="9" spans="1:17" ht="13.5" thickBot="1" x14ac:dyDescent="0.25">
      <c r="B9" s="448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/>
    </row>
    <row r="10" spans="1:17" ht="20.100000000000001" customHeight="1" thickBot="1" x14ac:dyDescent="0.25">
      <c r="B10" s="448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442000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170000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255000</v>
      </c>
      <c r="N11" s="13" t="e">
        <f>M11/L11</f>
        <v>#DIV/0!</v>
      </c>
      <c r="O11" s="140">
        <f>C11+F11+I11+L11</f>
        <v>0</v>
      </c>
      <c r="P11" s="140">
        <f>D11+G11+J11+M11</f>
        <v>918000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30" t="s">
        <v>61</v>
      </c>
      <c r="C15" s="443"/>
      <c r="D15" s="443"/>
      <c r="E15" s="431"/>
      <c r="P15" s="430" t="s">
        <v>51</v>
      </c>
      <c r="Q15" s="431"/>
    </row>
    <row r="16" spans="1:17" ht="13.5" thickBot="1" x14ac:dyDescent="0.25">
      <c r="B16" s="448" t="s">
        <v>52</v>
      </c>
      <c r="C16" s="454" t="s">
        <v>5</v>
      </c>
      <c r="D16" s="454"/>
      <c r="E16" s="454"/>
      <c r="F16" s="454" t="s">
        <v>11</v>
      </c>
      <c r="G16" s="454"/>
      <c r="H16" s="454"/>
      <c r="I16" s="454" t="s">
        <v>12</v>
      </c>
      <c r="J16" s="454"/>
      <c r="K16" s="454"/>
      <c r="L16" s="454" t="s">
        <v>50</v>
      </c>
      <c r="M16" s="454"/>
      <c r="N16" s="454"/>
      <c r="O16" s="454" t="s">
        <v>56</v>
      </c>
      <c r="P16" s="454"/>
      <c r="Q16" s="454"/>
    </row>
    <row r="17" spans="2:17" ht="13.5" thickBot="1" x14ac:dyDescent="0.25">
      <c r="B17" s="448"/>
      <c r="C17" s="454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  <c r="O17" s="454"/>
      <c r="P17" s="454"/>
      <c r="Q17" s="454"/>
    </row>
    <row r="18" spans="2:17" ht="20.100000000000001" customHeight="1" thickBot="1" x14ac:dyDescent="0.25">
      <c r="B18" s="448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51584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369156</v>
      </c>
      <c r="G19" s="209">
        <f>'موقف المحطات'!$G$20</f>
        <v>442000</v>
      </c>
      <c r="H19" s="13">
        <f>G19/F19</f>
        <v>1.1973257918061742</v>
      </c>
      <c r="I19" s="209">
        <f>'موقف المحطات'!$I$20</f>
        <v>106085</v>
      </c>
      <c r="J19" s="209">
        <f>'موقف المحطات'!$J$20</f>
        <v>170000</v>
      </c>
      <c r="K19" s="13">
        <f>J19/I19</f>
        <v>1.6024885704859311</v>
      </c>
      <c r="L19" s="209">
        <f>'موقف المحطات'!$L$20</f>
        <v>252112</v>
      </c>
      <c r="M19" s="209">
        <f>'موقف المحطات'!$M$20</f>
        <v>255000</v>
      </c>
      <c r="N19" s="13">
        <f>M19/L19</f>
        <v>1.0114552262486514</v>
      </c>
      <c r="O19" s="140">
        <f>C19+F19+I19+L19</f>
        <v>778937</v>
      </c>
      <c r="P19" s="140">
        <f>D19+G19+J19+M19</f>
        <v>867000</v>
      </c>
      <c r="Q19" s="13">
        <f>P19/O19</f>
        <v>1.1130553562098091</v>
      </c>
    </row>
    <row r="20" spans="2:17" ht="22.5" customHeight="1" thickBot="1" x14ac:dyDescent="0.25">
      <c r="B20" s="145" t="s">
        <v>64</v>
      </c>
      <c r="C20" s="140">
        <f>المبيعات!C38</f>
        <v>51584</v>
      </c>
      <c r="D20" s="140">
        <f>D11</f>
        <v>51000</v>
      </c>
      <c r="E20" s="13">
        <f>IFERROR(D20/C20,0)</f>
        <v>0.98867866004962779</v>
      </c>
      <c r="F20" s="140">
        <f>المبيعات!F38</f>
        <v>369156</v>
      </c>
      <c r="G20" s="140">
        <f>G11</f>
        <v>442000</v>
      </c>
      <c r="H20" s="13">
        <f>IFERROR(G20/F20,0)</f>
        <v>1.1973257918061742</v>
      </c>
      <c r="I20" s="140">
        <f>المبيعات!I38</f>
        <v>106085</v>
      </c>
      <c r="J20" s="140">
        <f>J11</f>
        <v>170000</v>
      </c>
      <c r="K20" s="13">
        <f>IFERROR(J20/I20,0)</f>
        <v>1.6024885704859311</v>
      </c>
      <c r="L20" s="140">
        <f>المبيعات!L38</f>
        <v>252112</v>
      </c>
      <c r="M20" s="140">
        <f>M11</f>
        <v>255000</v>
      </c>
      <c r="N20" s="13">
        <f>IFERROR(M20/L20,0)</f>
        <v>1.0114552262486514</v>
      </c>
      <c r="O20" s="140">
        <f>C20+F20+I20+L20</f>
        <v>778937</v>
      </c>
      <c r="P20" s="140">
        <f>P11</f>
        <v>918000</v>
      </c>
      <c r="Q20" s="13">
        <f>IFERROR(P20/O20,0)</f>
        <v>1.178529200692739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30" t="s">
        <v>72</v>
      </c>
      <c r="C24" s="443"/>
      <c r="D24" s="443"/>
      <c r="E24" s="431"/>
      <c r="P24" s="449" t="s">
        <v>51</v>
      </c>
      <c r="Q24" s="450"/>
    </row>
    <row r="25" spans="2:17" ht="18" customHeight="1" thickBot="1" x14ac:dyDescent="0.25">
      <c r="B25" s="439" t="s">
        <v>52</v>
      </c>
      <c r="C25" s="428" t="s">
        <v>163</v>
      </c>
      <c r="D25" s="433"/>
      <c r="E25" s="429"/>
      <c r="F25" s="428" t="s">
        <v>158</v>
      </c>
      <c r="G25" s="433"/>
      <c r="H25" s="429"/>
      <c r="I25" s="428" t="s">
        <v>121</v>
      </c>
      <c r="J25" s="433"/>
      <c r="K25" s="429"/>
      <c r="L25" s="428" t="s">
        <v>112</v>
      </c>
      <c r="M25" s="433"/>
      <c r="N25" s="429"/>
      <c r="O25" s="428" t="s">
        <v>113</v>
      </c>
      <c r="P25" s="433"/>
      <c r="Q25" s="429"/>
    </row>
    <row r="26" spans="2:17" ht="16.5" customHeight="1" thickBot="1" x14ac:dyDescent="0.25">
      <c r="B26" s="440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20465</v>
      </c>
      <c r="D28" s="147">
        <f>'أخذ التمام الصباحي'!K6</f>
        <v>7349</v>
      </c>
      <c r="E28" s="224"/>
      <c r="F28" s="147">
        <f>'أخذ التمام الصباحي'!H7</f>
        <v>16208</v>
      </c>
      <c r="G28" s="147">
        <f>'أخذ التمام الصباحي'!K7</f>
        <v>3029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6" t="s">
        <v>173</v>
      </c>
      <c r="C32" s="437"/>
      <c r="D32" s="437"/>
      <c r="E32" s="437"/>
      <c r="F32" s="441" t="s">
        <v>60</v>
      </c>
      <c r="G32" s="442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1380</v>
      </c>
      <c r="F34" s="147">
        <f>'التمام الصباحي'!U39</f>
        <v>2520</v>
      </c>
      <c r="G34" s="147">
        <f>SUM(C34:F34)</f>
        <v>7770</v>
      </c>
    </row>
    <row r="35" spans="2:8" ht="20.25" customHeight="1" thickBot="1" x14ac:dyDescent="0.25">
      <c r="B35" s="39" t="s">
        <v>67</v>
      </c>
      <c r="C35" s="147">
        <f>'التمام الصباحي'!D39</f>
        <v>290</v>
      </c>
      <c r="D35" s="147">
        <f>'التمام الصباحي'!J39</f>
        <v>2406</v>
      </c>
      <c r="E35" s="143">
        <f>'التمام الصباحي'!P39</f>
        <v>830</v>
      </c>
      <c r="F35" s="147">
        <f>'التمام الصباحي'!V39</f>
        <v>2040</v>
      </c>
      <c r="G35" s="147">
        <f>SUM(C35:F35)</f>
        <v>5566</v>
      </c>
    </row>
    <row r="36" spans="2:8" ht="20.25" customHeight="1" thickBot="1" x14ac:dyDescent="0.25">
      <c r="B36" s="39" t="s">
        <v>37</v>
      </c>
      <c r="C36" s="430">
        <f>'التمام الصباحي'!C42:Z42</f>
        <v>2204</v>
      </c>
      <c r="D36" s="443"/>
      <c r="E36" s="443"/>
      <c r="F36" s="443"/>
      <c r="G36" s="431"/>
      <c r="H36" s="157"/>
    </row>
    <row r="37" spans="2:8" ht="18.75" customHeight="1" thickBot="1" x14ac:dyDescent="0.25">
      <c r="B37" s="39" t="s">
        <v>68</v>
      </c>
      <c r="C37" s="430">
        <f>'احتياجات المحطات'!M29</f>
        <v>459</v>
      </c>
      <c r="D37" s="443"/>
      <c r="E37" s="443"/>
      <c r="F37" s="443"/>
      <c r="G37" s="431"/>
      <c r="H37" s="157"/>
    </row>
    <row r="38" spans="2:8" ht="21" customHeight="1" thickBot="1" x14ac:dyDescent="0.25">
      <c r="B38" s="39" t="s">
        <v>69</v>
      </c>
      <c r="C38" s="430">
        <f>G35+C37</f>
        <v>6025</v>
      </c>
      <c r="D38" s="443"/>
      <c r="E38" s="443"/>
      <c r="F38" s="443"/>
      <c r="G38" s="431"/>
      <c r="H38" s="157"/>
    </row>
    <row r="39" spans="2:8" ht="19.5" customHeight="1" thickBot="1" x14ac:dyDescent="0.25">
      <c r="B39" s="141" t="s">
        <v>70</v>
      </c>
      <c r="C39" s="430">
        <f>C36-C37</f>
        <v>1745</v>
      </c>
      <c r="D39" s="443"/>
      <c r="E39" s="443"/>
      <c r="F39" s="443"/>
      <c r="G39" s="431"/>
      <c r="H39" s="157"/>
    </row>
    <row r="40" spans="2:8" ht="20.100000000000001" customHeight="1" thickBot="1" x14ac:dyDescent="0.25">
      <c r="B40" s="141" t="s">
        <v>71</v>
      </c>
      <c r="C40" s="430">
        <f>P19/1000</f>
        <v>867</v>
      </c>
      <c r="D40" s="443"/>
      <c r="E40" s="443"/>
      <c r="F40" s="443"/>
      <c r="G40" s="431"/>
      <c r="H40" s="157"/>
    </row>
    <row r="41" spans="2:8" ht="20.100000000000001" customHeight="1" thickBot="1" x14ac:dyDescent="0.25">
      <c r="B41" s="141" t="s">
        <v>110</v>
      </c>
      <c r="C41" s="444">
        <f>C37/C36</f>
        <v>0.20825771324863884</v>
      </c>
      <c r="D41" s="445"/>
      <c r="E41" s="445"/>
      <c r="F41" s="445"/>
      <c r="G41" s="446"/>
      <c r="H41" s="158"/>
    </row>
    <row r="42" spans="2:8" ht="20.100000000000001" customHeight="1" thickBot="1" x14ac:dyDescent="0.25">
      <c r="B42" s="147" t="s">
        <v>111</v>
      </c>
      <c r="C42" s="444">
        <f>'التمام الصباحي'!C45:Z45</f>
        <v>0.16492993172835069</v>
      </c>
      <c r="D42" s="445"/>
      <c r="E42" s="445"/>
      <c r="F42" s="445"/>
      <c r="G42" s="446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6" t="s">
        <v>174</v>
      </c>
      <c r="C46" s="437"/>
      <c r="D46" s="438"/>
      <c r="F46" s="442" t="s">
        <v>116</v>
      </c>
      <c r="G46" s="442"/>
    </row>
    <row r="47" spans="2:8" ht="18.75" customHeight="1" thickBot="1" x14ac:dyDescent="0.25">
      <c r="B47" s="144" t="s">
        <v>52</v>
      </c>
      <c r="C47" s="428" t="s">
        <v>114</v>
      </c>
      <c r="D47" s="429"/>
      <c r="E47" s="428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32" t="e">
        <f>المستودعات!#REF!/51</f>
        <v>#REF!</v>
      </c>
      <c r="D48" s="431"/>
      <c r="E48" s="430"/>
      <c r="F48" s="431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6" t="s">
        <v>175</v>
      </c>
      <c r="C52" s="437"/>
      <c r="D52" s="437"/>
      <c r="E52" s="437"/>
      <c r="F52" s="437"/>
      <c r="G52" s="438"/>
    </row>
    <row r="53" spans="2:7" ht="20.100000000000001" customHeight="1" thickBot="1" x14ac:dyDescent="0.25">
      <c r="B53" s="439" t="s">
        <v>65</v>
      </c>
      <c r="C53" s="428" t="s">
        <v>73</v>
      </c>
      <c r="D53" s="433"/>
      <c r="E53" s="429"/>
      <c r="F53" s="434" t="s">
        <v>50</v>
      </c>
      <c r="G53" s="434" t="s">
        <v>74</v>
      </c>
    </row>
    <row r="54" spans="2:7" ht="20.100000000000001" customHeight="1" thickBot="1" x14ac:dyDescent="0.25">
      <c r="B54" s="440"/>
      <c r="C54" s="145">
        <v>80</v>
      </c>
      <c r="D54" s="145">
        <v>92</v>
      </c>
      <c r="E54" s="145">
        <v>95</v>
      </c>
      <c r="F54" s="435"/>
      <c r="G54" s="435"/>
    </row>
    <row r="55" spans="2:7" ht="19.5" customHeight="1" thickBot="1" x14ac:dyDescent="0.25">
      <c r="B55" s="29" t="s">
        <v>77</v>
      </c>
      <c r="C55" s="140">
        <f>المبيعات!D38</f>
        <v>283712</v>
      </c>
      <c r="D55" s="140">
        <f>المبيعات!G38</f>
        <v>2491803</v>
      </c>
      <c r="E55" s="149">
        <f>المبيعات!J38</f>
        <v>822158.75</v>
      </c>
      <c r="F55" s="140">
        <f>المبيعات!M38</f>
        <v>1386616</v>
      </c>
      <c r="G55" s="35">
        <f>C55+D55+E55+F55</f>
        <v>4984289.75</v>
      </c>
    </row>
    <row r="56" spans="2:7" ht="17.25" customHeight="1" thickBot="1" x14ac:dyDescent="0.25">
      <c r="B56" s="145" t="s">
        <v>78</v>
      </c>
      <c r="C56" s="140">
        <f>المبيعات!E38</f>
        <v>12896</v>
      </c>
      <c r="D56" s="140">
        <f>المبيعات!H38</f>
        <v>121821.48000000003</v>
      </c>
      <c r="E56" s="140">
        <f>المبيعات!K38</f>
        <v>47738.25</v>
      </c>
      <c r="F56" s="140">
        <f>المبيعات!N38</f>
        <v>65549.119999999995</v>
      </c>
      <c r="G56" s="35">
        <f>F56+E56+D56+C56</f>
        <v>248004.85000000003</v>
      </c>
    </row>
    <row r="57" spans="2:7" ht="17.25" customHeight="1" thickBot="1" x14ac:dyDescent="0.25">
      <c r="B57" s="145" t="s">
        <v>79</v>
      </c>
      <c r="C57" s="425">
        <f>المبيعات!P38</f>
        <v>52589</v>
      </c>
      <c r="D57" s="426"/>
      <c r="E57" s="426"/>
      <c r="F57" s="427"/>
      <c r="G57" s="36">
        <f>C57</f>
        <v>52589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topLeftCell="A7" zoomScale="85" zoomScaleNormal="85" workbookViewId="0">
      <selection activeCell="E32" sqref="E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5" t="s">
        <v>14</v>
      </c>
      <c r="B3" s="455" t="s">
        <v>3</v>
      </c>
      <c r="C3" s="415" t="s">
        <v>5</v>
      </c>
      <c r="D3" s="415"/>
      <c r="E3" s="456"/>
      <c r="F3" s="457" t="s">
        <v>11</v>
      </c>
      <c r="G3" s="415"/>
      <c r="H3" s="456"/>
      <c r="I3" s="424" t="s">
        <v>12</v>
      </c>
      <c r="J3" s="415"/>
      <c r="K3" s="423"/>
      <c r="L3" s="457" t="s">
        <v>50</v>
      </c>
      <c r="M3" s="415"/>
      <c r="N3" s="456"/>
      <c r="O3" s="424" t="s">
        <v>45</v>
      </c>
      <c r="P3" s="415"/>
      <c r="Q3" s="415"/>
      <c r="R3" s="411" t="s">
        <v>160</v>
      </c>
    </row>
    <row r="4" spans="1:20" ht="15.75" thickBot="1" x14ac:dyDescent="0.25">
      <c r="A4" s="455"/>
      <c r="B4" s="455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2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83</v>
      </c>
      <c r="G5" s="194"/>
      <c r="H5" s="213">
        <v>13832</v>
      </c>
      <c r="I5" s="211">
        <v>18</v>
      </c>
      <c r="J5" s="5"/>
      <c r="K5" s="213">
        <v>6574</v>
      </c>
      <c r="L5" s="214"/>
      <c r="M5" s="192"/>
      <c r="N5" s="215"/>
      <c r="O5" s="217">
        <v>1270</v>
      </c>
      <c r="P5" s="218"/>
      <c r="Q5" s="294">
        <f t="shared" ref="Q5:Q26" si="0">P5+O5</f>
        <v>1270</v>
      </c>
      <c r="R5" s="220" t="s">
        <v>220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68</v>
      </c>
      <c r="G6" s="194">
        <v>34</v>
      </c>
      <c r="H6" s="213">
        <v>20465</v>
      </c>
      <c r="I6" s="211">
        <v>30</v>
      </c>
      <c r="J6" s="5">
        <v>17</v>
      </c>
      <c r="K6" s="213">
        <v>7349</v>
      </c>
      <c r="L6" s="214"/>
      <c r="M6" s="192"/>
      <c r="N6" s="215"/>
      <c r="O6" s="217">
        <v>1620</v>
      </c>
      <c r="P6" s="218"/>
      <c r="Q6" s="294">
        <f t="shared" si="0"/>
        <v>1620</v>
      </c>
      <c r="R6" s="220" t="s">
        <v>241</v>
      </c>
      <c r="S6" s="195">
        <v>14770</v>
      </c>
      <c r="T6" s="195"/>
    </row>
    <row r="7" spans="1:20" ht="16.5" thickBot="1" x14ac:dyDescent="0.3">
      <c r="A7" s="299">
        <v>3</v>
      </c>
      <c r="B7" s="290" t="s">
        <v>158</v>
      </c>
      <c r="C7" s="197">
        <v>62</v>
      </c>
      <c r="D7" s="5">
        <v>34</v>
      </c>
      <c r="E7" s="213">
        <v>29391</v>
      </c>
      <c r="F7" s="211">
        <v>38</v>
      </c>
      <c r="G7" s="194">
        <v>17</v>
      </c>
      <c r="H7" s="213">
        <v>16208</v>
      </c>
      <c r="I7" s="211">
        <v>42</v>
      </c>
      <c r="J7" s="5">
        <v>17</v>
      </c>
      <c r="K7" s="213">
        <v>3029</v>
      </c>
      <c r="L7" s="214"/>
      <c r="M7" s="192"/>
      <c r="N7" s="215"/>
      <c r="O7" s="217">
        <v>2522</v>
      </c>
      <c r="P7" s="218"/>
      <c r="Q7" s="294">
        <f t="shared" si="0"/>
        <v>2522</v>
      </c>
      <c r="R7" s="220" t="s">
        <v>239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29</v>
      </c>
      <c r="D8" s="5"/>
      <c r="E8" s="213">
        <v>2950</v>
      </c>
      <c r="F8" s="211">
        <v>44</v>
      </c>
      <c r="G8" s="194">
        <v>17</v>
      </c>
      <c r="H8" s="213">
        <v>14463</v>
      </c>
      <c r="I8" s="211">
        <v>25</v>
      </c>
      <c r="J8" s="5">
        <v>17</v>
      </c>
      <c r="K8" s="213">
        <v>6536</v>
      </c>
      <c r="L8" s="211">
        <v>164</v>
      </c>
      <c r="M8" s="5"/>
      <c r="N8" s="216">
        <v>3276</v>
      </c>
      <c r="O8" s="217">
        <v>2354</v>
      </c>
      <c r="P8" s="219"/>
      <c r="Q8" s="294">
        <f t="shared" si="0"/>
        <v>2354</v>
      </c>
      <c r="R8" s="220" t="s">
        <v>224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67</v>
      </c>
      <c r="G9" s="194">
        <v>34</v>
      </c>
      <c r="H9" s="213">
        <v>26080</v>
      </c>
      <c r="I9" s="211">
        <v>24</v>
      </c>
      <c r="J9" s="5"/>
      <c r="K9" s="213">
        <v>8497</v>
      </c>
      <c r="L9" s="214"/>
      <c r="M9" s="192"/>
      <c r="N9" s="215"/>
      <c r="O9" s="217">
        <v>2360</v>
      </c>
      <c r="P9" s="218"/>
      <c r="Q9" s="294">
        <f t="shared" si="0"/>
        <v>2360</v>
      </c>
      <c r="R9" s="220" t="s">
        <v>222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18</v>
      </c>
      <c r="D10" s="5"/>
      <c r="E10" s="213">
        <v>1051</v>
      </c>
      <c r="F10" s="211">
        <v>76</v>
      </c>
      <c r="G10" s="194">
        <v>17</v>
      </c>
      <c r="H10" s="213">
        <v>16030</v>
      </c>
      <c r="I10" s="214"/>
      <c r="J10" s="192"/>
      <c r="K10" s="212"/>
      <c r="L10" s="211">
        <v>179</v>
      </c>
      <c r="M10" s="5"/>
      <c r="N10" s="216">
        <v>3030</v>
      </c>
      <c r="O10" s="217">
        <v>1590</v>
      </c>
      <c r="P10" s="219"/>
      <c r="Q10" s="294">
        <f t="shared" si="0"/>
        <v>1590</v>
      </c>
      <c r="R10" s="220" t="s">
        <v>242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12</v>
      </c>
      <c r="D11" s="5">
        <v>17</v>
      </c>
      <c r="E11" s="213">
        <v>4928</v>
      </c>
      <c r="F11" s="211">
        <v>74</v>
      </c>
      <c r="G11" s="194">
        <v>17</v>
      </c>
      <c r="H11" s="213">
        <v>14658</v>
      </c>
      <c r="I11" s="214"/>
      <c r="J11" s="192"/>
      <c r="K11" s="212"/>
      <c r="L11" s="211">
        <v>157</v>
      </c>
      <c r="M11" s="5">
        <v>17</v>
      </c>
      <c r="N11" s="216">
        <v>12448</v>
      </c>
      <c r="O11" s="217">
        <v>2200</v>
      </c>
      <c r="P11" s="219"/>
      <c r="Q11" s="294">
        <f t="shared" si="0"/>
        <v>2200</v>
      </c>
      <c r="R11" s="220" t="s">
        <v>232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150</v>
      </c>
      <c r="G12" s="194">
        <v>51</v>
      </c>
      <c r="H12" s="213">
        <v>22957</v>
      </c>
      <c r="I12" s="211">
        <v>42</v>
      </c>
      <c r="J12" s="5">
        <v>17</v>
      </c>
      <c r="K12" s="213">
        <v>6220</v>
      </c>
      <c r="L12" s="214"/>
      <c r="M12" s="192"/>
      <c r="N12" s="215"/>
      <c r="O12" s="217">
        <v>1840</v>
      </c>
      <c r="P12" s="218"/>
      <c r="Q12" s="294">
        <f t="shared" si="0"/>
        <v>1840</v>
      </c>
      <c r="R12" s="220" t="s">
        <v>223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140</v>
      </c>
      <c r="G13" s="194">
        <v>34</v>
      </c>
      <c r="H13" s="213">
        <v>18022</v>
      </c>
      <c r="I13" s="211">
        <v>34</v>
      </c>
      <c r="J13" s="5"/>
      <c r="K13" s="213">
        <v>6714</v>
      </c>
      <c r="L13" s="211">
        <v>105</v>
      </c>
      <c r="M13" s="5"/>
      <c r="N13" s="216">
        <v>13946</v>
      </c>
      <c r="O13" s="217"/>
      <c r="P13" s="219"/>
      <c r="Q13" s="294">
        <f t="shared" si="0"/>
        <v>0</v>
      </c>
      <c r="R13" s="220" t="s">
        <v>221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5010</v>
      </c>
      <c r="I14" s="211">
        <v>23</v>
      </c>
      <c r="J14" s="5"/>
      <c r="K14" s="213">
        <v>2744</v>
      </c>
      <c r="L14" s="211">
        <v>140</v>
      </c>
      <c r="M14" s="5">
        <v>51</v>
      </c>
      <c r="N14" s="216">
        <v>65828</v>
      </c>
      <c r="O14" s="217">
        <v>7040</v>
      </c>
      <c r="P14" s="219"/>
      <c r="Q14" s="294">
        <f t="shared" si="0"/>
        <v>7040</v>
      </c>
      <c r="R14" s="220" t="s">
        <v>236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53</v>
      </c>
      <c r="G15" s="194">
        <v>34</v>
      </c>
      <c r="H15" s="213">
        <v>8566</v>
      </c>
      <c r="I15" s="211">
        <v>14</v>
      </c>
      <c r="J15" s="5"/>
      <c r="K15" s="213">
        <v>3497</v>
      </c>
      <c r="L15" s="211">
        <v>49</v>
      </c>
      <c r="M15" s="5"/>
      <c r="N15" s="216">
        <v>1316</v>
      </c>
      <c r="O15" s="217">
        <v>1150</v>
      </c>
      <c r="P15" s="219"/>
      <c r="Q15" s="294">
        <f t="shared" si="0"/>
        <v>1150</v>
      </c>
      <c r="R15" s="220" t="s">
        <v>226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41</v>
      </c>
      <c r="G16" s="194">
        <v>17</v>
      </c>
      <c r="H16" s="213">
        <v>2146</v>
      </c>
      <c r="I16" s="211">
        <v>14</v>
      </c>
      <c r="J16" s="5"/>
      <c r="K16" s="213">
        <v>767</v>
      </c>
      <c r="L16" s="214"/>
      <c r="M16" s="192"/>
      <c r="N16" s="215"/>
      <c r="O16" s="217">
        <v>329</v>
      </c>
      <c r="P16" s="218"/>
      <c r="Q16" s="294">
        <f t="shared" si="0"/>
        <v>329</v>
      </c>
      <c r="R16" s="220"/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75</v>
      </c>
      <c r="G17" s="194"/>
      <c r="H17" s="213">
        <v>2413</v>
      </c>
      <c r="I17" s="211">
        <v>15</v>
      </c>
      <c r="J17" s="5"/>
      <c r="K17" s="213">
        <v>479</v>
      </c>
      <c r="L17" s="211">
        <v>144</v>
      </c>
      <c r="M17" s="5"/>
      <c r="N17" s="216">
        <v>3978</v>
      </c>
      <c r="O17" s="217">
        <v>750</v>
      </c>
      <c r="P17" s="219"/>
      <c r="Q17" s="294">
        <f t="shared" si="0"/>
        <v>750</v>
      </c>
      <c r="R17" s="220" t="s">
        <v>220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70</v>
      </c>
      <c r="G18" s="194">
        <v>17</v>
      </c>
      <c r="H18" s="213">
        <v>6590</v>
      </c>
      <c r="I18" s="211">
        <v>12</v>
      </c>
      <c r="J18" s="5">
        <v>17</v>
      </c>
      <c r="K18" s="213">
        <v>1884</v>
      </c>
      <c r="L18" s="211">
        <v>142</v>
      </c>
      <c r="M18" s="5">
        <v>17</v>
      </c>
      <c r="N18" s="216">
        <v>17452</v>
      </c>
      <c r="O18" s="217">
        <v>625</v>
      </c>
      <c r="P18" s="219">
        <v>1305</v>
      </c>
      <c r="Q18" s="294">
        <f t="shared" si="0"/>
        <v>1930</v>
      </c>
      <c r="R18" s="220" t="s">
        <v>229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75</v>
      </c>
      <c r="G19" s="194"/>
      <c r="H19" s="213">
        <v>5172</v>
      </c>
      <c r="I19" s="211">
        <v>16</v>
      </c>
      <c r="J19" s="5"/>
      <c r="K19" s="213">
        <v>1113</v>
      </c>
      <c r="L19" s="214"/>
      <c r="M19" s="192"/>
      <c r="N19" s="215"/>
      <c r="O19" s="217">
        <v>530</v>
      </c>
      <c r="P19" s="218"/>
      <c r="Q19" s="294">
        <f t="shared" si="0"/>
        <v>530</v>
      </c>
      <c r="R19" s="220" t="s">
        <v>220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29</v>
      </c>
      <c r="D20" s="5"/>
      <c r="E20" s="213">
        <v>143</v>
      </c>
      <c r="F20" s="211">
        <v>52</v>
      </c>
      <c r="G20" s="194"/>
      <c r="H20" s="213">
        <v>885</v>
      </c>
      <c r="I20" s="214"/>
      <c r="J20" s="192"/>
      <c r="K20" s="212"/>
      <c r="L20" s="211">
        <v>106</v>
      </c>
      <c r="M20" s="5"/>
      <c r="N20" s="216">
        <v>8329</v>
      </c>
      <c r="O20" s="217">
        <v>80</v>
      </c>
      <c r="P20" s="219">
        <v>710</v>
      </c>
      <c r="Q20" s="294">
        <f t="shared" si="0"/>
        <v>790</v>
      </c>
      <c r="R20" s="220"/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53</v>
      </c>
      <c r="G21" s="194"/>
      <c r="H21" s="213">
        <v>1412</v>
      </c>
      <c r="I21" s="214"/>
      <c r="J21" s="192"/>
      <c r="K21" s="212"/>
      <c r="L21" s="211">
        <v>106</v>
      </c>
      <c r="M21" s="5"/>
      <c r="N21" s="216">
        <v>2975</v>
      </c>
      <c r="O21" s="217">
        <v>300</v>
      </c>
      <c r="P21" s="219"/>
      <c r="Q21" s="294">
        <f t="shared" si="0"/>
        <v>300</v>
      </c>
      <c r="R21" s="220" t="s">
        <v>235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70</v>
      </c>
      <c r="G22" s="194">
        <v>17</v>
      </c>
      <c r="H22" s="213">
        <v>9748</v>
      </c>
      <c r="I22" s="211">
        <v>16</v>
      </c>
      <c r="J22" s="5"/>
      <c r="K22" s="213">
        <v>1548</v>
      </c>
      <c r="L22" s="211">
        <v>144</v>
      </c>
      <c r="M22" s="5">
        <v>85</v>
      </c>
      <c r="N22" s="216">
        <v>33318</v>
      </c>
      <c r="O22" s="217">
        <v>1100</v>
      </c>
      <c r="P22" s="219">
        <v>2500</v>
      </c>
      <c r="Q22" s="294">
        <f t="shared" si="0"/>
        <v>3600</v>
      </c>
      <c r="R22" s="220" t="s">
        <v>234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80</v>
      </c>
      <c r="G23" s="194"/>
      <c r="H23" s="213">
        <v>9897</v>
      </c>
      <c r="I23" s="211">
        <v>20</v>
      </c>
      <c r="J23" s="5"/>
      <c r="K23" s="213">
        <v>2125</v>
      </c>
      <c r="L23" s="211">
        <v>129</v>
      </c>
      <c r="M23" s="5">
        <v>51</v>
      </c>
      <c r="N23" s="216">
        <v>37636</v>
      </c>
      <c r="O23" s="217">
        <v>1045</v>
      </c>
      <c r="P23" s="219">
        <v>2830</v>
      </c>
      <c r="Q23" s="294">
        <f t="shared" si="0"/>
        <v>3875</v>
      </c>
      <c r="R23" s="220" t="s">
        <v>219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70</v>
      </c>
      <c r="G24" s="194">
        <v>17</v>
      </c>
      <c r="H24" s="213">
        <v>7575</v>
      </c>
      <c r="I24" s="211">
        <v>27</v>
      </c>
      <c r="J24" s="5"/>
      <c r="K24" s="213">
        <v>725</v>
      </c>
      <c r="L24" s="211">
        <v>150</v>
      </c>
      <c r="M24" s="5">
        <v>34</v>
      </c>
      <c r="N24" s="216">
        <v>21792</v>
      </c>
      <c r="O24" s="217">
        <v>705</v>
      </c>
      <c r="P24" s="219">
        <v>1615</v>
      </c>
      <c r="Q24" s="294">
        <f t="shared" si="0"/>
        <v>2320</v>
      </c>
      <c r="R24" s="220" t="s">
        <v>230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85</v>
      </c>
      <c r="G25" s="194"/>
      <c r="H25" s="213">
        <v>5784</v>
      </c>
      <c r="I25" s="211">
        <v>16</v>
      </c>
      <c r="J25" s="5"/>
      <c r="K25" s="213">
        <v>956</v>
      </c>
      <c r="L25" s="211">
        <v>159</v>
      </c>
      <c r="M25" s="5"/>
      <c r="N25" s="216">
        <v>15092</v>
      </c>
      <c r="O25" s="217">
        <v>554</v>
      </c>
      <c r="P25" s="219">
        <v>1112</v>
      </c>
      <c r="Q25" s="294">
        <f t="shared" si="0"/>
        <v>1666</v>
      </c>
      <c r="R25" s="220" t="s">
        <v>233</v>
      </c>
    </row>
    <row r="26" spans="1:20" ht="16.5" thickBot="1" x14ac:dyDescent="0.3">
      <c r="A26" s="299">
        <v>22</v>
      </c>
      <c r="B26" s="297" t="s">
        <v>112</v>
      </c>
      <c r="C26" s="197">
        <v>72</v>
      </c>
      <c r="D26" s="194"/>
      <c r="E26" s="213">
        <v>2762</v>
      </c>
      <c r="F26" s="211">
        <v>40</v>
      </c>
      <c r="G26" s="194"/>
      <c r="H26" s="213">
        <v>5986</v>
      </c>
      <c r="I26" s="211">
        <v>39</v>
      </c>
      <c r="J26" s="5"/>
      <c r="K26" s="213">
        <v>1432</v>
      </c>
      <c r="L26" s="211">
        <v>166</v>
      </c>
      <c r="M26" s="5"/>
      <c r="N26" s="216">
        <v>11696</v>
      </c>
      <c r="O26" s="217">
        <v>900</v>
      </c>
      <c r="P26" s="219"/>
      <c r="Q26" s="294">
        <f t="shared" si="0"/>
        <v>900</v>
      </c>
      <c r="R26" s="220" t="s">
        <v>238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129</v>
      </c>
      <c r="G27" s="194"/>
      <c r="H27" s="213">
        <v>3025</v>
      </c>
      <c r="I27" s="211">
        <v>35</v>
      </c>
      <c r="J27" s="5"/>
      <c r="K27" s="213">
        <v>1501</v>
      </c>
      <c r="L27" s="214"/>
      <c r="M27" s="192"/>
      <c r="N27" s="215"/>
      <c r="O27" s="217">
        <v>141</v>
      </c>
      <c r="P27" s="218"/>
      <c r="Q27" s="294">
        <f t="shared" ref="Q27:Q30" si="1">P27+O27</f>
        <v>141</v>
      </c>
      <c r="R27" s="220" t="s">
        <v>228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165</v>
      </c>
      <c r="G28" s="194">
        <v>34</v>
      </c>
      <c r="H28" s="213">
        <v>20285</v>
      </c>
      <c r="I28" s="211">
        <v>64</v>
      </c>
      <c r="J28" s="5">
        <v>17</v>
      </c>
      <c r="K28" s="213">
        <v>8426</v>
      </c>
      <c r="L28" s="214"/>
      <c r="M28" s="192"/>
      <c r="N28" s="215"/>
      <c r="O28" s="217">
        <v>1000</v>
      </c>
      <c r="P28" s="218"/>
      <c r="Q28" s="294">
        <f t="shared" si="1"/>
        <v>1000</v>
      </c>
      <c r="R28" s="220" t="s">
        <v>225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134</v>
      </c>
      <c r="G29" s="194">
        <v>34</v>
      </c>
      <c r="H29" s="213">
        <v>26378</v>
      </c>
      <c r="I29" s="211">
        <v>58</v>
      </c>
      <c r="J29" s="5">
        <v>17</v>
      </c>
      <c r="K29" s="213">
        <v>10652</v>
      </c>
      <c r="L29" s="214"/>
      <c r="M29" s="192"/>
      <c r="N29" s="215"/>
      <c r="O29" s="217">
        <v>3000</v>
      </c>
      <c r="P29" s="218"/>
      <c r="Q29" s="294">
        <f t="shared" si="1"/>
        <v>3000</v>
      </c>
      <c r="R29" s="220" t="s">
        <v>237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151</v>
      </c>
      <c r="G30" s="194"/>
      <c r="H30" s="213">
        <v>26473</v>
      </c>
      <c r="I30" s="211">
        <v>79</v>
      </c>
      <c r="J30" s="5">
        <v>34</v>
      </c>
      <c r="K30" s="213">
        <v>8025</v>
      </c>
      <c r="L30" s="214"/>
      <c r="M30" s="192"/>
      <c r="N30" s="215"/>
      <c r="O30" s="217">
        <v>399</v>
      </c>
      <c r="P30" s="218"/>
      <c r="Q30" s="294">
        <f t="shared" si="1"/>
        <v>399</v>
      </c>
      <c r="R30" s="220" t="s">
        <v>231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174</v>
      </c>
      <c r="G31" s="194">
        <v>51</v>
      </c>
      <c r="H31" s="213">
        <v>46570</v>
      </c>
      <c r="I31" s="211">
        <v>82</v>
      </c>
      <c r="J31" s="5">
        <v>17</v>
      </c>
      <c r="K31" s="213">
        <v>14145</v>
      </c>
      <c r="L31" s="214"/>
      <c r="M31" s="192"/>
      <c r="N31" s="215"/>
      <c r="O31" s="217">
        <v>5000</v>
      </c>
      <c r="P31" s="218"/>
      <c r="Q31" s="294">
        <f t="shared" ref="Q31:Q35" si="2">P31+O31</f>
        <v>5000</v>
      </c>
      <c r="R31" s="220" t="s">
        <v>240</v>
      </c>
    </row>
    <row r="32" spans="1:20" ht="16.5" thickBot="1" x14ac:dyDescent="0.3">
      <c r="A32" s="359">
        <v>28</v>
      </c>
      <c r="B32" s="332" t="s">
        <v>197</v>
      </c>
      <c r="C32" s="211">
        <v>68</v>
      </c>
      <c r="D32" s="194"/>
      <c r="E32" s="213">
        <v>10359</v>
      </c>
      <c r="F32" s="211">
        <v>66</v>
      </c>
      <c r="G32" s="194"/>
      <c r="H32" s="213">
        <v>12526</v>
      </c>
      <c r="I32" s="211">
        <v>85</v>
      </c>
      <c r="J32" s="5"/>
      <c r="K32" s="213">
        <v>1147</v>
      </c>
      <c r="L32" s="214"/>
      <c r="M32" s="192"/>
      <c r="N32" s="215"/>
      <c r="O32" s="217">
        <v>2113</v>
      </c>
      <c r="P32" s="218"/>
      <c r="Q32" s="294">
        <f t="shared" si="2"/>
        <v>2113</v>
      </c>
      <c r="R32" s="220" t="s">
        <v>227</v>
      </c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442</v>
      </c>
      <c r="J39" s="193">
        <f>SUM(J5:J31)</f>
        <v>170</v>
      </c>
      <c r="M39" s="193">
        <f>SUM(M5:M31)</f>
        <v>255</v>
      </c>
    </row>
  </sheetData>
  <sheetProtection selectLockedCells="1"/>
  <customSheetViews>
    <customSheetView guid="{18C0F7AC-4BB1-46DE-8A01-8E31FE0585FC}" scale="85" fitToPage="1" topLeftCell="A7">
      <selection activeCell="E32" sqref="E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4" t="s">
        <v>193</v>
      </c>
      <c r="C7" s="464"/>
      <c r="D7" s="464"/>
      <c r="E7" s="464"/>
      <c r="F7" s="464"/>
      <c r="G7" s="464"/>
      <c r="H7" s="464"/>
      <c r="I7" s="345"/>
      <c r="J7" s="345"/>
    </row>
    <row r="8" spans="2:10" ht="17.25" thickTop="1" thickBot="1" x14ac:dyDescent="0.25">
      <c r="B8" s="465" t="s">
        <v>14</v>
      </c>
      <c r="C8" s="458" t="s">
        <v>180</v>
      </c>
      <c r="D8" s="467" t="s">
        <v>181</v>
      </c>
      <c r="E8" s="468"/>
      <c r="F8" s="469"/>
      <c r="G8" s="458" t="s">
        <v>182</v>
      </c>
      <c r="H8" s="460" t="s">
        <v>183</v>
      </c>
      <c r="I8" s="347"/>
      <c r="J8" s="347"/>
    </row>
    <row r="9" spans="2:10" ht="16.5" thickBot="1" x14ac:dyDescent="0.25">
      <c r="B9" s="466"/>
      <c r="C9" s="459"/>
      <c r="D9" s="340">
        <v>80</v>
      </c>
      <c r="E9" s="340">
        <v>92</v>
      </c>
      <c r="F9" s="340">
        <v>95</v>
      </c>
      <c r="G9" s="459"/>
      <c r="H9" s="461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20285</v>
      </c>
      <c r="F10" s="350">
        <f>'أخذ التمام الصباحي'!$K$28</f>
        <v>8426</v>
      </c>
      <c r="G10" s="342"/>
      <c r="H10" s="343">
        <f>SUM(D10:G10)</f>
        <v>28711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26378</v>
      </c>
      <c r="F11" s="350">
        <f>'أخذ التمام الصباحي'!$K$29</f>
        <v>10652</v>
      </c>
      <c r="G11" s="342"/>
      <c r="H11" s="343">
        <f t="shared" ref="H11" si="0">SUM(D11:G11)</f>
        <v>37030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26473</v>
      </c>
      <c r="F12" s="350">
        <f>'أخذ التمام الصباحي'!$K$30</f>
        <v>8025</v>
      </c>
      <c r="G12" s="342"/>
      <c r="H12" s="343">
        <f>SUM(D12:G12)</f>
        <v>34498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46570</v>
      </c>
      <c r="F13" s="350">
        <f>'أخذ التمام الصباحي'!$K$31</f>
        <v>14145</v>
      </c>
      <c r="G13" s="342"/>
      <c r="H13" s="343">
        <f>SUM(D13:G13)</f>
        <v>60715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20465</v>
      </c>
      <c r="F14" s="350">
        <f>'أخذ التمام الصباحي'!$K$6</f>
        <v>7349</v>
      </c>
      <c r="G14" s="342"/>
      <c r="H14" s="343">
        <f>SUM(D14:G14)</f>
        <v>27814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29391</v>
      </c>
      <c r="E15" s="350">
        <f>'أخذ التمام الصباحي'!$H$7</f>
        <v>16208</v>
      </c>
      <c r="F15" s="350">
        <f>'أخذ التمام الصباحي'!$K$7</f>
        <v>3029</v>
      </c>
      <c r="G15" s="342"/>
      <c r="H15" s="343">
        <f t="shared" ref="H15:H17" si="1">SUM(D15:G15)</f>
        <v>48628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2762</v>
      </c>
      <c r="E16" s="350">
        <f>'أخذ التمام الصباحي'!$H$26</f>
        <v>5986</v>
      </c>
      <c r="F16" s="350">
        <f>'أخذ التمام الصباحي'!$K$26</f>
        <v>1432</v>
      </c>
      <c r="G16" s="350">
        <f>'أخذ التمام الصباحي'!$N$26</f>
        <v>11696</v>
      </c>
      <c r="H16" s="343">
        <f t="shared" si="1"/>
        <v>21876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3025</v>
      </c>
      <c r="F17" s="350">
        <f>'أخذ التمام الصباحي'!$K$27</f>
        <v>1501</v>
      </c>
      <c r="G17" s="342"/>
      <c r="H17" s="343">
        <f t="shared" si="1"/>
        <v>4526</v>
      </c>
    </row>
    <row r="18" spans="2:8" ht="54.95" customHeight="1" thickTop="1" thickBot="1" x14ac:dyDescent="0.25">
      <c r="B18" s="462" t="s">
        <v>192</v>
      </c>
      <c r="C18" s="463"/>
      <c r="D18" s="351">
        <f t="shared" ref="D18:G18" si="2">SUM(D10:D17)</f>
        <v>32153</v>
      </c>
      <c r="E18" s="351">
        <f t="shared" si="2"/>
        <v>165390</v>
      </c>
      <c r="F18" s="351">
        <f t="shared" si="2"/>
        <v>54559</v>
      </c>
      <c r="G18" s="351">
        <f t="shared" si="2"/>
        <v>11696</v>
      </c>
      <c r="H18" s="351">
        <f>SUM(H10:H17)</f>
        <v>263798</v>
      </c>
    </row>
    <row r="19" spans="2:8" ht="15" thickTop="1" x14ac:dyDescent="0.2"/>
  </sheetData>
  <customSheetViews>
    <customSheetView guid="{18C0F7AC-4BB1-46DE-8A01-8E31FE0585FC}" scale="73" showPageBreaks="1" view="pageBreakPreview" topLeftCell="A4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6"/>
  <sheetViews>
    <sheetView rightToLeft="1" view="pageBreakPreview" zoomScale="60" zoomScaleNormal="100" workbookViewId="0">
      <selection activeCell="K20" sqref="K20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3" t="s">
        <v>243</v>
      </c>
      <c r="C6" s="473"/>
      <c r="D6" s="473"/>
      <c r="E6" s="473"/>
      <c r="F6" s="473"/>
      <c r="G6" s="473"/>
      <c r="H6" s="473"/>
      <c r="I6" s="473"/>
      <c r="J6" s="473"/>
      <c r="K6" s="473"/>
    </row>
    <row r="7" spans="2:12" ht="15.75" x14ac:dyDescent="0.25"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4" t="s">
        <v>14</v>
      </c>
      <c r="C11" s="476" t="s">
        <v>3</v>
      </c>
      <c r="D11" s="476" t="s">
        <v>202</v>
      </c>
      <c r="E11" s="478" t="s">
        <v>203</v>
      </c>
      <c r="F11" s="479"/>
      <c r="G11" s="479"/>
      <c r="H11" s="480" t="s">
        <v>50</v>
      </c>
      <c r="I11" s="482" t="s">
        <v>183</v>
      </c>
      <c r="J11" s="478" t="s">
        <v>206</v>
      </c>
      <c r="K11" s="484"/>
    </row>
    <row r="12" spans="2:12" ht="15.75" customHeight="1" thickBot="1" x14ac:dyDescent="0.25">
      <c r="B12" s="475"/>
      <c r="C12" s="477"/>
      <c r="D12" s="477"/>
      <c r="E12" s="368">
        <v>80</v>
      </c>
      <c r="F12" s="368">
        <v>92</v>
      </c>
      <c r="G12" s="369">
        <v>95</v>
      </c>
      <c r="H12" s="481"/>
      <c r="I12" s="483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5" t="s">
        <v>207</v>
      </c>
      <c r="E13" s="371" t="s">
        <v>208</v>
      </c>
      <c r="F13" s="371">
        <f>'تمام محطات الوكلاء'!E14</f>
        <v>20465</v>
      </c>
      <c r="G13" s="371">
        <f>'تمام محطات الوكلاء'!F14</f>
        <v>7349</v>
      </c>
      <c r="H13" s="371" t="s">
        <v>208</v>
      </c>
      <c r="I13" s="374">
        <f>SUM(E13:H13)</f>
        <v>27814</v>
      </c>
      <c r="J13" s="372">
        <f>F13*0.2525+G13*0.355</f>
        <v>7776.3075000000008</v>
      </c>
      <c r="K13" s="372">
        <f>F13*0.09+G13*0.125</f>
        <v>2760.4749999999999</v>
      </c>
    </row>
    <row r="14" spans="2:12" ht="18.75" thickBot="1" x14ac:dyDescent="0.25">
      <c r="B14" s="370">
        <v>2</v>
      </c>
      <c r="C14" s="342" t="s">
        <v>112</v>
      </c>
      <c r="D14" s="486"/>
      <c r="E14" s="373">
        <f>'تمام محطات الوكلاء'!D16</f>
        <v>2762</v>
      </c>
      <c r="F14" s="371">
        <f>'تمام محطات الوكلاء'!E16</f>
        <v>5986</v>
      </c>
      <c r="G14" s="371">
        <f>'تمام محطات الوكلاء'!F16</f>
        <v>1432</v>
      </c>
      <c r="H14" s="371">
        <f>'تمام محطات الوكلاء'!G16</f>
        <v>11696</v>
      </c>
      <c r="I14" s="374">
        <f t="shared" ref="I14:I24" si="0">SUM(E14:H14)</f>
        <v>21876</v>
      </c>
      <c r="J14" s="372">
        <f>E14*0.2105+F14*0.2525+H14*0.195+G14*0.355</f>
        <v>4881.9459999999999</v>
      </c>
      <c r="K14" s="372">
        <f>E14*0.0695+F14*0.09+G14*0.125+H14*0.07</f>
        <v>1728.4190000000001</v>
      </c>
    </row>
    <row r="15" spans="2:12" ht="18.75" thickBot="1" x14ac:dyDescent="0.25">
      <c r="B15" s="370">
        <v>3</v>
      </c>
      <c r="C15" s="342" t="s">
        <v>158</v>
      </c>
      <c r="D15" s="487"/>
      <c r="E15" s="373">
        <f>'تمام محطات الوكلاء'!D15</f>
        <v>29391</v>
      </c>
      <c r="F15" s="373">
        <f>'تمام محطات الوكلاء'!E15</f>
        <v>16208</v>
      </c>
      <c r="G15" s="373">
        <f>'تمام محطات الوكلاء'!F15</f>
        <v>3029</v>
      </c>
      <c r="H15" s="371" t="s">
        <v>208</v>
      </c>
      <c r="I15" s="374">
        <f t="shared" si="0"/>
        <v>48628</v>
      </c>
      <c r="J15" s="372">
        <f>E15*0.2105+F15*0.2525+G15*0.355</f>
        <v>11354.620499999999</v>
      </c>
      <c r="K15" s="372">
        <f>E15*0.0695+F15*0.09+G15*0.125</f>
        <v>3880.0195000000003</v>
      </c>
    </row>
    <row r="16" spans="2:12" ht="21" thickBot="1" x14ac:dyDescent="0.25">
      <c r="B16" s="488" t="s">
        <v>209</v>
      </c>
      <c r="C16" s="489"/>
      <c r="D16" s="490"/>
      <c r="E16" s="375">
        <f>SUM(E13:E15)</f>
        <v>32153</v>
      </c>
      <c r="F16" s="375">
        <f t="shared" ref="F16:K16" si="1">SUM(F13:F15)</f>
        <v>42659</v>
      </c>
      <c r="G16" s="375">
        <f t="shared" si="1"/>
        <v>11810</v>
      </c>
      <c r="H16" s="375">
        <f t="shared" si="1"/>
        <v>11696</v>
      </c>
      <c r="I16" s="376">
        <f t="shared" si="1"/>
        <v>98318</v>
      </c>
      <c r="J16" s="375">
        <f t="shared" si="1"/>
        <v>24012.874</v>
      </c>
      <c r="K16" s="377">
        <f t="shared" si="1"/>
        <v>8368.9135000000006</v>
      </c>
    </row>
    <row r="17" spans="2:11" ht="18.75" thickBot="1" x14ac:dyDescent="0.25">
      <c r="B17" s="370">
        <v>4</v>
      </c>
      <c r="C17" s="342" t="s">
        <v>121</v>
      </c>
      <c r="D17" s="491" t="s">
        <v>210</v>
      </c>
      <c r="E17" s="371" t="s">
        <v>208</v>
      </c>
      <c r="F17" s="371">
        <f>'تمام محطات الوكلاء'!E17</f>
        <v>3025</v>
      </c>
      <c r="G17" s="371">
        <f>'تمام محطات الوكلاء'!F17</f>
        <v>1501</v>
      </c>
      <c r="H17" s="371" t="s">
        <v>208</v>
      </c>
      <c r="I17" s="374">
        <f t="shared" si="0"/>
        <v>4526</v>
      </c>
      <c r="J17" s="372">
        <f>F17*0.2525+G17*0.355</f>
        <v>1296.6675</v>
      </c>
      <c r="K17" s="372">
        <f>F17*0.09+G17*0.125</f>
        <v>459.875</v>
      </c>
    </row>
    <row r="18" spans="2:11" ht="18.75" thickBot="1" x14ac:dyDescent="0.25">
      <c r="B18" s="370">
        <v>5</v>
      </c>
      <c r="C18" s="344" t="s">
        <v>211</v>
      </c>
      <c r="D18" s="492"/>
      <c r="E18" s="371" t="s">
        <v>208</v>
      </c>
      <c r="F18" s="371">
        <f>'تمام محطات الوكلاء'!E12</f>
        <v>26473</v>
      </c>
      <c r="G18" s="371">
        <f>'تمام محطات الوكلاء'!F12</f>
        <v>8025</v>
      </c>
      <c r="H18" s="371" t="s">
        <v>208</v>
      </c>
      <c r="I18" s="374">
        <f t="shared" si="0"/>
        <v>34498</v>
      </c>
      <c r="J18" s="372">
        <f>F18*0.2525+G18*0.355</f>
        <v>9533.307499999999</v>
      </c>
      <c r="K18" s="372">
        <f>F18*0.09+G18*0.125</f>
        <v>3385.6949999999997</v>
      </c>
    </row>
    <row r="19" spans="2:11" ht="18.75" thickBot="1" x14ac:dyDescent="0.25">
      <c r="B19" s="370">
        <v>6</v>
      </c>
      <c r="C19" s="342" t="s">
        <v>212</v>
      </c>
      <c r="D19" s="493"/>
      <c r="E19" s="371" t="s">
        <v>208</v>
      </c>
      <c r="F19" s="371">
        <f>'تمام محطات الوكلاء'!E10</f>
        <v>20285</v>
      </c>
      <c r="G19" s="371">
        <f>'تمام محطات الوكلاء'!F10</f>
        <v>8426</v>
      </c>
      <c r="H19" s="371" t="s">
        <v>208</v>
      </c>
      <c r="I19" s="374">
        <f t="shared" si="0"/>
        <v>28711</v>
      </c>
      <c r="J19" s="372">
        <f>F19*0.2525+G19*0.355</f>
        <v>8113.1924999999992</v>
      </c>
      <c r="K19" s="372">
        <f>F19*0.09+G19*0.125</f>
        <v>2878.8999999999996</v>
      </c>
    </row>
    <row r="20" spans="2:11" ht="21" thickBot="1" x14ac:dyDescent="0.25">
      <c r="B20" s="494" t="s">
        <v>213</v>
      </c>
      <c r="C20" s="495"/>
      <c r="D20" s="496"/>
      <c r="E20" s="378"/>
      <c r="F20" s="379">
        <f t="shared" ref="F20:K20" si="2">SUM(F17:F19)</f>
        <v>49783</v>
      </c>
      <c r="G20" s="379">
        <f t="shared" si="2"/>
        <v>17952</v>
      </c>
      <c r="H20" s="379"/>
      <c r="I20" s="380">
        <f t="shared" si="2"/>
        <v>67735</v>
      </c>
      <c r="J20" s="379">
        <f t="shared" si="2"/>
        <v>18943.167499999996</v>
      </c>
      <c r="K20" s="379">
        <f t="shared" si="2"/>
        <v>6724.4699999999993</v>
      </c>
    </row>
    <row r="21" spans="2:11" ht="18.75" thickBot="1" x14ac:dyDescent="0.25">
      <c r="B21" s="370">
        <v>7</v>
      </c>
      <c r="C21" s="342" t="s">
        <v>214</v>
      </c>
      <c r="D21" s="491" t="s">
        <v>215</v>
      </c>
      <c r="E21" s="371" t="s">
        <v>208</v>
      </c>
      <c r="F21" s="371">
        <f>'تمام محطات الوكلاء'!E13</f>
        <v>46570</v>
      </c>
      <c r="G21" s="371">
        <f>'تمام محطات الوكلاء'!F13</f>
        <v>14145</v>
      </c>
      <c r="H21" s="371" t="s">
        <v>208</v>
      </c>
      <c r="I21" s="374">
        <f t="shared" si="0"/>
        <v>60715</v>
      </c>
      <c r="J21" s="372">
        <f>F21*0.2525+G21*0.355</f>
        <v>16780.399999999998</v>
      </c>
      <c r="K21" s="372">
        <f>F21*0.09+G21*0.125</f>
        <v>5959.4250000000002</v>
      </c>
    </row>
    <row r="22" spans="2:11" ht="18.75" thickBot="1" x14ac:dyDescent="0.25">
      <c r="B22" s="370">
        <v>8</v>
      </c>
      <c r="C22" s="342" t="s">
        <v>216</v>
      </c>
      <c r="D22" s="492"/>
      <c r="E22" s="371" t="s">
        <v>208</v>
      </c>
      <c r="F22" s="371">
        <f>'تمام محطات الوكلاء'!E11</f>
        <v>26378</v>
      </c>
      <c r="G22" s="371">
        <f>'تمام محطات الوكلاء'!F11</f>
        <v>10652</v>
      </c>
      <c r="H22" s="371" t="s">
        <v>208</v>
      </c>
      <c r="I22" s="374">
        <f t="shared" si="0"/>
        <v>37030</v>
      </c>
      <c r="J22" s="372">
        <f>F22*0.2525+G22*0.355</f>
        <v>10441.904999999999</v>
      </c>
      <c r="K22" s="372">
        <f>F22*0.09+G22*0.125</f>
        <v>3705.52</v>
      </c>
    </row>
    <row r="23" spans="2:11" ht="21" thickBot="1" x14ac:dyDescent="0.25">
      <c r="B23" s="470" t="s">
        <v>217</v>
      </c>
      <c r="C23" s="471"/>
      <c r="D23" s="472"/>
      <c r="E23" s="381"/>
      <c r="F23" s="381">
        <f t="shared" ref="F23:K23" si="3">SUM(F21:F22)</f>
        <v>72948</v>
      </c>
      <c r="G23" s="381">
        <f t="shared" si="3"/>
        <v>24797</v>
      </c>
      <c r="H23" s="381"/>
      <c r="I23" s="382">
        <f t="shared" si="3"/>
        <v>97745</v>
      </c>
      <c r="J23" s="381">
        <f t="shared" si="3"/>
        <v>27222.304999999997</v>
      </c>
      <c r="K23" s="383">
        <f t="shared" si="3"/>
        <v>9664.9449999999997</v>
      </c>
    </row>
    <row r="24" spans="2:11" ht="18.75" customHeight="1" thickBot="1" x14ac:dyDescent="0.25">
      <c r="B24" s="370">
        <v>9</v>
      </c>
      <c r="C24" s="342" t="s">
        <v>218</v>
      </c>
      <c r="D24" s="389" t="s">
        <v>244</v>
      </c>
      <c r="E24" s="387">
        <f>'أخذ التمام الصباحي'!$E$32</f>
        <v>10359</v>
      </c>
      <c r="F24" s="386">
        <f>'أخذ التمام الصباحي'!$H$32</f>
        <v>12526</v>
      </c>
      <c r="G24" s="386">
        <f>'أخذ التمام الصباحي'!$K$32</f>
        <v>1147</v>
      </c>
      <c r="H24" s="371" t="s">
        <v>208</v>
      </c>
      <c r="I24" s="374">
        <f t="shared" si="0"/>
        <v>24032</v>
      </c>
      <c r="J24" s="386">
        <f>E24*0.2105+F24*0.2525+G24*0.355</f>
        <v>5750.5695000000005</v>
      </c>
      <c r="K24" s="388">
        <f>E24*0.0695+F24*0.09+G24*0.125</f>
        <v>1990.6655000000001</v>
      </c>
    </row>
    <row r="25" spans="2:11" ht="14.25" customHeight="1" x14ac:dyDescent="0.2">
      <c r="B25" s="499" t="s">
        <v>205</v>
      </c>
      <c r="C25" s="499"/>
      <c r="D25" s="499"/>
      <c r="E25" s="497">
        <f t="shared" ref="E25:H25" si="4">SUM(E16,E20,E23,E24)</f>
        <v>42512</v>
      </c>
      <c r="F25" s="497">
        <f t="shared" si="4"/>
        <v>177916</v>
      </c>
      <c r="G25" s="497">
        <f t="shared" si="4"/>
        <v>55706</v>
      </c>
      <c r="H25" s="497">
        <f t="shared" si="4"/>
        <v>11696</v>
      </c>
      <c r="I25" s="497">
        <f>SUM(I16,I20,I23,I24)</f>
        <v>287830</v>
      </c>
      <c r="J25" s="497">
        <f t="shared" ref="J25:K25" si="5">SUM(J16,J20,J23,J24)</f>
        <v>75928.915999999983</v>
      </c>
      <c r="K25" s="497">
        <f t="shared" si="5"/>
        <v>26748.993999999999</v>
      </c>
    </row>
    <row r="26" spans="2:11" ht="15" customHeight="1" thickBot="1" x14ac:dyDescent="0.25">
      <c r="B26" s="500"/>
      <c r="C26" s="500"/>
      <c r="D26" s="500"/>
      <c r="E26" s="498"/>
      <c r="F26" s="498"/>
      <c r="G26" s="498"/>
      <c r="H26" s="498"/>
      <c r="I26" s="498"/>
      <c r="J26" s="498"/>
      <c r="K26" s="498"/>
    </row>
  </sheetData>
  <customSheetViews>
    <customSheetView guid="{18C0F7AC-4BB1-46DE-8A01-8E31FE0585FC}" scale="60" hiddenRows="1" view="pageBreakPreview">
      <selection activeCell="K20" sqref="K20"/>
      <pageMargins left="0.7" right="0.7" top="0.75" bottom="0.75" header="0.3" footer="0.3"/>
      <pageSetup paperSize="9" scale="81" orientation="landscape" r:id="rId1"/>
    </customSheetView>
  </customSheetViews>
  <mergeCells count="22">
    <mergeCell ref="J25:J26"/>
    <mergeCell ref="K25:K26"/>
    <mergeCell ref="B25:D26"/>
    <mergeCell ref="E25:E26"/>
    <mergeCell ref="F25:F26"/>
    <mergeCell ref="G25:G26"/>
    <mergeCell ref="H25:H26"/>
    <mergeCell ref="I25:I26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scale="81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9"/>
  <sheetViews>
    <sheetView rightToLeft="1" zoomScale="70" zoomScaleNormal="70" workbookViewId="0">
      <selection activeCell="Y22" sqref="Y22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4" t="s">
        <v>3</v>
      </c>
      <c r="C2" s="506" t="s">
        <v>84</v>
      </c>
      <c r="D2" s="506"/>
      <c r="E2" s="506"/>
      <c r="F2" s="506"/>
      <c r="G2" s="506" t="s">
        <v>88</v>
      </c>
      <c r="H2" s="506"/>
      <c r="I2" s="506"/>
      <c r="N2" s="501" t="s">
        <v>3</v>
      </c>
      <c r="O2" s="507" t="s">
        <v>85</v>
      </c>
      <c r="P2" s="508"/>
      <c r="Q2" s="508"/>
      <c r="R2" s="508"/>
      <c r="S2" s="508"/>
      <c r="T2" s="509"/>
    </row>
    <row r="3" spans="1:23" ht="15.75" thickBot="1" x14ac:dyDescent="0.25">
      <c r="B3" s="414"/>
      <c r="C3" s="504" t="s">
        <v>82</v>
      </c>
      <c r="D3" s="504"/>
      <c r="E3" s="504"/>
      <c r="F3" s="188" t="s">
        <v>81</v>
      </c>
      <c r="G3" s="504" t="s">
        <v>81</v>
      </c>
      <c r="H3" s="504"/>
      <c r="I3" s="504"/>
      <c r="N3" s="502"/>
      <c r="O3" s="513" t="s">
        <v>87</v>
      </c>
      <c r="P3" s="514"/>
      <c r="Q3" s="515"/>
      <c r="R3" s="513" t="s">
        <v>164</v>
      </c>
      <c r="S3" s="514"/>
      <c r="T3" s="515"/>
    </row>
    <row r="4" spans="1:23" ht="15.75" thickBot="1" x14ac:dyDescent="0.25">
      <c r="A4" s="505"/>
      <c r="B4" s="414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5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34</v>
      </c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>
        <v>17</v>
      </c>
      <c r="N7" s="191" t="s">
        <v>24</v>
      </c>
      <c r="O7" s="189"/>
      <c r="P7" s="189"/>
      <c r="Q7" s="189"/>
      <c r="R7" s="189">
        <v>17</v>
      </c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17</v>
      </c>
      <c r="I8" s="292">
        <v>17</v>
      </c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/>
      <c r="H9" s="184">
        <v>17</v>
      </c>
      <c r="I9" s="226">
        <v>17</v>
      </c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51</v>
      </c>
      <c r="S9" s="5">
        <f t="shared" si="0"/>
        <v>0</v>
      </c>
      <c r="T9" s="5">
        <f t="shared" si="0"/>
        <v>51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>
        <v>34</v>
      </c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>
        <v>17</v>
      </c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/>
      <c r="D14" s="184"/>
      <c r="E14" s="184"/>
      <c r="F14" s="184"/>
      <c r="G14" s="161"/>
      <c r="H14" s="184">
        <v>34</v>
      </c>
      <c r="I14" s="184"/>
      <c r="P14" s="503"/>
      <c r="Q14" s="163" t="s">
        <v>50</v>
      </c>
      <c r="S14" s="163" t="s">
        <v>93</v>
      </c>
      <c r="T14" s="162">
        <f>G22+C34</f>
        <v>51</v>
      </c>
      <c r="U14" s="162">
        <f>H22+D34</f>
        <v>221</v>
      </c>
      <c r="V14" s="162">
        <f>I22</f>
        <v>136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/>
      <c r="I15" s="330">
        <v>34</v>
      </c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170</v>
      </c>
      <c r="V15" s="162">
        <f>D22+P9+G34</f>
        <v>34</v>
      </c>
      <c r="W15" s="162">
        <f>E22+I34+Q9</f>
        <v>204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51</v>
      </c>
      <c r="I16" s="330">
        <v>17</v>
      </c>
      <c r="P16" s="191" t="s">
        <v>31</v>
      </c>
      <c r="Q16" s="305"/>
      <c r="S16" s="163" t="s">
        <v>164</v>
      </c>
      <c r="T16" s="288"/>
      <c r="U16" s="162">
        <f>R9</f>
        <v>51</v>
      </c>
      <c r="V16" s="162">
        <f>S9</f>
        <v>0</v>
      </c>
      <c r="W16" s="162">
        <f>T9</f>
        <v>51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>
        <v>34</v>
      </c>
      <c r="I18" s="330">
        <v>17</v>
      </c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51</v>
      </c>
      <c r="U19" s="162">
        <f>'التمام الصباحي'!L39</f>
        <v>442</v>
      </c>
      <c r="V19" s="162">
        <f>'التمام الصباحي'!R39</f>
        <v>170</v>
      </c>
      <c r="W19" s="162">
        <f>'التمام الصباحي'!X39</f>
        <v>255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442</v>
      </c>
      <c r="V20" s="162">
        <f>D22+I22+G34+P9+S9</f>
        <v>170</v>
      </c>
      <c r="W20" s="162">
        <f>E22+F22+Q9+T9+E34+I34+Q19</f>
        <v>255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SUM(C5:C21)+E49</f>
        <v>153</v>
      </c>
      <c r="D22" s="330">
        <f>SUM(D5:D21)+F49</f>
        <v>17</v>
      </c>
      <c r="E22" s="330">
        <f>SUM(E5:E18)+G49</f>
        <v>187</v>
      </c>
      <c r="F22" s="330">
        <f>SUM(F5:F18)+D49</f>
        <v>0</v>
      </c>
      <c r="G22" s="330">
        <f>SUM(G5:G18)</f>
        <v>51</v>
      </c>
      <c r="H22" s="330">
        <f>SUM(H5:H21)+B49</f>
        <v>221</v>
      </c>
      <c r="I22" s="330">
        <f>SUM(I5:I21)+C49</f>
        <v>136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507" t="s">
        <v>86</v>
      </c>
      <c r="D25" s="508"/>
      <c r="E25" s="508"/>
      <c r="F25" s="508"/>
      <c r="G25" s="508"/>
      <c r="H25" s="508"/>
      <c r="I25" s="509"/>
      <c r="J25" s="300"/>
    </row>
    <row r="26" spans="1:23" ht="17.25" customHeight="1" thickBot="1" x14ac:dyDescent="0.25">
      <c r="B26" s="502"/>
      <c r="C26" s="504" t="s">
        <v>81</v>
      </c>
      <c r="D26" s="504"/>
      <c r="E26" s="504"/>
      <c r="F26" s="504" t="s">
        <v>87</v>
      </c>
      <c r="G26" s="504"/>
      <c r="H26" s="504"/>
      <c r="I26" s="504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>
        <v>17</v>
      </c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SUM(C28:C33)+L49</f>
        <v>0</v>
      </c>
      <c r="D34" s="330">
        <f>SUM(D28:D33)+M49</f>
        <v>0</v>
      </c>
      <c r="E34" s="330">
        <f>SUM(E28:E33)+N49</f>
        <v>0</v>
      </c>
      <c r="F34" s="330">
        <f>SUM(F28:F33)+H49</f>
        <v>17</v>
      </c>
      <c r="G34" s="330">
        <f>SUM(G28:G33)+I49</f>
        <v>17</v>
      </c>
      <c r="H34" s="330">
        <f>SUM(H28:H32)+K49</f>
        <v>0</v>
      </c>
      <c r="I34" s="330">
        <f>SUM(I28:I33)+J49</f>
        <v>17</v>
      </c>
    </row>
    <row r="41" spans="1:14" ht="15" thickBot="1" x14ac:dyDescent="0.25"/>
    <row r="42" spans="1:14" ht="15.75" thickBot="1" x14ac:dyDescent="0.25">
      <c r="A42" s="501" t="s">
        <v>3</v>
      </c>
      <c r="B42" s="510" t="s">
        <v>88</v>
      </c>
      <c r="C42" s="511"/>
      <c r="D42" s="510" t="s">
        <v>84</v>
      </c>
      <c r="E42" s="512"/>
      <c r="F42" s="512"/>
      <c r="G42" s="511"/>
      <c r="H42" s="510" t="s">
        <v>86</v>
      </c>
      <c r="I42" s="512"/>
      <c r="J42" s="512"/>
      <c r="K42" s="512"/>
      <c r="L42" s="512"/>
      <c r="M42" s="512"/>
      <c r="N42" s="511"/>
    </row>
    <row r="43" spans="1:14" ht="15.75" thickBot="1" x14ac:dyDescent="0.25">
      <c r="A43" s="502"/>
      <c r="B43" s="510" t="s">
        <v>81</v>
      </c>
      <c r="C43" s="511"/>
      <c r="D43" s="329" t="s">
        <v>81</v>
      </c>
      <c r="E43" s="510" t="s">
        <v>87</v>
      </c>
      <c r="F43" s="512"/>
      <c r="G43" s="511"/>
      <c r="H43" s="510" t="s">
        <v>87</v>
      </c>
      <c r="I43" s="512"/>
      <c r="J43" s="512"/>
      <c r="K43" s="511"/>
      <c r="L43" s="510" t="s">
        <v>81</v>
      </c>
      <c r="M43" s="512"/>
      <c r="N43" s="511"/>
    </row>
    <row r="44" spans="1:14" ht="15.75" thickBot="1" x14ac:dyDescent="0.25">
      <c r="A44" s="503"/>
      <c r="B44" s="163">
        <v>92</v>
      </c>
      <c r="C44" s="163">
        <v>95</v>
      </c>
      <c r="D44" s="163" t="s">
        <v>50</v>
      </c>
      <c r="E44" s="163">
        <v>92</v>
      </c>
      <c r="F44" s="163">
        <v>95</v>
      </c>
      <c r="G44" s="163" t="s">
        <v>50</v>
      </c>
      <c r="H44" s="163">
        <v>92</v>
      </c>
      <c r="I44" s="163">
        <v>95</v>
      </c>
      <c r="J44" s="163" t="s">
        <v>50</v>
      </c>
      <c r="K44" s="163">
        <v>80</v>
      </c>
      <c r="L44" s="163">
        <v>80</v>
      </c>
      <c r="M44" s="163">
        <v>92</v>
      </c>
      <c r="N44" s="163" t="s">
        <v>50</v>
      </c>
    </row>
    <row r="45" spans="1:14" ht="16.5" thickBot="1" x14ac:dyDescent="0.25">
      <c r="A45" s="362" t="s">
        <v>166</v>
      </c>
      <c r="B45" s="330"/>
      <c r="C45" s="330"/>
      <c r="D45" s="330"/>
      <c r="E45" s="330">
        <v>17</v>
      </c>
      <c r="F45" s="330"/>
      <c r="G45" s="330">
        <v>85</v>
      </c>
      <c r="H45" s="330"/>
      <c r="I45" s="229"/>
      <c r="J45" s="229"/>
      <c r="K45" s="229"/>
      <c r="L45" s="229"/>
      <c r="M45" s="229"/>
      <c r="N45" s="229"/>
    </row>
    <row r="46" spans="1:14" ht="16.5" thickBot="1" x14ac:dyDescent="0.25">
      <c r="A46" s="362" t="s">
        <v>167</v>
      </c>
      <c r="B46" s="330"/>
      <c r="C46" s="330"/>
      <c r="D46" s="330"/>
      <c r="E46" s="330"/>
      <c r="F46" s="330"/>
      <c r="G46" s="330">
        <v>51</v>
      </c>
      <c r="H46" s="330"/>
      <c r="I46" s="229"/>
      <c r="J46" s="229"/>
      <c r="K46" s="229"/>
      <c r="L46" s="229"/>
      <c r="M46" s="229"/>
      <c r="N46" s="229"/>
    </row>
    <row r="47" spans="1:14" ht="16.5" thickBot="1" x14ac:dyDescent="0.25">
      <c r="A47" s="362" t="s">
        <v>32</v>
      </c>
      <c r="B47" s="301"/>
      <c r="C47" s="301"/>
      <c r="D47" s="301"/>
      <c r="E47" s="301">
        <v>17</v>
      </c>
      <c r="F47" s="301"/>
      <c r="G47" s="301">
        <v>34</v>
      </c>
      <c r="H47" s="301"/>
      <c r="I47" s="229"/>
      <c r="J47" s="229"/>
      <c r="K47" s="229"/>
      <c r="L47" s="229"/>
      <c r="M47" s="229"/>
      <c r="N47" s="229"/>
    </row>
    <row r="48" spans="1:14" ht="16.5" thickBot="1" x14ac:dyDescent="0.25">
      <c r="A48" s="362" t="s">
        <v>33</v>
      </c>
      <c r="B48" s="230"/>
      <c r="C48" s="230"/>
      <c r="D48" s="230"/>
      <c r="E48" s="230"/>
      <c r="F48" s="230"/>
      <c r="G48" s="230"/>
      <c r="H48" s="230"/>
      <c r="I48" s="229"/>
      <c r="J48" s="229"/>
      <c r="K48" s="229"/>
      <c r="L48" s="229"/>
      <c r="M48" s="229"/>
      <c r="N48" s="229"/>
    </row>
    <row r="49" spans="1:14" ht="15.75" thickBot="1" x14ac:dyDescent="0.25">
      <c r="A49" s="319" t="s">
        <v>172</v>
      </c>
      <c r="B49" s="313">
        <f t="shared" ref="B49:I49" si="2">SUM(B45:B48)</f>
        <v>0</v>
      </c>
      <c r="C49" s="313">
        <f t="shared" si="2"/>
        <v>0</v>
      </c>
      <c r="D49" s="313">
        <f t="shared" si="2"/>
        <v>0</v>
      </c>
      <c r="E49" s="313">
        <f t="shared" si="2"/>
        <v>34</v>
      </c>
      <c r="F49" s="313">
        <f t="shared" si="2"/>
        <v>0</v>
      </c>
      <c r="G49" s="313">
        <f t="shared" si="2"/>
        <v>170</v>
      </c>
      <c r="H49" s="313">
        <f t="shared" si="2"/>
        <v>0</v>
      </c>
      <c r="I49" s="313">
        <f t="shared" si="2"/>
        <v>0</v>
      </c>
      <c r="J49" s="363">
        <f>SUM(J45:J48)</f>
        <v>0</v>
      </c>
      <c r="K49" s="363">
        <f>SUM(K45:K48)</f>
        <v>0</v>
      </c>
      <c r="L49" s="363">
        <f>SUM(L45:L48)</f>
        <v>0</v>
      </c>
      <c r="M49" s="363">
        <f>SUM(M45:M48)</f>
        <v>0</v>
      </c>
      <c r="N49" s="363">
        <f>SUM(N45:N48)</f>
        <v>0</v>
      </c>
    </row>
  </sheetData>
  <customSheetViews>
    <customSheetView guid="{18C0F7AC-4BB1-46DE-8A01-8E31FE0585FC}" scale="70">
      <selection activeCell="Y22" sqref="Y22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43:C43"/>
    <mergeCell ref="D42:G42"/>
    <mergeCell ref="E43:G43"/>
    <mergeCell ref="B42:C42"/>
    <mergeCell ref="N2:N4"/>
    <mergeCell ref="O3:Q3"/>
    <mergeCell ref="B25:B27"/>
    <mergeCell ref="C26:E26"/>
    <mergeCell ref="R3:T3"/>
    <mergeCell ref="P12:P14"/>
    <mergeCell ref="C2:F2"/>
    <mergeCell ref="H42:N42"/>
    <mergeCell ref="L43:N43"/>
    <mergeCell ref="H43:K43"/>
    <mergeCell ref="A42:A44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9" t="s">
        <v>159</v>
      </c>
      <c r="E5" s="529"/>
      <c r="F5" s="529"/>
      <c r="G5" s="529"/>
      <c r="H5" s="529"/>
      <c r="Q5" s="530" t="s">
        <v>118</v>
      </c>
      <c r="R5" s="530"/>
      <c r="S5" s="530"/>
      <c r="T5" s="530"/>
      <c r="U5" s="530"/>
    </row>
    <row r="6" spans="4:24" ht="15.75" hidden="1" customHeight="1" thickBot="1" x14ac:dyDescent="0.25">
      <c r="D6" s="531" t="s">
        <v>3</v>
      </c>
      <c r="E6" s="258">
        <v>80</v>
      </c>
      <c r="F6" s="232">
        <v>92</v>
      </c>
      <c r="G6" s="232">
        <v>95</v>
      </c>
      <c r="H6" s="232" t="s">
        <v>50</v>
      </c>
      <c r="K6" s="402" t="s">
        <v>3</v>
      </c>
      <c r="L6" s="231">
        <v>80</v>
      </c>
      <c r="M6" s="231">
        <v>92</v>
      </c>
      <c r="N6" s="231">
        <v>95</v>
      </c>
      <c r="O6" s="231" t="s">
        <v>50</v>
      </c>
      <c r="Q6" s="402" t="s">
        <v>3</v>
      </c>
      <c r="R6" s="533" t="s">
        <v>95</v>
      </c>
      <c r="S6" s="533" t="s">
        <v>96</v>
      </c>
      <c r="T6" s="533" t="s">
        <v>97</v>
      </c>
      <c r="U6" s="535" t="s">
        <v>98</v>
      </c>
      <c r="W6" s="402" t="s">
        <v>99</v>
      </c>
      <c r="X6" s="402" t="s">
        <v>100</v>
      </c>
    </row>
    <row r="7" spans="4:24" ht="15.75" hidden="1" customHeight="1" thickBot="1" x14ac:dyDescent="0.25">
      <c r="D7" s="532"/>
      <c r="E7" s="258" t="s">
        <v>7</v>
      </c>
      <c r="F7" s="232" t="s">
        <v>7</v>
      </c>
      <c r="G7" s="232" t="s">
        <v>7</v>
      </c>
      <c r="H7" s="232" t="s">
        <v>7</v>
      </c>
      <c r="K7" s="402"/>
      <c r="L7" s="201" t="s">
        <v>7</v>
      </c>
      <c r="M7" s="201" t="s">
        <v>7</v>
      </c>
      <c r="N7" s="201" t="s">
        <v>7</v>
      </c>
      <c r="O7" s="201" t="s">
        <v>7</v>
      </c>
      <c r="Q7" s="402"/>
      <c r="R7" s="534"/>
      <c r="S7" s="534"/>
      <c r="T7" s="534"/>
      <c r="U7" s="535"/>
      <c r="W7" s="402"/>
      <c r="X7" s="402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6" t="s">
        <v>101</v>
      </c>
      <c r="X8" s="519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7"/>
      <c r="X9" s="520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6">
        <f>IF((ROUNDDOWN((SUM(M10:M11)/51)-(R10+R11),0.9))&lt;0,0,(ROUNDDOWN((SUM(M10:M11)/51)-(R10+R11),0.9)))</f>
        <v>0</v>
      </c>
      <c r="T10" s="516">
        <f>IF((ROUNDDOWN((SUM(O10:O11)/51)-(R10+R11),0.9))&lt;0,0,(ROUNDDOWN((SUM(O10:O11)/51)-(R10+R11),0.9)))</f>
        <v>0</v>
      </c>
      <c r="U10" s="516">
        <f>IF((ROUNDDOWN((SUM(L10:O11)/51)-(R10+R11+S10+T10),0.9))&lt;0,0,ROUNDDOWN((SUM(L10:O11)/51)-(R10+R11+S10+T10),0.9))</f>
        <v>0</v>
      </c>
      <c r="W10" s="527"/>
      <c r="X10" s="520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7"/>
      <c r="T11" s="517"/>
      <c r="U11" s="517"/>
      <c r="W11" s="527"/>
      <c r="X11" s="520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22">
        <f>IF((ROUNDDOWN((SUM(M12:M13)/51)-(R12+R13),0.9))&lt;0,0,(ROUNDDOWN((SUM(M12:M13)/51)-(R12+R13),0.9)))</f>
        <v>0</v>
      </c>
      <c r="T12" s="522">
        <f t="shared" ref="T12" si="3">IF((ROUNDDOWN((SUM(O12:O13)/51)-(R12+R13),0.9))&lt;0,0,(ROUNDDOWN((SUM(O12:O13)/51)-(R12+R13),0.9)))</f>
        <v>0</v>
      </c>
      <c r="U12" s="522">
        <f t="shared" ref="U12" si="4">IF((ROUNDDOWN((SUM(L12:O13)/51)-(R12+R13+S12+T12),0.9))&lt;0,0,ROUNDDOWN((SUM(L12:O13)/51)-(R12+R13+S12+T12),0.9))</f>
        <v>0</v>
      </c>
      <c r="W12" s="527"/>
      <c r="X12" s="520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22"/>
      <c r="T13" s="522"/>
      <c r="U13" s="522"/>
      <c r="W13" s="527"/>
      <c r="X13" s="520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6">
        <f>IF((ROUNDDOWN((SUM(M14:M15)/51)-(R14+R15),0.9))&lt;0,0,(ROUNDDOWN((SUM(M14:M15)/51)-(R14+R15),0.9)))</f>
        <v>0</v>
      </c>
      <c r="T14" s="516">
        <f t="shared" ref="T14" si="5">IF((ROUNDDOWN((SUM(O14:O15)/51)-(R14+R15),0.9))&lt;0,0,(ROUNDDOWN((SUM(O14:O15)/51)-(R14+R15),0.9)))</f>
        <v>0</v>
      </c>
      <c r="U14" s="516">
        <f t="shared" ref="U14" si="6">IF((ROUNDDOWN((SUM(L14:O15)/51)-(R14+R15+S14+T14),0.9))&lt;0,0,ROUNDDOWN((SUM(L14:O15)/51)-(R14+R15+S14+T14),0.9))</f>
        <v>0</v>
      </c>
      <c r="W14" s="527"/>
      <c r="X14" s="520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7"/>
      <c r="T15" s="517"/>
      <c r="U15" s="517"/>
      <c r="W15" s="528"/>
      <c r="X15" s="521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8" t="s">
        <v>85</v>
      </c>
      <c r="X16" s="536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23">
        <f>IF((ROUNDDOWN((SUM(M17:M18)/51)-(R17+R18),0.9))&lt;0,0,(ROUNDDOWN((SUM(M17:M18)/51)-(R17+R18),0.9)))</f>
        <v>0</v>
      </c>
      <c r="T17" s="523">
        <f>IF((ROUNDDOWN((SUM(O17:O18)/51)-(R17+R18),0.9))&lt;0,0,(ROUNDDOWN((SUM(O17:O18)/51)-(R17+R18),0.9)))</f>
        <v>0</v>
      </c>
      <c r="U17" s="523">
        <f>IF((ROUNDDOWN((SUM(L17:O18)/51)-(R17+R18+S17+T17),0.9))&lt;0,0,ROUNDDOWN((SUM(L17:O18)/51)-(R17+R18+S17+T17),0.9))</f>
        <v>0</v>
      </c>
      <c r="W17" s="518"/>
      <c r="X17" s="536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4"/>
      <c r="T18" s="524"/>
      <c r="U18" s="524"/>
      <c r="W18" s="518"/>
      <c r="X18" s="536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8"/>
      <c r="X19" s="536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6">
        <f>IF((ROUNDDOWN((SUM(M20:M21)/51)-(R20+R21),0.9))&lt;0,0,(ROUNDDOWN((SUM(M20:M21)/51)-(R20+R21),0.9)))</f>
        <v>0</v>
      </c>
      <c r="T20" s="516">
        <f>IF((ROUNDDOWN((SUM(O20:O21)/51)-(R20+R21),0.9))&lt;0,0,(ROUNDDOWN((SUM(O20:O21)/51)-(R20+R21),0.9)))</f>
        <v>0</v>
      </c>
      <c r="U20" s="516">
        <f>IF((ROUNDDOWN((SUM(L20:O21)/51)-(R20+R21+S20+T20),0.9))&lt;0,0,ROUNDDOWN((SUM(L20:O21)/51)-(R20+R21+S20+T20),0.9))</f>
        <v>0</v>
      </c>
      <c r="W20" s="518" t="s">
        <v>102</v>
      </c>
      <c r="X20" s="536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7"/>
      <c r="T21" s="517"/>
      <c r="U21" s="517"/>
      <c r="W21" s="518"/>
      <c r="X21" s="536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22">
        <f>IF((ROUNDDOWN((SUM(M22:M23)/51)-(R22+R23),0.9))&lt;0,0,(ROUNDDOWN((SUM(M22:M23)/51)-(R22+R23),0.9)))</f>
        <v>0</v>
      </c>
      <c r="T22" s="523">
        <f>IF((ROUNDDOWN((SUM(O22:O23)/51)-(R22+R23),0.9))&lt;0,0,(ROUNDDOWN((SUM(O22:O23)/51)-(R22+R23),0.9)))</f>
        <v>0</v>
      </c>
      <c r="U22" s="523">
        <f t="shared" ref="U22" si="7">IF((ROUNDDOWN((SUM(L22:O23)/51)-(R22+R23+S22+T22),0.9))&lt;0,0,ROUNDDOWN((SUM(L22:O23)/51)-(R22+R23+S22+T22),0.9))</f>
        <v>0</v>
      </c>
      <c r="W22" s="518"/>
      <c r="X22" s="536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22"/>
      <c r="T23" s="524"/>
      <c r="U23" s="524"/>
      <c r="W23" s="518"/>
      <c r="X23" s="536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6">
        <f>IF((ROUNDDOWN((SUM(M24:M25)/51)-(R24+R25),0.9))&lt;0,0,(ROUNDDOWN((SUM(M24:M25)/51)-(R24+R25),0.9)))</f>
        <v>0</v>
      </c>
      <c r="T24" s="516">
        <f>IF((ROUNDDOWN((SUM(O24:O25)/51)-(R24+R25),0.9))&lt;0,0,(ROUNDDOWN((SUM(O24:O25)/51)-(R24+R25),0.9)))</f>
        <v>0</v>
      </c>
      <c r="U24" s="516">
        <f t="shared" ref="U24" si="8">IF((ROUNDDOWN((SUM(L24:O25)/51)-(R24+R25+S24+T24),0.9))&lt;0,0,ROUNDDOWN((SUM(L24:O25)/51)-(R24+R25+S24+T24),0.9))</f>
        <v>0</v>
      </c>
      <c r="W24" s="518" t="s">
        <v>90</v>
      </c>
      <c r="X24" s="536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7"/>
      <c r="T25" s="517"/>
      <c r="U25" s="517"/>
      <c r="W25" s="518"/>
      <c r="X25" s="536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22">
        <f>IF((ROUNDDOWN((SUM(M26:M27)/51)-(R26+R27),0.9))&lt;0,0,(ROUNDDOWN((SUM(M26:M27)/51)-(R26+R27),0.9)))</f>
        <v>0</v>
      </c>
      <c r="T26" s="522">
        <f>IF((ROUNDDOWN((SUM(O26:O27)/51)-(R26+R27),0.9))&lt;0,0,(ROUNDDOWN((SUM(O26:O27)/51)-(R26+R27),0.9)))</f>
        <v>0</v>
      </c>
      <c r="U26" s="522">
        <f t="shared" ref="U26" si="10">IF((ROUNDDOWN((SUM(L26:O27)/51)-(R26+R27+S26+T26),0.9))&lt;0,0,ROUNDDOWN((SUM(L26:O27)/51)-(R26+R27+S26+T26),0.9))</f>
        <v>0</v>
      </c>
      <c r="W26" s="518"/>
      <c r="X26" s="536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5"/>
      <c r="T27" s="525"/>
      <c r="U27" s="525"/>
      <c r="W27" s="518"/>
      <c r="X27" s="536"/>
    </row>
    <row r="28" spans="4:24" ht="14.25" hidden="1" customHeight="1" x14ac:dyDescent="0.2"/>
    <row r="29" spans="4:24" ht="21" thickBot="1" x14ac:dyDescent="0.35">
      <c r="D29" s="529"/>
      <c r="E29" s="529"/>
      <c r="F29" s="529"/>
      <c r="G29" s="529"/>
      <c r="H29" s="529"/>
      <c r="Q29" s="530" t="s">
        <v>118</v>
      </c>
      <c r="R29" s="530"/>
      <c r="S29" s="530"/>
      <c r="T29" s="530"/>
      <c r="U29" s="530"/>
    </row>
    <row r="30" spans="4:24" ht="15.75" thickBot="1" x14ac:dyDescent="0.25">
      <c r="D30" s="531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402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402" t="s">
        <v>3</v>
      </c>
      <c r="R30" s="533" t="s">
        <v>95</v>
      </c>
      <c r="S30" s="533" t="s">
        <v>96</v>
      </c>
      <c r="T30" s="533" t="s">
        <v>97</v>
      </c>
      <c r="U30" s="535" t="s">
        <v>98</v>
      </c>
      <c r="W30" s="402" t="s">
        <v>99</v>
      </c>
      <c r="X30" s="402" t="s">
        <v>100</v>
      </c>
    </row>
    <row r="31" spans="4:24" ht="15.75" thickBot="1" x14ac:dyDescent="0.25">
      <c r="D31" s="532"/>
      <c r="E31" s="258" t="s">
        <v>7</v>
      </c>
      <c r="F31" s="232" t="s">
        <v>7</v>
      </c>
      <c r="G31" s="232" t="s">
        <v>7</v>
      </c>
      <c r="H31" s="232" t="s">
        <v>7</v>
      </c>
      <c r="K31" s="402"/>
      <c r="L31" s="201" t="s">
        <v>7</v>
      </c>
      <c r="M31" s="201" t="s">
        <v>7</v>
      </c>
      <c r="N31" s="201" t="s">
        <v>7</v>
      </c>
      <c r="O31" s="201" t="s">
        <v>7</v>
      </c>
      <c r="Q31" s="402"/>
      <c r="R31" s="534"/>
      <c r="S31" s="534"/>
      <c r="T31" s="534"/>
      <c r="U31" s="535"/>
      <c r="W31" s="402"/>
      <c r="X31" s="402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32</v>
      </c>
      <c r="G32" s="194">
        <f>'التمام الصباحي'!Q8+'التمام الصباحي'!S8</f>
        <v>20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17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6" t="s">
        <v>101</v>
      </c>
      <c r="X32" s="519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51</v>
      </c>
      <c r="G33" s="194">
        <f>'التمام الصباحي'!Q9+'التمام الصباحي'!S9</f>
        <v>9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0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7"/>
      <c r="X33" s="520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64</v>
      </c>
      <c r="F34" s="194">
        <f>'التمام الصباحي'!K10+'التمام الصباحي'!M10</f>
        <v>31</v>
      </c>
      <c r="G34" s="194">
        <f>'التمام الصباحي'!Q10+'التمام الصباحي'!S10</f>
        <v>7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17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6">
        <f>IF((ROUNDDOWN((SUM(M34:M35)/51)-(R34+R35),0.9))&lt;0,0,(ROUNDDOWN((SUM(M34:M35)/51)-(R34+R35),0.9)))</f>
        <v>0</v>
      </c>
      <c r="T34" s="516">
        <f>IF((ROUNDDOWN((SUM(O34:O35)/51)-(R34+R35),0.9))&lt;0,0,(ROUNDDOWN((SUM(O34:O35)/51)-(R34+R35),0.9)))</f>
        <v>0</v>
      </c>
      <c r="U34" s="516">
        <f>IF((ROUNDDOWN((SUM(L34:O35)/51)-(R34+R35+S34+T34),0.9))&lt;0,0,ROUNDDOWN((SUM(L34:O35)/51)-(R34+R35+S34+T34),0.9))</f>
        <v>0</v>
      </c>
      <c r="W34" s="527"/>
      <c r="X34" s="520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6</v>
      </c>
      <c r="F35" s="194">
        <f>'التمام الصباحي'!K11+'التمام الصباحي'!M11</f>
        <v>41</v>
      </c>
      <c r="G35" s="194">
        <f>'التمام الصباحي'!Q11+'التمام الصباحي'!S11</f>
        <v>13</v>
      </c>
      <c r="H35" s="194">
        <f>'التمام الصباحي'!W11+'التمام الصباحي'!Y11</f>
        <v>22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0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7"/>
      <c r="T35" s="517"/>
      <c r="U35" s="517"/>
      <c r="W35" s="527"/>
      <c r="X35" s="520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65</v>
      </c>
      <c r="G36" s="194">
        <f>'التمام الصباحي'!Q12+'التمام الصباحي'!S12</f>
        <v>18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22">
        <f>IF((ROUNDDOWN((SUM(M36:M37)/51)-(R36+R37),0.9))&lt;0,0,(ROUNDDOWN((SUM(M36:M37)/51)-(R36+R37),0.9)))</f>
        <v>0</v>
      </c>
      <c r="T36" s="522">
        <f t="shared" ref="T36" si="15">IF((ROUNDDOWN((SUM(O36:O37)/51)-(R36+R37),0.9))&lt;0,0,(ROUNDDOWN((SUM(O36:O37)/51)-(R36+R37),0.9)))</f>
        <v>0</v>
      </c>
      <c r="U36" s="522">
        <f t="shared" ref="U36" si="16">IF((ROUNDDOWN((SUM(L36:O37)/51)-(R36+R37+S36+T36),0.9))&lt;0,0,ROUNDDOWN((SUM(L36:O37)/51)-(R36+R37+S36+T36),0.9))</f>
        <v>1</v>
      </c>
      <c r="W36" s="527"/>
      <c r="X36" s="520"/>
    </row>
    <row r="37" spans="3:24" ht="16.5" thickBot="1" x14ac:dyDescent="0.3">
      <c r="D37" s="233" t="s">
        <v>18</v>
      </c>
      <c r="E37" s="194">
        <f>'التمام الصباحي'!E13+'التمام الصباحي'!G13</f>
        <v>16</v>
      </c>
      <c r="F37" s="194">
        <f>'التمام الصباحي'!K13+'التمام الصباحي'!M13</f>
        <v>41</v>
      </c>
      <c r="G37" s="295"/>
      <c r="H37" s="194">
        <f>'التمام الصباحي'!W13+'التمام الصباحي'!Y13</f>
        <v>9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0</v>
      </c>
      <c r="P37" s="236"/>
      <c r="Q37" s="248" t="s">
        <v>19</v>
      </c>
      <c r="R37" s="249">
        <f t="shared" si="11"/>
        <v>0</v>
      </c>
      <c r="S37" s="522"/>
      <c r="T37" s="522"/>
      <c r="U37" s="522"/>
      <c r="W37" s="527"/>
      <c r="X37" s="520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25</v>
      </c>
      <c r="F38" s="194">
        <f>'التمام الصباحي'!K14+'التمام الصباحي'!M14</f>
        <v>38</v>
      </c>
      <c r="G38" s="295"/>
      <c r="H38" s="194">
        <f>'التمام الصباحي'!W14+'التمام الصباحي'!Y14</f>
        <v>43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6">
        <f>IF((ROUNDDOWN((SUM(M38:M39)/51)-(R38+R39),0.9))&lt;0,0,(ROUNDDOWN((SUM(M38:M39)/51)-(R38+R39),0.9)))</f>
        <v>0</v>
      </c>
      <c r="T38" s="516">
        <f t="shared" ref="T38" si="18">IF((ROUNDDOWN((SUM(O38:O39)/51)-(R38+R39),0.9))&lt;0,0,(ROUNDDOWN((SUM(O38:O39)/51)-(R38+R39),0.9)))</f>
        <v>0</v>
      </c>
      <c r="U38" s="516">
        <f t="shared" ref="U38" si="19">IF((ROUNDDOWN((SUM(L38:O39)/51)-(R38+R39+S38+T38),0.9))&lt;0,0,ROUNDDOWN((SUM(L38:O39)/51)-(R38+R39+S38+T38),0.9))</f>
        <v>1</v>
      </c>
      <c r="W38" s="527"/>
      <c r="X38" s="520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82</v>
      </c>
      <c r="G39" s="194">
        <f>'التمام الصباحي'!Q15+'التمام الصباحي'!S15</f>
        <v>33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7"/>
      <c r="T39" s="517"/>
      <c r="U39" s="517"/>
      <c r="W39" s="528"/>
      <c r="X39" s="521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75</v>
      </c>
      <c r="G40" s="194">
        <f>'التمام الصباحي'!Q16+'التمام الصباحي'!S16</f>
        <v>22</v>
      </c>
      <c r="H40" s="194">
        <f>'التمام الصباحي'!W16+'التمام الصباحي'!Y16</f>
        <v>40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8" t="s">
        <v>85</v>
      </c>
      <c r="X40" s="519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13</v>
      </c>
      <c r="H41" s="194">
        <f>'التمام الصباحي'!W17+'التمام الصباحي'!Y17</f>
        <v>71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68</v>
      </c>
      <c r="P41" s="236"/>
      <c r="Q41" s="246" t="s">
        <v>23</v>
      </c>
      <c r="R41" s="247">
        <f t="shared" si="11"/>
        <v>1</v>
      </c>
      <c r="S41" s="523">
        <f>IF((ROUNDDOWN((SUM(M41:M42)/51)-(R41+R42),0.9))&lt;0,0,(ROUNDDOWN((SUM(M41:M42)/51)-(R41+R42),0.9)))</f>
        <v>0</v>
      </c>
      <c r="T41" s="523">
        <f>IF((ROUNDDOWN((SUM(O41:O42)/51)-(R41+R42),0.9))&lt;0,0,(ROUNDDOWN((SUM(O41:O42)/51)-(R41+R42),0.9)))</f>
        <v>0</v>
      </c>
      <c r="U41" s="523">
        <f>IF((ROUNDDOWN((SUM(L41:O42)/51)-(R41+R42+S41+T41),0.9))&lt;0,0,ROUNDDOWN((SUM(L41:O42)/51)-(R41+R42+S41+T41),0.9))</f>
        <v>0</v>
      </c>
      <c r="W41" s="518"/>
      <c r="X41" s="520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49</v>
      </c>
      <c r="G42" s="194">
        <f>'التمام الصباحي'!Q18+'التمام الصباحي'!S18</f>
        <v>20</v>
      </c>
      <c r="H42" s="194">
        <f>'التمام الصباحي'!W18+'التمام الصباحي'!Y18</f>
        <v>16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0</v>
      </c>
      <c r="P42" s="236"/>
      <c r="Q42" s="248" t="s">
        <v>24</v>
      </c>
      <c r="R42" s="249">
        <f t="shared" si="11"/>
        <v>1</v>
      </c>
      <c r="S42" s="524"/>
      <c r="T42" s="524"/>
      <c r="U42" s="524"/>
      <c r="W42" s="518"/>
      <c r="X42" s="520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24</v>
      </c>
      <c r="G43" s="194">
        <f>'التمام الصباحي'!Q19+'التمام الصباحي'!S19</f>
        <v>18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8"/>
      <c r="X43" s="521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19</v>
      </c>
      <c r="G44" s="194">
        <f>'التمام الصباحي'!Q20+'التمام الصباحي'!S20</f>
        <v>17</v>
      </c>
      <c r="H44" s="194">
        <f>'التمام الصباحي'!W20+'التمام الصباحي'!Y20</f>
        <v>43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6">
        <f>IF((ROUNDDOWN((SUM(M44:M45)/51)-(R44+R45),0.9))&lt;0,0,(ROUNDDOWN((SUM(M44:M45)/51)-(R44+R45),0.9)))</f>
        <v>0</v>
      </c>
      <c r="T44" s="516">
        <f>IF((ROUNDDOWN((SUM(O44:O45)/51)-(R44+R45),0.9))&lt;0,0,(ROUNDDOWN((SUM(O44:O45)/51)-(R44+R45),0.9)))</f>
        <v>0</v>
      </c>
      <c r="U44" s="516">
        <f>IF((ROUNDDOWN((SUM(L44:O45)/51)-(R44+R45+S44+T44),0.9))&lt;0,0,ROUNDDOWN((SUM(L44:O45)/51)-(R44+R45+S44+T44),0.9))</f>
        <v>0</v>
      </c>
      <c r="W44" s="518" t="s">
        <v>102</v>
      </c>
      <c r="X44" s="519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54</v>
      </c>
      <c r="G45" s="194">
        <f>'التمام الصباحي'!Q21+'التمام الصباحي'!S21</f>
        <v>31</v>
      </c>
      <c r="H45" s="194">
        <f>'التمام الصباحي'!W21+'التمام الصباحي'!Y21</f>
        <v>60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7"/>
      <c r="T45" s="517"/>
      <c r="U45" s="517"/>
      <c r="W45" s="518"/>
      <c r="X45" s="520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23</v>
      </c>
      <c r="G46" s="194">
        <f>'التمام الصباحي'!Q22+'التمام الصباحي'!S22</f>
        <v>16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22">
        <f>IF((ROUNDDOWN((SUM(M46:M47)/51)-(R46+R47),0.9))&lt;0,0,(ROUNDDOWN((SUM(M46:M47)/51)-(R46+R47),0.9)))</f>
        <v>0</v>
      </c>
      <c r="T46" s="523">
        <f>IF((ROUNDDOWN((SUM(O46:O47)/51)-(R46+R47),0.9))&lt;0,0,(ROUNDDOWN((SUM(O46:O47)/51)-(R46+R47),0.9)))</f>
        <v>0</v>
      </c>
      <c r="U46" s="523">
        <f t="shared" ref="U46" si="20">IF((ROUNDDOWN((SUM(L46:O47)/51)-(R46+R47+S46+T46),0.9))&lt;0,0,ROUNDDOWN((SUM(L46:O47)/51)-(R46+R47+S46+T46),0.9))</f>
        <v>0</v>
      </c>
      <c r="W46" s="518"/>
      <c r="X46" s="520"/>
    </row>
    <row r="47" spans="3:24" ht="16.5" thickBot="1" x14ac:dyDescent="0.3">
      <c r="D47" s="233" t="s">
        <v>28</v>
      </c>
      <c r="E47" s="194">
        <f>'التمام الصباحي'!E23+'التمام الصباحي'!G23</f>
        <v>1.6</v>
      </c>
      <c r="F47" s="194">
        <f>'التمام الصباحي'!K23+'التمام الصباحي'!M23</f>
        <v>11</v>
      </c>
      <c r="G47" s="295"/>
      <c r="H47" s="194">
        <f>'التمام الصباحي'!W23+'التمام الصباحي'!Y23</f>
        <v>21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22"/>
      <c r="T47" s="524"/>
      <c r="U47" s="524"/>
      <c r="W47" s="518"/>
      <c r="X47" s="521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13</v>
      </c>
      <c r="G48" s="295"/>
      <c r="H48" s="194">
        <f>'التمام الصباحي'!W24+'التمام الصباحي'!Y24</f>
        <v>19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6">
        <f>IF((ROUNDDOWN((SUM(M48:M49)/51)-(R48+R49),0.9))&lt;0,0,(ROUNDDOWN((SUM(M48:M49)/51)-(R48+R49),0.9)))</f>
        <v>0</v>
      </c>
      <c r="T48" s="516">
        <f>IF((ROUNDDOWN((SUM(O48:O49)/51)-(R48+R49),0.9))&lt;0,0,(ROUNDDOWN((SUM(O48:O49)/51)-(R48+R49),0.9)))</f>
        <v>0</v>
      </c>
      <c r="U48" s="516">
        <f t="shared" ref="U48" si="22">IF((ROUNDDOWN((SUM(L48:O49)/51)-(R48+R49+S48+T48),0.9))&lt;0,0,ROUNDDOWN((SUM(L48:O49)/51)-(R48+R49+S48+T48),0.9))</f>
        <v>0</v>
      </c>
      <c r="W48" s="518" t="s">
        <v>90</v>
      </c>
      <c r="X48" s="519">
        <f>SUM(R48:U51)/3</f>
        <v>1.6666666666666667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35</v>
      </c>
      <c r="G49" s="194">
        <f>'التمام الصباحي'!Q25+'التمام الصباحي'!S25</f>
        <v>17</v>
      </c>
      <c r="H49" s="194">
        <f>'التمام الصباحي'!W25+'التمام الصباحي'!Y25</f>
        <v>79</v>
      </c>
      <c r="K49" s="233" t="s">
        <v>30</v>
      </c>
      <c r="L49" s="234"/>
      <c r="M49" s="235">
        <f t="shared" si="12"/>
        <v>34</v>
      </c>
      <c r="N49" s="235">
        <f t="shared" si="13"/>
        <v>17</v>
      </c>
      <c r="O49" s="235">
        <f t="shared" si="21"/>
        <v>68</v>
      </c>
      <c r="P49" s="236"/>
      <c r="Q49" s="244" t="s">
        <v>31</v>
      </c>
      <c r="R49" s="245">
        <f t="shared" si="11"/>
        <v>2</v>
      </c>
      <c r="S49" s="517"/>
      <c r="T49" s="517"/>
      <c r="U49" s="517"/>
      <c r="W49" s="518"/>
      <c r="X49" s="520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27</v>
      </c>
      <c r="G50" s="194">
        <f>'التمام الصباحي'!Q26+'التمام الصباحي'!S26</f>
        <v>14</v>
      </c>
      <c r="H50" s="194">
        <f>'التمام الصباحي'!W26+'التمام الصباحي'!Y26</f>
        <v>91</v>
      </c>
      <c r="K50" s="233" t="s">
        <v>31</v>
      </c>
      <c r="L50" s="234"/>
      <c r="M50" s="235">
        <f t="shared" si="12"/>
        <v>17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22">
        <f>IF((ROUNDDOWN((SUM(M50:M51)/51)-(R50+R51),0.9))&lt;0,0,(ROUNDDOWN((SUM(M50:M51)/51)-(R50+R51),0.9)))</f>
        <v>0</v>
      </c>
      <c r="T50" s="522">
        <f>IF((ROUNDDOWN((SUM(O50:O51)/51)-(R50+R51),0.9))&lt;0,0,(ROUNDDOWN((SUM(O50:O51)/51)-(R50+R51),0.9)))</f>
        <v>0</v>
      </c>
      <c r="U50" s="522">
        <f t="shared" ref="U50" si="23">IF((ROUNDDOWN((SUM(L50:O51)/51)-(R50+R51+S50+T50),0.9))&lt;0,0,ROUNDDOWN((SUM(L50:O51)/51)-(R50+R51+S50+T50),0.9))</f>
        <v>0</v>
      </c>
      <c r="W50" s="518"/>
      <c r="X50" s="520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32</v>
      </c>
      <c r="G51" s="194">
        <f>'التمام الصباحي'!Q27+'التمام الصباحي'!S27</f>
        <v>5</v>
      </c>
      <c r="H51" s="194">
        <f>'التمام الصباحي'!W27+'التمام الصباحي'!Y27</f>
        <v>52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25"/>
      <c r="T51" s="525"/>
      <c r="U51" s="525"/>
      <c r="W51" s="518"/>
      <c r="X51" s="521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14</v>
      </c>
      <c r="G52" s="194">
        <f>'التمام الصباحي'!Q28+'التمام الصباحي'!S28</f>
        <v>16</v>
      </c>
      <c r="H52" s="194">
        <f>'التمام الصباحي'!W28+'التمام الصباحي'!Y28</f>
        <v>40</v>
      </c>
      <c r="K52" s="233" t="s">
        <v>33</v>
      </c>
      <c r="L52" s="234"/>
      <c r="M52" s="235">
        <f t="shared" si="12"/>
        <v>0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23</v>
      </c>
      <c r="F53" s="194">
        <f>'التمام الصباحي'!K29+'التمام الصباحي'!M29</f>
        <v>14</v>
      </c>
      <c r="G53" s="194">
        <f>'التمام الصباحي'!Q29+'التمام الصباحي'!S29</f>
        <v>8</v>
      </c>
      <c r="H53" s="194">
        <f>'التمام الصباحي'!W29+'التمام الصباحي'!Y29</f>
        <v>30</v>
      </c>
      <c r="K53" s="233" t="s">
        <v>112</v>
      </c>
      <c r="L53" s="235">
        <f t="shared" si="14"/>
        <v>17</v>
      </c>
      <c r="M53" s="235">
        <f t="shared" si="12"/>
        <v>0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12</v>
      </c>
      <c r="G54" s="194">
        <f>'التمام الصباحي'!Q30+'التمام الصباحي'!S30</f>
        <v>12</v>
      </c>
      <c r="H54" s="354"/>
      <c r="K54" s="233" t="s">
        <v>121</v>
      </c>
      <c r="L54" s="234"/>
      <c r="M54" s="235">
        <f t="shared" si="12"/>
        <v>0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42</v>
      </c>
      <c r="G55" s="194">
        <f>'التمام الصباحي'!Q31+'التمام الصباحي'!S31</f>
        <v>36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34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73</v>
      </c>
      <c r="G56" s="194">
        <f>'التمام الصباحي'!Q32+'التمام الصباحي'!S32</f>
        <v>41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62</v>
      </c>
      <c r="G57" s="194">
        <f>'التمام الصباحي'!Q33+'التمام الصباحي'!S33</f>
        <v>19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58</v>
      </c>
      <c r="G58" s="194">
        <f>'التمام الصباحي'!Q34+'التمام الصباحي'!S34</f>
        <v>19</v>
      </c>
      <c r="H58" s="354"/>
      <c r="K58" s="318" t="s">
        <v>171</v>
      </c>
      <c r="L58" s="234"/>
      <c r="M58" s="235">
        <f t="shared" si="12"/>
        <v>51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1.6666666666666667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2019-09-28T08:55:34Z</cp:lastPrinted>
  <dcterms:created xsi:type="dcterms:W3CDTF">2018-10-24T15:18:02Z</dcterms:created>
  <dcterms:modified xsi:type="dcterms:W3CDTF">2019-10-07T14:27:44Z</dcterms:modified>
</cp:coreProperties>
</file>