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Past Months\Septemper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  <definedName name="Z_8317B6D8_8A99_4EB0_9DBC_8E9AE0170A4B_.wvu.Rows" localSheetId="5" hidden="1">'عائد محطات الوكلاء'!$8:$9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-131" yWindow="354" windowWidth="1300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4" l="1"/>
  <c r="J39" i="4"/>
  <c r="G39" i="4"/>
  <c r="D39" i="4"/>
  <c r="G22" i="7" l="1"/>
  <c r="G24" i="6" l="1"/>
  <c r="F24" i="6"/>
  <c r="E24" i="6"/>
  <c r="K24" i="6" l="1"/>
  <c r="J24" i="6"/>
  <c r="I24" i="6"/>
  <c r="F35" i="1"/>
  <c r="D35" i="1"/>
  <c r="H35" i="1" s="1"/>
  <c r="E35" i="1" l="1"/>
  <c r="C34" i="2" l="1"/>
  <c r="D34" i="2" s="1"/>
  <c r="F34" i="2"/>
  <c r="H34" i="2" s="1"/>
  <c r="I34" i="2"/>
  <c r="J34" i="2" s="1"/>
  <c r="L34" i="2"/>
  <c r="N34" i="2" s="1"/>
  <c r="M34" i="2"/>
  <c r="C35" i="2"/>
  <c r="E35" i="2" s="1"/>
  <c r="D35" i="2"/>
  <c r="O35" i="2" s="1"/>
  <c r="Q35" i="2" s="1"/>
  <c r="F35" i="2"/>
  <c r="G35" i="2" s="1"/>
  <c r="I35" i="2"/>
  <c r="K35" i="2" s="1"/>
  <c r="J35" i="2"/>
  <c r="L35" i="2"/>
  <c r="M35" i="2"/>
  <c r="N35" i="2"/>
  <c r="P35" i="2"/>
  <c r="C36" i="2"/>
  <c r="D36" i="2" s="1"/>
  <c r="F36" i="2"/>
  <c r="H36" i="2" s="1"/>
  <c r="G36" i="2"/>
  <c r="I36" i="2"/>
  <c r="K36" i="2" s="1"/>
  <c r="L36" i="2"/>
  <c r="N36" i="2" s="1"/>
  <c r="M36" i="2"/>
  <c r="C37" i="2"/>
  <c r="E37" i="2" s="1"/>
  <c r="D37" i="2"/>
  <c r="F37" i="2"/>
  <c r="G37" i="2" s="1"/>
  <c r="H37" i="2"/>
  <c r="I37" i="2"/>
  <c r="K37" i="2" s="1"/>
  <c r="L37" i="2"/>
  <c r="M37" i="2" s="1"/>
  <c r="G39" i="1"/>
  <c r="I39" i="1"/>
  <c r="M39" i="1"/>
  <c r="O39" i="1"/>
  <c r="S39" i="1"/>
  <c r="U39" i="1"/>
  <c r="Y39" i="1"/>
  <c r="C39" i="1"/>
  <c r="V38" i="1"/>
  <c r="Z38" i="1" s="1"/>
  <c r="X38" i="1"/>
  <c r="J35" i="1"/>
  <c r="N35" i="1" s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L37" i="1"/>
  <c r="P37" i="1"/>
  <c r="T37" i="1" s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P36" i="2" s="1"/>
  <c r="Q35" i="4"/>
  <c r="P37" i="2" s="1"/>
  <c r="O37" i="2" l="1"/>
  <c r="Q37" i="2" s="1"/>
  <c r="Q37" i="1"/>
  <c r="W38" i="1"/>
  <c r="J37" i="2"/>
  <c r="J36" i="2"/>
  <c r="O36" i="2"/>
  <c r="Q36" i="2" s="1"/>
  <c r="K37" i="1"/>
  <c r="K35" i="1"/>
  <c r="G34" i="2"/>
  <c r="O34" i="2" s="1"/>
  <c r="Q34" i="2" s="1"/>
  <c r="E34" i="2"/>
  <c r="Q35" i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K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K18" i="6" s="1"/>
  <c r="E11" i="5"/>
  <c r="F22" i="6" s="1"/>
  <c r="F11" i="5"/>
  <c r="G22" i="6" s="1"/>
  <c r="F10" i="5"/>
  <c r="G19" i="6" s="1"/>
  <c r="E10" i="5"/>
  <c r="F19" i="6" s="1"/>
  <c r="K13" i="6" l="1"/>
  <c r="K19" i="6"/>
  <c r="K22" i="6"/>
  <c r="K21" i="6"/>
  <c r="K15" i="6"/>
  <c r="G23" i="6"/>
  <c r="J13" i="6"/>
  <c r="I13" i="6"/>
  <c r="G16" i="6"/>
  <c r="F16" i="6"/>
  <c r="J15" i="6"/>
  <c r="I15" i="6"/>
  <c r="G18" i="5"/>
  <c r="H14" i="6"/>
  <c r="H16" i="6" s="1"/>
  <c r="H25" i="6" s="1"/>
  <c r="E16" i="6"/>
  <c r="E25" i="6" s="1"/>
  <c r="J21" i="6"/>
  <c r="I21" i="6"/>
  <c r="I22" i="6"/>
  <c r="J22" i="6"/>
  <c r="F23" i="6"/>
  <c r="G20" i="6"/>
  <c r="J19" i="6"/>
  <c r="I19" i="6"/>
  <c r="I17" i="6"/>
  <c r="J17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J23" i="6" l="1"/>
  <c r="K14" i="6"/>
  <c r="K16" i="6" s="1"/>
  <c r="F25" i="6"/>
  <c r="G25" i="6"/>
  <c r="J14" i="6"/>
  <c r="J16" i="6" s="1"/>
  <c r="X39" i="1"/>
  <c r="R39" i="1"/>
  <c r="F39" i="1"/>
  <c r="I14" i="6"/>
  <c r="I16" i="6" s="1"/>
  <c r="K23" i="6"/>
  <c r="I23" i="6"/>
  <c r="I20" i="6"/>
  <c r="K20" i="6"/>
  <c r="J20" i="6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5" i="6" l="1"/>
  <c r="C44" i="1"/>
  <c r="I25" i="6"/>
  <c r="K25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F34" i="7" s="1"/>
  <c r="I44" i="7"/>
  <c r="G34" i="7" s="1"/>
  <c r="J44" i="7"/>
  <c r="I34" i="7" s="1"/>
  <c r="L44" i="7"/>
  <c r="M44" i="7"/>
  <c r="D34" i="7" s="1"/>
  <c r="N44" i="7"/>
  <c r="E34" i="7" s="1"/>
  <c r="B44" i="7"/>
  <c r="H22" i="7" s="1"/>
  <c r="Q31" i="2"/>
  <c r="Q31" i="4"/>
  <c r="C34" i="7" l="1"/>
  <c r="T14" i="7" s="1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D7" i="16" l="1"/>
  <c r="G8" i="16"/>
  <c r="M16" i="22"/>
  <c r="G10" i="16"/>
  <c r="G9" i="16"/>
  <c r="G7" i="16"/>
  <c r="D16" i="21"/>
  <c r="D16" i="20"/>
  <c r="G2" i="17" l="1"/>
  <c r="G16" i="22"/>
  <c r="E8" i="20"/>
  <c r="M32" i="22"/>
  <c r="E7" i="20"/>
  <c r="C7" i="20"/>
  <c r="E10" i="20"/>
  <c r="C10" i="20"/>
  <c r="C9" i="20"/>
  <c r="E9" i="20"/>
  <c r="C8" i="20"/>
  <c r="G5" i="17"/>
  <c r="G19" i="22"/>
  <c r="C9" i="21"/>
  <c r="E10" i="21"/>
  <c r="C10" i="21"/>
  <c r="E7" i="21"/>
  <c r="E9" i="21"/>
  <c r="C8" i="21"/>
  <c r="E8" i="21"/>
  <c r="C7" i="21"/>
  <c r="G3" i="17"/>
  <c r="G17" i="22"/>
  <c r="D18" i="20"/>
  <c r="D18" i="21"/>
  <c r="G4" i="17"/>
  <c r="G18" i="22"/>
  <c r="D2" i="17"/>
  <c r="D16" i="22"/>
  <c r="D10" i="20" l="1"/>
  <c r="D9" i="20"/>
  <c r="B10" i="20"/>
  <c r="M34" i="22"/>
  <c r="B7" i="20"/>
  <c r="D8" i="20"/>
  <c r="D7" i="20"/>
  <c r="B9" i="20"/>
  <c r="B8" i="20"/>
  <c r="C37" i="22"/>
  <c r="C5" i="24"/>
  <c r="C3" i="24"/>
  <c r="C35" i="22"/>
  <c r="E37" i="22"/>
  <c r="E5" i="24"/>
  <c r="E35" i="22"/>
  <c r="E3" i="24"/>
  <c r="E4" i="24"/>
  <c r="E36" i="22"/>
  <c r="C2" i="24"/>
  <c r="C34" i="22"/>
  <c r="D7" i="21"/>
  <c r="B8" i="21"/>
  <c r="D8" i="21"/>
  <c r="B7" i="21"/>
  <c r="D10" i="21"/>
  <c r="B10" i="21"/>
  <c r="D9" i="21"/>
  <c r="B9" i="21"/>
  <c r="C36" i="22"/>
  <c r="C4" i="24"/>
  <c r="E34" i="22"/>
  <c r="E2" i="24"/>
  <c r="B35" i="22" l="1"/>
  <c r="B3" i="24"/>
  <c r="B34" i="22"/>
  <c r="B2" i="24"/>
  <c r="D5" i="24"/>
  <c r="D37" i="22"/>
  <c r="B4" i="24"/>
  <c r="B36" i="22"/>
  <c r="D34" i="22"/>
  <c r="D2" i="24"/>
  <c r="B5" i="24"/>
  <c r="B37" i="22"/>
  <c r="D3" i="24"/>
  <c r="D35" i="22"/>
  <c r="D36" i="22"/>
  <c r="D4" i="24"/>
  <c r="D15" i="16" l="1"/>
  <c r="E7" i="16" l="1"/>
  <c r="H8" i="16"/>
  <c r="E8" i="16"/>
  <c r="M12" i="22"/>
  <c r="E10" i="16"/>
  <c r="H7" i="16"/>
  <c r="H10" i="16"/>
  <c r="E5" i="17" l="1"/>
  <c r="E19" i="22"/>
  <c r="E16" i="22"/>
  <c r="E2" i="17"/>
  <c r="H16" i="22"/>
  <c r="H2" i="17"/>
  <c r="H17" i="22"/>
  <c r="H3" i="17"/>
  <c r="H5" i="17"/>
  <c r="H19" i="22"/>
  <c r="E3" i="17"/>
  <c r="E17" i="22"/>
  <c r="D21" i="16" l="1"/>
  <c r="C9" i="16" l="1"/>
  <c r="F7" i="16"/>
  <c r="F9" i="16"/>
  <c r="F8" i="16"/>
  <c r="M18" i="22"/>
  <c r="C8" i="16"/>
  <c r="D9" i="16"/>
  <c r="C10" i="16"/>
  <c r="C7" i="16"/>
  <c r="F10" i="16"/>
  <c r="F5" i="17" l="1"/>
  <c r="F19" i="22"/>
  <c r="F2" i="17"/>
  <c r="F16" i="22"/>
  <c r="C18" i="22"/>
  <c r="C4" i="17"/>
  <c r="C5" i="17"/>
  <c r="C19" i="22"/>
  <c r="F17" i="22"/>
  <c r="F3" i="17"/>
  <c r="C17" i="22"/>
  <c r="C3" i="17"/>
  <c r="C16" i="22"/>
  <c r="C2" i="17"/>
  <c r="D18" i="22"/>
  <c r="D4" i="17"/>
  <c r="F4" i="17"/>
  <c r="F18" i="22"/>
  <c r="D15" i="18" l="1"/>
  <c r="I10" i="18" l="1"/>
  <c r="I9" i="18"/>
  <c r="M22" i="22"/>
  <c r="I7" i="18"/>
  <c r="I4" i="19" l="1"/>
  <c r="I27" i="22"/>
  <c r="I28" i="22"/>
  <c r="I5" i="19"/>
  <c r="I25" i="22"/>
  <c r="I2" i="19"/>
  <c r="D14" i="18" l="1"/>
  <c r="M21" i="22" l="1"/>
  <c r="F9" i="18"/>
  <c r="F7" i="18"/>
  <c r="F10" i="18"/>
  <c r="D10" i="18"/>
  <c r="D7" i="18"/>
  <c r="D9" i="18"/>
  <c r="D25" i="22" l="1"/>
  <c r="D2" i="19"/>
  <c r="F4" i="19"/>
  <c r="F27" i="22"/>
  <c r="D5" i="19"/>
  <c r="D28" i="22"/>
  <c r="F28" i="22"/>
  <c r="F5" i="19"/>
  <c r="D27" i="22"/>
  <c r="D4" i="19"/>
  <c r="F2" i="19"/>
  <c r="F25" i="22"/>
  <c r="F21" i="14" l="1"/>
  <c r="M6" i="22" l="1"/>
  <c r="H14" i="14"/>
  <c r="H11" i="14"/>
  <c r="H9" i="14"/>
  <c r="H12" i="14"/>
  <c r="H8" i="15" l="1"/>
  <c r="H11" i="22"/>
  <c r="H9" i="22"/>
  <c r="H6" i="15"/>
  <c r="H3" i="15"/>
  <c r="H6" i="22"/>
  <c r="H5" i="15"/>
  <c r="H8" i="22"/>
  <c r="D17" i="18" l="1"/>
  <c r="M24" i="22" s="1"/>
  <c r="F18" i="14" l="1"/>
  <c r="F19" i="14"/>
  <c r="M4" i="22" l="1"/>
  <c r="C13" i="14"/>
  <c r="C11" i="14"/>
  <c r="C8" i="14"/>
  <c r="C5" i="22" s="1"/>
  <c r="F9" i="14"/>
  <c r="C9" i="14"/>
  <c r="F8" i="14"/>
  <c r="F5" i="22" s="1"/>
  <c r="F10" i="14"/>
  <c r="C12" i="14"/>
  <c r="C14" i="14"/>
  <c r="C7" i="14"/>
  <c r="F12" i="14"/>
  <c r="F14" i="14"/>
  <c r="C10" i="14"/>
  <c r="F7" i="14"/>
  <c r="F11" i="14"/>
  <c r="F13" i="14"/>
  <c r="G9" i="14"/>
  <c r="G13" i="14"/>
  <c r="D10" i="14"/>
  <c r="D14" i="14"/>
  <c r="D7" i="14"/>
  <c r="G10" i="14"/>
  <c r="G8" i="14"/>
  <c r="G5" i="22" s="1"/>
  <c r="D8" i="14"/>
  <c r="D5" i="22" s="1"/>
  <c r="M3" i="22"/>
  <c r="D9" i="14"/>
  <c r="G7" i="14"/>
  <c r="D13" i="14"/>
  <c r="G14" i="14"/>
  <c r="G8" i="15" l="1"/>
  <c r="G11" i="22"/>
  <c r="G6" i="22"/>
  <c r="G3" i="15"/>
  <c r="C4" i="15"/>
  <c r="C7" i="22"/>
  <c r="C8" i="15"/>
  <c r="C11" i="22"/>
  <c r="C6" i="22"/>
  <c r="C3" i="15"/>
  <c r="C10" i="22"/>
  <c r="C7" i="15"/>
  <c r="D10" i="22"/>
  <c r="D7" i="15"/>
  <c r="D11" i="22"/>
  <c r="D8" i="15"/>
  <c r="F10" i="22"/>
  <c r="F7" i="15"/>
  <c r="C9" i="22"/>
  <c r="C6" i="15"/>
  <c r="F6" i="22"/>
  <c r="F3" i="15"/>
  <c r="G4" i="22"/>
  <c r="G2" i="15"/>
  <c r="D4" i="15"/>
  <c r="D7" i="22"/>
  <c r="F5" i="15"/>
  <c r="F8" i="22"/>
  <c r="F9" i="22"/>
  <c r="F6" i="15"/>
  <c r="F4" i="15"/>
  <c r="F7" i="22"/>
  <c r="D6" i="22"/>
  <c r="D3" i="15"/>
  <c r="G7" i="22"/>
  <c r="G4" i="15"/>
  <c r="G10" i="22"/>
  <c r="G7" i="15"/>
  <c r="F4" i="22"/>
  <c r="F2" i="15"/>
  <c r="C4" i="22"/>
  <c r="C2" i="15"/>
  <c r="C8" i="22"/>
  <c r="C5" i="15"/>
  <c r="D4" i="22"/>
  <c r="D2" i="15"/>
  <c r="F11" i="22"/>
  <c r="F8" i="15"/>
  <c r="F17" i="14" l="1"/>
  <c r="M2" i="22" s="1"/>
  <c r="D20" i="18" l="1"/>
  <c r="G10" i="18" l="1"/>
  <c r="G8" i="18"/>
  <c r="C9" i="18"/>
  <c r="G9" i="18"/>
  <c r="G7" i="18"/>
  <c r="C7" i="18"/>
  <c r="M27" i="22"/>
  <c r="C10" i="18"/>
  <c r="C8" i="18"/>
  <c r="E7" i="18"/>
  <c r="E8" i="18"/>
  <c r="E10" i="18"/>
  <c r="E9" i="18"/>
  <c r="C2" i="19" l="1"/>
  <c r="C25" i="22"/>
  <c r="E27" i="22"/>
  <c r="E4" i="19"/>
  <c r="C26" i="22"/>
  <c r="C3" i="19"/>
  <c r="G25" i="22"/>
  <c r="G2" i="19"/>
  <c r="G28" i="22"/>
  <c r="G5" i="19"/>
  <c r="E28" i="22"/>
  <c r="E5" i="19"/>
  <c r="C28" i="22"/>
  <c r="C5" i="19"/>
  <c r="G4" i="19"/>
  <c r="G27" i="22"/>
  <c r="E3" i="19"/>
  <c r="E26" i="22"/>
  <c r="C27" i="22"/>
  <c r="C4" i="19"/>
  <c r="E2" i="19"/>
  <c r="E25" i="22"/>
  <c r="G3" i="19"/>
  <c r="G26" i="22"/>
</calcChain>
</file>

<file path=xl/sharedStrings.xml><?xml version="1.0" encoding="utf-8"?>
<sst xmlns="http://schemas.openxmlformats.org/spreadsheetml/2006/main" count="1166" uniqueCount="245">
  <si>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</si>
  <si>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</si>
  <si>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</si>
  <si>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</si>
  <si>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</si>
  <si>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</si>
  <si>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</si>
  <si>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</si>
  <si>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</si>
  <si>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</si>
  <si>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</si>
  <si>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</si>
  <si>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</si>
  <si>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</si>
  <si>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</si>
  <si>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</si>
  <si>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</si>
  <si>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</si>
  <si>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</si>
  <si>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</si>
  <si>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</si>
  <si>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</si>
  <si>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</si>
  <si>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</si>
  <si>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</si>
  <si>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</si>
  <si>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</si>
  <si>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</si>
  <si>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</si>
  <si>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</si>
  <si>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</si>
  <si>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</si>
  <si>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</si>
  <si>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</si>
  <si>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</si>
  <si>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</si>
  <si>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</si>
  <si>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</si>
  <si>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</si>
  <si>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</si>
  <si>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</si>
  <si>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</si>
  <si>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</si>
  <si>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</si>
  <si>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</si>
  <si>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</si>
  <si>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</si>
  <si>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</si>
  <si>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</si>
  <si>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</si>
  <si>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</si>
  <si>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</si>
  <si>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</si>
  <si>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</si>
  <si>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</si>
  <si>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</si>
  <si>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</si>
  <si>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</si>
  <si>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</si>
  <si>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</si>
  <si>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</si>
  <si>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</si>
  <si>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</si>
  <si>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</si>
  <si>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</si>
  <si>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</si>
  <si>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</si>
  <si>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</si>
  <si>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</si>
  <si>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</si>
  <si>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</si>
  <si>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</si>
  <si>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</si>
  <si>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</si>
  <si>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</si>
  <si>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</si>
  <si>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</si>
  <si>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</si>
  <si>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</si>
  <si>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</si>
  <si>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</si>
  <si>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</si>
  <si>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</si>
  <si>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</si>
  <si>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</si>
  <si>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</si>
  <si>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</si>
  <si>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</si>
  <si>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</si>
  <si>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</si>
  <si>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</si>
  <si>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</si>
  <si>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</si>
  <si>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</si>
  <si>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</si>
  <si>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</si>
  <si>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</si>
  <si>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</si>
  <si>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</si>
  <si>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</si>
  <si>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</si>
  <si>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</si>
  <si>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</si>
  <si>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</si>
  <si>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</si>
  <si>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</si>
  <si>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</si>
  <si>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</si>
  <si>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</si>
  <si>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</si>
  <si>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</si>
  <si>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</si>
  <si>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</si>
  <si>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</si>
  <si>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</si>
  <si>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</si>
  <si>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</si>
  <si>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</si>
  <si>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</si>
  <si>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</si>
  <si>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</si>
  <si>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</si>
  <si>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</si>
  <si>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</si>
  <si>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</si>
  <si>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</si>
  <si>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</si>
  <si>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</si>
  <si>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</si>
  <si>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</si>
  <si>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</si>
  <si>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</si>
  <si>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</si>
  <si>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</si>
  <si>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</si>
  <si>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</si>
  <si>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</si>
  <si>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</si>
  <si>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</si>
  <si>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</si>
  <si>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</si>
  <si>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</si>
  <si>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</si>
  <si>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</si>
  <si>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</si>
  <si>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</si>
  <si>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</si>
  <si>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</si>
  <si>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</si>
  <si>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</si>
  <si>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</si>
  <si>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</si>
  <si>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</si>
  <si>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</si>
  <si>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</si>
  <si>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</si>
  <si>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</si>
  <si>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</si>
  <si>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</si>
  <si>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</si>
  <si>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</si>
  <si>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</si>
  <si>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</si>
  <si>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</si>
  <si>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</si>
  <si>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</si>
  <si>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</si>
  <si>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</si>
  <si>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</si>
  <si>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</si>
  <si>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</si>
  <si>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</si>
  <si>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</si>
  <si>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</si>
  <si>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</si>
  <si>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</si>
  <si>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</si>
  <si>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</si>
  <si>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</si>
  <si>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</si>
  <si>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</si>
  <si>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</si>
  <si>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</si>
  <si>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</si>
  <si>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</si>
  <si>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</si>
  <si>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</si>
  <si>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</si>
  <si>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</si>
  <si>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</si>
  <si>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</si>
  <si>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</si>
  <si>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</si>
  <si>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</si>
  <si>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</si>
  <si>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</si>
  <si>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</si>
  <si>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</si>
  <si>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</si>
  <si>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</si>
  <si>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</si>
  <si>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</si>
  <si>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</si>
  <si>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</si>
  <si>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</si>
  <si>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</si>
  <si>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</si>
  <si>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</si>
  <si>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</si>
  <si>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</si>
  <si>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</si>
  <si>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</si>
  <si>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</si>
  <si>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</si>
  <si>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</si>
  <si>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</si>
  <si>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</si>
  <si>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اكتوبر 3 (فودافون)</t>
  </si>
  <si>
    <t>ستارت بوينت (شريف الحوهري)</t>
  </si>
  <si>
    <t xml:space="preserve">عقيد / طارق </t>
  </si>
  <si>
    <t xml:space="preserve">عميد / اشرف </t>
  </si>
  <si>
    <t xml:space="preserve">عقيد / محمد عيسي </t>
  </si>
  <si>
    <t xml:space="preserve">احمد المحاسب </t>
  </si>
  <si>
    <t>عقيد / احمد</t>
  </si>
  <si>
    <t>عقيد احمد</t>
  </si>
  <si>
    <t>نقيب علاء</t>
  </si>
  <si>
    <t>عميد / حامد</t>
  </si>
  <si>
    <t xml:space="preserve">عميد / اسامه </t>
  </si>
  <si>
    <t xml:space="preserve">نقيب / محمود </t>
  </si>
  <si>
    <t xml:space="preserve">جندي / ابراهيم </t>
  </si>
  <si>
    <t xml:space="preserve">نقيب / صلاح </t>
  </si>
  <si>
    <t xml:space="preserve">نقيب / ايمن </t>
  </si>
  <si>
    <t xml:space="preserve">عقيد / احمد </t>
  </si>
  <si>
    <t>محاسب احمد</t>
  </si>
  <si>
    <t>محاسب اسلام</t>
  </si>
  <si>
    <t>مي</t>
  </si>
  <si>
    <t>عميد هشلم</t>
  </si>
  <si>
    <t xml:space="preserve">عميد </t>
  </si>
  <si>
    <t>عميد محمد</t>
  </si>
  <si>
    <t>محاسب ماركو</t>
  </si>
  <si>
    <t>محاسب محمود</t>
  </si>
  <si>
    <t>عميد حسام</t>
  </si>
  <si>
    <t xml:space="preserve">محمد المحاسب </t>
  </si>
  <si>
    <t>التمام الصباحي الاحد الموافق  29 / 9 / 2019</t>
  </si>
  <si>
    <r>
      <rPr>
        <b/>
        <sz val="12"/>
        <color theme="1"/>
        <rFont val="Arial"/>
        <family val="2"/>
      </rPr>
      <t xml:space="preserve">           </t>
    </r>
    <r>
      <rPr>
        <b/>
        <u/>
        <sz val="12"/>
        <color theme="1"/>
        <rFont val="Arial"/>
        <family val="2"/>
      </rPr>
      <t xml:space="preserve">معدل البيع اليومى لمحطات وقود شل اوت التي يديرها الوكلاء (المتحدة  - ماستر اكسبريس - اينوتك - ستارت بوينت) 2019/9/28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</si>
</sst>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3" fontId="2" fillId="0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3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1" xfId="0" applyNumberFormat="1" applyFont="1" applyFill="1" applyBorder="1" applyAlignment="1" applyProtection="1">
      <alignment horizontal="center" vertical="center" readingOrder="2"/>
      <protection locked="0"/>
    </xf>
    <xf numFmtId="3" fontId="6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13" fillId="18" borderId="12" xfId="0" applyFont="1" applyFill="1" applyBorder="1" applyAlignment="1">
      <alignment horizontal="center" vertical="center" readingOrder="2"/>
    </xf>
    <xf numFmtId="0" fontId="13" fillId="18" borderId="13" xfId="0" applyFont="1" applyFill="1" applyBorder="1" applyAlignment="1">
      <alignment horizontal="center" vertical="center" readingOrder="2"/>
    </xf>
    <xf numFmtId="0" fontId="13" fillId="18" borderId="1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3" fontId="4" fillId="19" borderId="9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9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202</v>
          </cell>
        </row>
        <row r="3">
          <cell r="D3">
            <v>1464</v>
          </cell>
        </row>
        <row r="4">
          <cell r="D4">
            <v>414</v>
          </cell>
        </row>
        <row r="5">
          <cell r="D5">
            <v>52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1771DC5-483A-4F5E-AB37-C71BA6B3317B}" diskRevisions="1" revisionId="1191" version="60">
  <header guid="{230CB6F8-3E74-4B31-A775-D8DB6DEB9663}" dateTime="2019-09-27T09:26:54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9CF2E15-2A6B-47BB-AC30-FA3219D53478}" dateTime="2019-09-27T10:00:06" maxSheetId="25" userName="pp" r:id="rId2" minRId="1" maxRId="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1567BDC-507D-4E00-BEBA-A0864AE69AFC}" dateTime="2019-09-27T12:41:09" maxSheetId="25" userName="pp" r:id="rId3" minRId="29" maxRId="2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2287B5C-52B2-4D22-9260-D7F2208BC115}" dateTime="2019-09-28T00:28:27" maxSheetId="25" userName="pp" r:id="rId4" minRId="243" maxRId="2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B0A2CD3-98F0-4129-A101-3E50D7369527}" dateTime="2019-09-28T06:09:17" maxSheetId="25" userName="pp" r:id="rId5" minRId="257" maxRId="2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F885B2E-8F25-4C14-BAEE-0888BF3E1221}" dateTime="2019-09-28T06:17:45" maxSheetId="25" userName="pp" r:id="rId6" minRId="278" maxRId="2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1F75825-8C53-47FB-831B-6E145AB4A13A}" dateTime="2019-09-28T06:36:28" maxSheetId="25" userName="pp" r:id="rId7" minRId="284" maxRId="2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2A98C3-7497-4373-87CF-A1917DEFF5CC}" dateTime="2019-09-28T07:58:24" maxSheetId="25" userName="pp" r:id="rId8" minRId="291" maxRId="3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35072AE-9A53-4216-A6A4-BD760C21F8CC}" dateTime="2019-09-28T08:04:04" maxSheetId="25" userName="pp" r:id="rId9" minRId="322" maxRId="3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AA217E-F52A-4EBB-B580-8263613E772F}" dateTime="2019-09-28T08:05:17" maxSheetId="25" userName="pp" r:id="rId10" minRId="332" maxRId="3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33B525-A17C-4546-A95A-9671659348F5}" dateTime="2019-09-28T08:10:25" maxSheetId="25" userName="pp" r:id="rId11" minRId="338" maxRId="34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FE20C3-6945-415F-8D7B-02A643AF48A8}" dateTime="2019-09-28T08:13:10" maxSheetId="25" userName="pp" r:id="rId12" minRId="346" maxRId="35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5EBD32-DB69-4CA1-8EB1-43DE351FAE6F}" dateTime="2019-09-28T08:14:27" maxSheetId="25" userName="pp" r:id="rId13" minRId="35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F51BD-5D71-47BF-AAA3-DFE577635516}" dateTime="2019-09-28T08:24:24" maxSheetId="25" userName="pp" r:id="rId14" minRId="355" maxRId="3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F7D1C0-5228-461C-AB34-B163985A41AB}" dateTime="2019-09-28T08:46:43" maxSheetId="25" userName="pp" r:id="rId15" minRId="365" maxRId="4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7B9196-B276-408A-960B-CDA1FDC8D375}" dateTime="2019-09-28T09:07:59" maxSheetId="25" userName="pp" r:id="rId16" minRId="403" maxRId="4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6C376F-6D6E-4BF6-B0BF-377C3EAF0608}" dateTime="2019-09-28T09:30:10" maxSheetId="25" userName="pp" r:id="rId17" minRId="420" maxRId="4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DC6789D-7588-4BE4-9238-4FE570302742}" dateTime="2019-09-28T09:36:53" maxSheetId="25" userName="pp" r:id="rId18" minRId="443" maxRId="44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953A025-26AC-4522-8C9B-7664EE414632}" dateTime="2019-09-28T09:51:28" maxSheetId="25" userName="pp" r:id="rId19" minRId="447" maxRId="4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986DD7-4B6D-4879-82C6-61FD494F2374}" dateTime="2019-09-28T09:56:42" maxSheetId="25" userName="pp" r:id="rId20" minRId="453" maxRId="4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49BD0B-84B9-49FE-9B49-3EBDD780BD82}" dateTime="2019-09-28T10:02:37" maxSheetId="25" userName="pp" r:id="rId21" minRId="465" maxRId="4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B31199-576C-4872-8FCD-E32A67DC8177}" dateTime="2019-09-28T10:14:20" maxSheetId="25" userName="pp" r:id="rId22" minRId="475" maxRId="4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D02C79-93B6-47A2-9BDF-97D76F7C09D0}" dateTime="2019-09-28T10:20:29" maxSheetId="25" userName="pp" r:id="rId23" minRId="483" maxRId="48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BED7244-9CF2-4ACF-885D-1DA5FAB78B7F}" dateTime="2019-09-28T10:24:59" maxSheetId="25" userName="pp" r:id="rId24" minRId="489" maxRId="4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855D12-A30D-4BA7-ACBD-0D15E42713DE}" dateTime="2019-09-28T10:26:44" maxSheetId="25" userName="pp" r:id="rId25" minRId="496" maxRId="5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F36632-34E3-4ADD-95A1-80DE24F0A902}" dateTime="2019-09-28T12:07:31" maxSheetId="25" userName="pp" r:id="rId26" minRId="504" maxRId="5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A0E7459-1C38-43DC-84B5-F41530FB03B8}" dateTime="2019-09-28T12:09:12" maxSheetId="25" userName="pp" r:id="rId27" minRId="52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C8E39B8-FE47-48F7-A2B8-027A468D9106}" dateTime="2019-09-28T12:10:07" maxSheetId="25" userName="pp" r:id="rId28" minRId="521" maxRId="7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17856D1-0BF1-4F02-A894-CF3D7F8CA56A}" dateTime="2019-09-29T02:29:08" maxSheetId="25" userName="pp" r:id="rId29" minRId="776" maxRId="78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3023718-9516-4307-8D2C-5827A6960CF7}" dateTime="2019-09-29T07:10:31" maxSheetId="25" userName="pp" r:id="rId30" minRId="789" maxRId="7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B061453-4545-41DA-875A-542209716FBC}" dateTime="2019-09-29T07:21:25" maxSheetId="25" userName="pp" r:id="rId31" minRId="795" maxRId="81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C151E48-4E76-48A6-BB3A-7978CBA0A721}" dateTime="2019-09-29T08:11:02" maxSheetId="25" userName="pp" r:id="rId32" minRId="816" maxRId="84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142E26E-F6C2-4DF2-B4F1-A5762488B0C0}" dateTime="2019-09-29T08:21:45" maxSheetId="25" userName="pp" r:id="rId33" minRId="845" maxRId="85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BE95C90-6E5E-4632-8EC3-555C3F5A0D6A}" dateTime="2019-09-29T08:22:51" maxSheetId="25" userName="pp" r:id="rId34" minRId="859" maxRId="8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4F6D462-176B-4291-84B6-86B5F84ED0E8}" dateTime="2019-09-29T08:23:24" maxSheetId="25" userName="pp" r:id="rId35" minRId="8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53E8C4A-C55F-4F73-B38A-9143D67EF4A9}" dateTime="2019-09-29T08:56:54" maxSheetId="25" userName="pp" r:id="rId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9E1CF58-3342-4F8A-AFD6-E2F898DF16D2}" dateTime="2019-09-29T09:35:39" maxSheetId="25" userName="pp" r:id="rId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4D982A2-FF2D-470C-A7B8-553EB8D0407A}" dateTime="2019-09-29T09:45:31" maxSheetId="25" userName="pp" r:id="rId38" minRId="880" maxRId="9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2506544-6E19-4340-AAD5-4B798ABA4088}" dateTime="2019-09-29T09:47:24" maxSheetId="25" userName="pp" r:id="rId39" minRId="957" maxRId="96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E1E2683-92EB-4542-89D6-C43CC2E8636A}" dateTime="2019-09-29T09:57:18" maxSheetId="25" userName="pp" r:id="rId40" minRId="963" maxRId="99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48C7EA1-4764-4F27-8E21-535C2A9F5022}" dateTime="2019-09-29T09:58:58" maxSheetId="25" userName="pp" r:id="rId41" minRId="995" maxRId="100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D5F02CB-2E9D-427C-BB46-12D00FB43152}" dateTime="2019-09-29T10:10:16" maxSheetId="25" userName="pp" r:id="rId42" minRId="1005" maxRId="101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5CFCEF-FCF7-460B-A200-BBD1CE61152F}" dateTime="2019-09-29T10:35:10" maxSheetId="25" userName="pp" r:id="rId43" minRId="1016" maxRId="10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8E50568-4516-4B7B-9C09-ADC541AE9EB8}" dateTime="2019-09-29T10:37:02" maxSheetId="25" userName="pp" r:id="rId44" minRId="1037" maxRId="104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18CF9E7-1732-4554-BEF3-0E92741A0E1A}" dateTime="2019-09-29T11:18:49" maxSheetId="25" userName="pp" r:id="rId45" minRId="1042" maxRId="105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196F942-8341-4110-AE82-8A5337DE5E09}" dateTime="2019-09-29T11:23:20" maxSheetId="25" userName="pp" r:id="rId46" minRId="10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27A15D1-5FFB-4211-8D1D-1C05632643A8}" dateTime="2019-09-29T12:09:06" maxSheetId="25" userName="pp" r:id="rId47" minRId="1060" maxRId="10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C643E46-8AF1-4505-B6BE-3CEC824821C1}" dateTime="2019-09-29T12:52:02" maxSheetId="25" userName="ppp" r:id="rId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A50024-8406-491E-9114-8809EEA24054}" dateTime="2019-09-29T13:05:55" maxSheetId="25" userName="pp" r:id="rId49" minRId="1071" maxRId="107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753141B-E5E4-437C-A27F-843728738243}" dateTime="2019-09-29T13:09:40" maxSheetId="25" userName="pp" r:id="rId50" minRId="1079" maxRId="10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7F8B8B7-B4F5-4BAD-B7E7-F64BD2B0A2B4}" dateTime="2019-09-29T16:11:18" maxSheetId="25" userName="pp" r:id="rId51" minRId="1081" maxRId="11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D32BA3-A256-4954-B150-3392AA983363}" dateTime="2019-09-29T16:12:47" maxSheetId="25" userName="pp" r:id="rId52" minRId="1103" maxRId="110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63DA861-C2D7-4653-9683-DFA592CDD253}" dateTime="2019-09-29T20:10:06" maxSheetId="25" userName="pp" r:id="rId53" minRId="1105" maxRId="11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6F8072-491C-47E0-BBCD-D3F290E38E34}" dateTime="2019-09-29T20:39:15" maxSheetId="25" userName="pp" r:id="rId54" minRId="1120" maxRId="11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73B738-AD94-4440-A567-AE790C17BAC3}" dateTime="2019-09-29T20:56:55" maxSheetId="25" userName="pp" r:id="rId55" minRId="1124" maxRId="112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E26E905-4540-4538-9394-3211F2B4ACE6}" dateTime="2019-09-29T21:12:16" maxSheetId="25" userName="pp" r:id="rId56" minRId="1126" maxRId="11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6F49F67-A994-4C2B-AEAB-1F70D21DE931}" dateTime="2019-09-30T00:26:59" maxSheetId="25" userName="pp" r:id="rId57" minRId="1130" maxRId="11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761B032-545B-4F6B-A263-4EE19ADC5CFC}" dateTime="2019-09-30T07:40:39" maxSheetId="25" userName="pp" r:id="rId5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BF51019-6DED-4CCF-B1DA-D247775D4E0E}" dateTime="2019-10-05T18:37:48" maxSheetId="25" userName="pp" r:id="rId5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1771DC5-483A-4F5E-AB37-C71BA6B3317B}" dateTime="2019-10-07T16:28:11" maxSheetId="25" userName="pp" r:id="rId6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" sId="4">
    <nc r="K28">
      <v>8426</v>
    </nc>
  </rcc>
  <rcc rId="333" sId="4">
    <nc r="H28">
      <v>20285</v>
    </nc>
  </rcc>
  <rcc rId="334" sId="4" numFmtId="4">
    <nc r="O28">
      <v>1000</v>
    </nc>
  </rcc>
  <rcc rId="335" sId="4">
    <nc r="F28">
      <v>165</v>
    </nc>
  </rcc>
  <rcc rId="336" sId="4">
    <nc r="I28">
      <v>64</v>
    </nc>
  </rcc>
  <rcc rId="337" sId="4">
    <nc r="R28" t="inlineStr">
      <is>
        <t>نقيب ايمن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" sId="4">
    <nc r="H15">
      <v>8566</v>
    </nc>
  </rcc>
  <rcc rId="339" sId="4">
    <nc r="F15">
      <v>53</v>
    </nc>
  </rcc>
  <rcc rId="340" sId="4">
    <nc r="K15">
      <v>3497</v>
    </nc>
  </rcc>
  <rcc rId="341" sId="4">
    <nc r="I15">
      <v>14</v>
    </nc>
  </rcc>
  <rcc rId="342" sId="4">
    <nc r="N15">
      <v>1316</v>
    </nc>
  </rcc>
  <rcc rId="343" sId="4">
    <nc r="L15">
      <v>49</v>
    </nc>
  </rcc>
  <rcc rId="344" sId="4" numFmtId="4">
    <nc r="O15">
      <v>1150</v>
    </nc>
  </rcc>
  <rcc rId="345" sId="4">
    <nc r="R15" t="inlineStr">
      <is>
        <t>جندي ابراهيم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4">
    <nc r="E32">
      <v>10359</v>
    </nc>
  </rcc>
  <rcc rId="347" sId="4">
    <nc r="H32">
      <v>12526</v>
    </nc>
  </rcc>
  <rcc rId="348" sId="4">
    <nc r="K32">
      <v>1147</v>
    </nc>
  </rcc>
  <rcc rId="349" sId="4" numFmtId="4">
    <nc r="O32">
      <v>2113</v>
    </nc>
  </rcc>
  <rcc rId="350" sId="4">
    <nc r="C32">
      <v>68</v>
    </nc>
  </rcc>
  <rcc rId="351" sId="4">
    <nc r="F32">
      <v>66</v>
    </nc>
  </rcc>
  <rcc rId="352" sId="4">
    <nc r="I32">
      <v>85</v>
    </nc>
  </rcc>
  <rcc rId="353" sId="4">
    <nc r="R32" t="inlineStr">
      <is>
        <t>عميد محمد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O35">
      <v>45</v>
    </oc>
    <nc r="O35">
      <v>90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4">
    <nc r="G31">
      <v>51</v>
    </nc>
  </rcc>
  <rcc rId="356" sId="4">
    <nc r="G24">
      <v>17</v>
    </nc>
  </rcc>
  <rcc rId="357" sId="4">
    <nc r="M24">
      <v>34</v>
    </nc>
  </rcc>
  <rcc rId="358" sId="4">
    <nc r="G13">
      <v>34</v>
    </nc>
  </rcc>
  <rcc rId="359" sId="4">
    <nc r="J12">
      <v>17</v>
    </nc>
  </rcc>
  <rcc rId="360" sId="7">
    <nc r="H16">
      <v>51</v>
    </nc>
  </rcc>
  <rcc rId="361" sId="7">
    <nc r="E42">
      <v>17</v>
    </nc>
  </rcc>
  <rcc rId="362" sId="7">
    <nc r="G42">
      <v>34</v>
    </nc>
  </rcc>
  <rcc rId="363" sId="7">
    <nc r="H14">
      <v>34</v>
    </nc>
  </rcc>
  <rcc rId="364" sId="7">
    <nc r="I13">
      <v>17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" sId="4">
    <nc r="H27">
      <v>3025</v>
    </nc>
  </rcc>
  <rcc rId="366" sId="4">
    <nc r="K27">
      <v>1501</v>
    </nc>
  </rcc>
  <rcc rId="367" sId="4" numFmtId="4">
    <nc r="O27">
      <v>141</v>
    </nc>
  </rcc>
  <rcc rId="368" sId="4">
    <nc r="F27">
      <v>129</v>
    </nc>
  </rcc>
  <rcc rId="369" sId="4">
    <nc r="I27">
      <v>35</v>
    </nc>
  </rcc>
  <rcc rId="370" sId="4">
    <nc r="R27" t="inlineStr">
      <is>
        <t>نقيب/ علاء</t>
      </is>
    </nc>
  </rcc>
  <rcc rId="371" sId="4">
    <nc r="K18">
      <v>1884</v>
    </nc>
  </rcc>
  <rcc rId="372" sId="4">
    <nc r="H18">
      <v>6590</v>
    </nc>
  </rcc>
  <rcc rId="373" sId="4">
    <nc r="N18">
      <v>17452</v>
    </nc>
  </rcc>
  <rcc rId="374" sId="4" numFmtId="4">
    <nc r="O18">
      <v>625</v>
    </nc>
  </rcc>
  <rcc rId="375" sId="4">
    <nc r="P18">
      <v>1305</v>
    </nc>
  </rcc>
  <rcc rId="376" sId="4">
    <nc r="I18">
      <v>12</v>
    </nc>
  </rcc>
  <rcc rId="377" sId="4">
    <nc r="F18">
      <v>70</v>
    </nc>
  </rcc>
  <rcc rId="378" sId="4">
    <nc r="L18">
      <v>142</v>
    </nc>
  </rcc>
  <rcc rId="379" sId="4">
    <nc r="R18" t="inlineStr">
      <is>
        <t>عميد / محمد سعد</t>
      </is>
    </nc>
  </rcc>
  <rcc rId="380" sId="4">
    <nc r="H20">
      <v>885</v>
    </nc>
  </rcc>
  <rcc rId="381" sId="4">
    <nc r="E20">
      <v>143</v>
    </nc>
  </rcc>
  <rcc rId="382" sId="4">
    <nc r="N20">
      <v>8329</v>
    </nc>
  </rcc>
  <rcc rId="383" sId="4" numFmtId="4">
    <nc r="O20">
      <v>80</v>
    </nc>
  </rcc>
  <rcc rId="384" sId="4">
    <nc r="P20">
      <v>710</v>
    </nc>
  </rcc>
  <rcc rId="385" sId="4">
    <nc r="F20">
      <v>52</v>
    </nc>
  </rcc>
  <rcc rId="386" sId="4">
    <nc r="C20">
      <v>29</v>
    </nc>
  </rcc>
  <rcc rId="387" sId="4">
    <nc r="L20">
      <v>106</v>
    </nc>
  </rcc>
  <rcc rId="388" sId="4">
    <nc r="K24">
      <v>725</v>
    </nc>
  </rcc>
  <rcc rId="389" sId="4">
    <nc r="H24">
      <v>7575</v>
    </nc>
  </rcc>
  <rcc rId="390" sId="4">
    <nc r="N24">
      <v>21792</v>
    </nc>
  </rcc>
  <rcc rId="391" sId="4" numFmtId="4">
    <nc r="O24">
      <v>705</v>
    </nc>
  </rcc>
  <rcc rId="392" sId="4">
    <nc r="P24">
      <v>1615</v>
    </nc>
  </rcc>
  <rcc rId="393" sId="4">
    <nc r="F24">
      <v>70</v>
    </nc>
  </rcc>
  <rcc rId="394" sId="4">
    <nc r="I24">
      <v>27</v>
    </nc>
  </rcc>
  <rcc rId="395" sId="4">
    <nc r="L24">
      <v>150</v>
    </nc>
  </rcc>
  <rcc rId="396" sId="4">
    <nc r="R24" t="inlineStr">
      <is>
        <t>عميد/ محمد</t>
      </is>
    </nc>
  </rcc>
  <rcc rId="397" sId="4">
    <nc r="H30">
      <v>26473</v>
    </nc>
  </rcc>
  <rcc rId="398" sId="4">
    <nc r="K30">
      <v>8025</v>
    </nc>
  </rcc>
  <rcc rId="399" sId="4" numFmtId="4">
    <nc r="O30">
      <v>399</v>
    </nc>
  </rcc>
  <rcc rId="400" sId="4">
    <nc r="F30">
      <v>151</v>
    </nc>
  </rcc>
  <rcc rId="401" sId="4">
    <nc r="I30">
      <v>79</v>
    </nc>
  </rcc>
  <rcc rId="402" sId="4">
    <nc r="R30" t="inlineStr">
      <is>
        <t>نقيب صلاح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4">
    <nc r="E11">
      <v>4928</v>
    </nc>
  </rcc>
  <rcc rId="404" sId="4">
    <nc r="H11">
      <v>14658</v>
    </nc>
  </rcc>
  <rcc rId="405" sId="4">
    <nc r="N11">
      <v>12448</v>
    </nc>
  </rcc>
  <rcc rId="406" sId="4" numFmtId="4">
    <nc r="O11">
      <v>2200</v>
    </nc>
  </rcc>
  <rcc rId="407" sId="4">
    <nc r="C11">
      <v>12</v>
    </nc>
  </rcc>
  <rcc rId="408" sId="4">
    <nc r="F11">
      <v>74</v>
    </nc>
  </rcc>
  <rcc rId="409" sId="4">
    <nc r="L11">
      <v>157</v>
    </nc>
  </rcc>
  <rcc rId="410" sId="4">
    <nc r="R11" t="inlineStr">
      <is>
        <t>عميد اشرف</t>
      </is>
    </nc>
  </rcc>
  <rcc rId="411" sId="4">
    <nc r="K25">
      <v>956</v>
    </nc>
  </rcc>
  <rcc rId="412" sId="4">
    <nc r="H25">
      <v>5784</v>
    </nc>
  </rcc>
  <rcc rId="413" sId="4">
    <nc r="N25">
      <v>15092</v>
    </nc>
  </rcc>
  <rcc rId="414" sId="4" numFmtId="4">
    <nc r="O25">
      <v>554</v>
    </nc>
  </rcc>
  <rcc rId="415" sId="4">
    <nc r="P25">
      <v>1112</v>
    </nc>
  </rcc>
  <rcc rId="416" sId="4">
    <nc r="F25">
      <v>85</v>
    </nc>
  </rcc>
  <rcc rId="417" sId="4">
    <nc r="I25">
      <v>16</v>
    </nc>
  </rcc>
  <rcc rId="418" sId="4">
    <nc r="L25">
      <v>159</v>
    </nc>
  </rcc>
  <rcc rId="419" sId="4">
    <nc r="R25" t="inlineStr">
      <is>
        <t xml:space="preserve">عميد / محمد عبد العزيز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" sId="4">
    <nc r="I22">
      <v>16</v>
    </nc>
  </rcc>
  <rcc rId="421" sId="4">
    <nc r="K22">
      <v>1548</v>
    </nc>
  </rcc>
  <rcc rId="422" sId="4">
    <nc r="F22">
      <v>70</v>
    </nc>
  </rcc>
  <rcc rId="423" sId="4">
    <nc r="H22">
      <v>9748</v>
    </nc>
  </rcc>
  <rcc rId="424" sId="4">
    <nc r="L22">
      <v>144</v>
    </nc>
  </rcc>
  <rcc rId="425" sId="4">
    <nc r="N22">
      <v>33318</v>
    </nc>
  </rcc>
  <rcc rId="426" sId="4" numFmtId="4">
    <nc r="O22">
      <v>1100</v>
    </nc>
  </rcc>
  <rcc rId="427" sId="4">
    <nc r="P22">
      <v>2500</v>
    </nc>
  </rcc>
  <rcc rId="428" sId="4">
    <nc r="R22" t="inlineStr">
      <is>
        <t xml:space="preserve">عقيد / احمد امام </t>
      </is>
    </nc>
  </rcc>
  <rcc rId="429" sId="4">
    <nc r="H21">
      <v>1412</v>
    </nc>
  </rcc>
  <rcc rId="430" sId="4">
    <nc r="N21">
      <v>2975</v>
    </nc>
  </rcc>
  <rcc rId="431" sId="4" numFmtId="4">
    <nc r="O21">
      <v>300</v>
    </nc>
  </rcc>
  <rcc rId="432" sId="4">
    <nc r="F21">
      <v>53</v>
    </nc>
  </rcc>
  <rcc rId="433" sId="4">
    <nc r="L21">
      <v>106</v>
    </nc>
  </rcc>
  <rcc rId="434" sId="4">
    <nc r="R21" t="inlineStr">
      <is>
        <t xml:space="preserve">عقيد / علاء </t>
      </is>
    </nc>
  </rcc>
  <rcc rId="435" sId="4">
    <nc r="H14">
      <v>5010</v>
    </nc>
  </rcc>
  <rcc rId="436" sId="4">
    <nc r="K14">
      <v>2744</v>
    </nc>
  </rcc>
  <rcc rId="437" sId="4">
    <nc r="I14">
      <v>23</v>
    </nc>
  </rcc>
  <rcc rId="438" sId="4">
    <nc r="F14">
      <v>83</v>
    </nc>
  </rcc>
  <rcc rId="439" sId="4">
    <nc r="N14">
      <v>65828</v>
    </nc>
  </rcc>
  <rcc rId="440" sId="4">
    <nc r="L14">
      <v>140</v>
    </nc>
  </rcc>
  <rcc rId="441" sId="4" numFmtId="4">
    <nc r="O14">
      <v>7040</v>
    </nc>
  </rcc>
  <rcc rId="442" sId="4">
    <nc r="R14" t="inlineStr">
      <is>
        <t>جندي حاتم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4">
    <nc r="G15">
      <v>34</v>
    </nc>
  </rcc>
  <rcc rId="444" sId="4">
    <nc r="G16">
      <v>17</v>
    </nc>
  </rcc>
  <rcc rId="445" sId="7">
    <nc r="R6">
      <v>34</v>
    </nc>
  </rcc>
  <rcc rId="446" sId="7">
    <nc r="R7">
      <v>17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4">
    <nc r="K29">
      <v>10652</v>
    </nc>
  </rcc>
  <rcc rId="448" sId="4">
    <nc r="H29">
      <v>26378</v>
    </nc>
  </rcc>
  <rcc rId="449" sId="4" numFmtId="4">
    <nc r="O29">
      <v>3000</v>
    </nc>
  </rcc>
  <rcc rId="450" sId="4">
    <nc r="F29">
      <v>134</v>
    </nc>
  </rcc>
  <rcc rId="451" sId="4">
    <nc r="I29">
      <v>58</v>
    </nc>
  </rcc>
  <rcc rId="452" sId="4">
    <nc r="R29" t="inlineStr">
      <is>
        <t>ظ ابراهيم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R29" t="inlineStr">
      <is>
        <t>ضابط ابراهيم</t>
      </is>
    </nc>
  </rcc>
  <rcc rId="2" sId="4">
    <nc r="H21">
      <v>1272</v>
    </nc>
  </rcc>
  <rcc rId="3" sId="4">
    <nc r="N21">
      <v>4824</v>
    </nc>
  </rcc>
  <rcc rId="4" sId="4" numFmtId="4">
    <nc r="O21">
      <v>350</v>
    </nc>
  </rcc>
  <rcc rId="5" sId="4">
    <nc r="F21">
      <v>54</v>
    </nc>
  </rcc>
  <rcc rId="6" sId="4">
    <nc r="L21">
      <v>92</v>
    </nc>
  </rcc>
  <rcc rId="7" sId="4">
    <nc r="R21" t="inlineStr">
      <is>
        <t>عقيد علاء</t>
      </is>
    </nc>
  </rcc>
  <rcc rId="8" sId="4">
    <nc r="H5">
      <v>30126</v>
    </nc>
  </rcc>
  <rcc rId="9" sId="4">
    <nc r="K5">
      <v>14054</v>
    </nc>
  </rcc>
  <rcc rId="10" sId="4" numFmtId="4">
    <nc r="O5">
      <v>2760</v>
    </nc>
  </rcc>
  <rcc rId="11" sId="4">
    <nc r="F5">
      <v>45</v>
    </nc>
  </rcc>
  <rcc rId="12" sId="4">
    <nc r="I5">
      <v>7</v>
    </nc>
  </rcc>
  <rcc rId="13" sId="4">
    <nc r="R5" t="inlineStr">
      <is>
        <t>عقيد / احمد</t>
      </is>
    </nc>
  </rcc>
  <rcc rId="14" sId="4">
    <nc r="E10">
      <v>3246</v>
    </nc>
  </rcc>
  <rcc rId="15" sId="4">
    <nc r="H10">
      <v>22542</v>
    </nc>
  </rcc>
  <rcc rId="16" sId="4">
    <nc r="N10">
      <v>6559</v>
    </nc>
  </rcc>
  <rcc rId="17" sId="4" numFmtId="4">
    <nc r="O10">
      <v>2418</v>
    </nc>
  </rcc>
  <rcc rId="18" sId="4">
    <nc r="C10">
      <v>18</v>
    </nc>
  </rcc>
  <rcc rId="19" sId="4">
    <nc r="F10">
      <v>75</v>
    </nc>
  </rcc>
  <rcc rId="20" sId="4">
    <nc r="L10">
      <v>164</v>
    </nc>
  </rcc>
  <rcc rId="21" sId="4">
    <nc r="R10" t="inlineStr">
      <is>
        <t>عقيد / فتحي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" sId="7" eol="1" ref="A35:XFD35" action="insertRow"/>
  <rrc rId="454" sId="7" eol="1" ref="A36:XFD36" action="insertRow"/>
  <rrc rId="455" sId="7" eol="1" ref="A37:XFD37" action="insertRow"/>
  <rrc rId="456" sId="7" eol="1" ref="A38:XFD38" action="insertRow"/>
  <rrc rId="457" sId="7" eol="1" ref="A39:XFD39" action="insertRow"/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4">
    <nc r="E26">
      <v>2762</v>
    </nc>
  </rcc>
  <rcc rId="466" sId="4">
    <nc r="H26">
      <v>5986</v>
    </nc>
  </rcc>
  <rcc rId="467" sId="4">
    <nc r="K26">
      <v>1432</v>
    </nc>
  </rcc>
  <rcc rId="468" sId="4">
    <nc r="N26">
      <v>11696</v>
    </nc>
  </rcc>
  <rcc rId="469" sId="4" numFmtId="4">
    <nc r="O26">
      <v>900</v>
    </nc>
  </rcc>
  <rcc rId="470" sId="4">
    <nc r="C26">
      <v>72</v>
    </nc>
  </rcc>
  <rcc rId="471" sId="4">
    <nc r="F26">
      <v>40</v>
    </nc>
  </rcc>
  <rcc rId="472" sId="4">
    <nc r="I26">
      <v>39</v>
    </nc>
  </rcc>
  <rcc rId="473" sId="4">
    <nc r="L26">
      <v>166</v>
    </nc>
  </rcc>
  <rcc rId="474" sId="4">
    <nc r="R26" t="inlineStr">
      <is>
        <t>عميد احمد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4">
    <nc r="E7">
      <v>29391</v>
    </nc>
  </rcc>
  <rcc rId="476" sId="4">
    <nc r="H7">
      <v>16208</v>
    </nc>
  </rcc>
  <rcc rId="477" sId="4">
    <nc r="K7">
      <v>3029</v>
    </nc>
  </rcc>
  <rcc rId="478" sId="4" numFmtId="4">
    <nc r="O7">
      <v>2522</v>
    </nc>
  </rcc>
  <rcc rId="479" sId="4">
    <nc r="C7">
      <v>62</v>
    </nc>
  </rcc>
  <rcc rId="480" sId="4">
    <nc r="F7">
      <v>38</v>
    </nc>
  </rcc>
  <rcc rId="481" sId="4">
    <nc r="I7">
      <v>42</v>
    </nc>
  </rcc>
  <rcc rId="482" sId="4">
    <nc r="R7" t="inlineStr">
      <is>
        <t>عميد / سعد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4">
    <nc r="H31">
      <v>46570</v>
    </nc>
  </rcc>
  <rcc rId="484" sId="4">
    <nc r="K31">
      <v>14145</v>
    </nc>
  </rcc>
  <rcc rId="485" sId="4" numFmtId="4">
    <nc r="O31">
      <v>5000</v>
    </nc>
  </rcc>
  <rcc rId="486" sId="4">
    <nc r="F31">
      <v>123</v>
    </nc>
  </rcc>
  <rcc rId="487" sId="4">
    <nc r="I31">
      <v>82</v>
    </nc>
  </rcc>
  <rcc rId="488" sId="4">
    <nc r="R31" t="inlineStr">
      <is>
        <t>محاسب ماركو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4">
    <oc r="F31">
      <v>123</v>
    </oc>
    <nc r="F31">
      <v>174</v>
    </nc>
  </rcc>
  <rcc rId="490" sId="4">
    <nc r="H6">
      <v>20465</v>
    </nc>
  </rcc>
  <rcc rId="491" sId="4">
    <nc r="K6">
      <v>7349</v>
    </nc>
  </rcc>
  <rcc rId="492" sId="4" numFmtId="4">
    <nc r="O6">
      <v>1620</v>
    </nc>
  </rcc>
  <rcc rId="493" sId="4">
    <nc r="F6">
      <v>68</v>
    </nc>
  </rcc>
  <rcc rId="494" sId="4">
    <nc r="I6">
      <v>30</v>
    </nc>
  </rcc>
  <rcc rId="495" sId="4">
    <nc r="R6" t="inlineStr">
      <is>
        <t>عقيد وائل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4">
    <nc r="E10">
      <v>1051</v>
    </nc>
  </rcc>
  <rcc rId="497" sId="4">
    <nc r="H10">
      <v>16030</v>
    </nc>
  </rcc>
  <rcc rId="498" sId="4">
    <nc r="N10">
      <v>3030</v>
    </nc>
  </rcc>
  <rcc rId="499" sId="4" numFmtId="4">
    <nc r="O10">
      <v>1590</v>
    </nc>
  </rcc>
  <rcc rId="500" sId="4">
    <nc r="C10">
      <v>18</v>
    </nc>
  </rcc>
  <rcc rId="501" sId="4">
    <nc r="F10">
      <v>76</v>
    </nc>
  </rcc>
  <rcc rId="502" sId="4">
    <nc r="L10">
      <v>179</v>
    </nc>
  </rcc>
  <rcc rId="503" sId="4">
    <nc r="R10" t="inlineStr">
      <is>
        <t>عقيد فتحي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6">
    <oc r="K13">
      <f>F13*0.1075+G13*0.145</f>
    </oc>
    <nc r="K13">
      <f>F13*0.09+G13*0.125</f>
    </nc>
  </rcc>
  <rcc rId="505" sId="6">
    <oc r="K15">
      <f>E15*0.0695+F15*0.1075+G15*0.145</f>
    </oc>
    <nc r="K15">
      <f>E15*0.0695+F15*0.09+G15*0.125</f>
    </nc>
  </rcc>
  <rcc rId="506" sId="6">
    <oc r="K17">
      <f>F17*0.1075+G17*0.145</f>
    </oc>
    <nc r="K17">
      <f>F17*0.09+G17*0.125</f>
    </nc>
  </rcc>
  <rcc rId="507" sId="6">
    <oc r="K18">
      <f>F18*0.1075+G18*0.145</f>
    </oc>
    <nc r="K18">
      <f>F18*0.09+G18*0.125</f>
    </nc>
  </rcc>
  <rcc rId="508" sId="6">
    <oc r="K14">
      <f>E14*0.0695+F14*0.1075+G14*0.145+H14*0.085</f>
    </oc>
    <nc r="K14">
      <f>E14*0.0695+F14*0.09+G14*0.125+H14*0.07</f>
    </nc>
  </rcc>
  <rcc rId="509" sId="6">
    <oc r="K24">
      <f>E24*0.0695+F24*0.1075+G24*0.145</f>
    </oc>
    <nc r="K24">
      <f>E24*0.0695+F24*0.09+G24*0.125</f>
    </nc>
  </rcc>
  <rcc rId="510" sId="6">
    <oc r="K22">
      <f>F22*0.1075+G22*0.145</f>
    </oc>
    <nc r="K22">
      <f>F22*0.09+G22*0.125</f>
    </nc>
  </rcc>
  <rcc rId="511" sId="6">
    <oc r="K21">
      <f>F21*0.1075+G21*0.145</f>
    </oc>
    <nc r="K21">
      <f>F21*0.09+G21*0.125</f>
    </nc>
  </rcc>
  <rcc rId="512" sId="6">
    <oc r="K19">
      <f>F19*0.1075+G19*0.145</f>
    </oc>
    <nc r="K19">
      <f>F19*0.09+G19*0.125</f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6">
    <oc r="B6" t="inlineStr">
      <is>
        <t xml:space="preserve">معدل البيع اليومى لمحطات وقود شل اوت التي يديرها الوكلاء (المتحدة  - ماستر اكسبريس - اينوتك - ستارت بوينت) 2019/9/26 </t>
      </is>
    </oc>
    <nc r="B6" t="inlineStr">
      <is>
        <t xml:space="preserve">معدل البيع اليومى لمحطات وقود شل اوت التي يديرها الوكلاء (المتحدة  - ماستر اكسبريس - اينوتك - ستارت بوينت) 2019/9/27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4">
    <oc r="F5">
      <v>83</v>
    </oc>
    <nc r="F5"/>
  </rcc>
  <rcc rId="522" sId="4">
    <oc r="H5">
      <v>13832</v>
    </oc>
    <nc r="H5"/>
  </rcc>
  <rcc rId="523" sId="4">
    <oc r="I5">
      <v>18</v>
    </oc>
    <nc r="I5"/>
  </rcc>
  <rcc rId="524" sId="4">
    <oc r="K5">
      <v>6574</v>
    </oc>
    <nc r="K5"/>
  </rcc>
  <rcc rId="525" sId="4" numFmtId="4">
    <oc r="O5">
      <v>1270</v>
    </oc>
    <nc r="O5"/>
  </rcc>
  <rcc rId="526" sId="4">
    <oc r="F6">
      <v>68</v>
    </oc>
    <nc r="F6"/>
  </rcc>
  <rcc rId="527" sId="4">
    <oc r="G6">
      <v>34</v>
    </oc>
    <nc r="G6"/>
  </rcc>
  <rcc rId="528" sId="4">
    <oc r="H6">
      <v>20465</v>
    </oc>
    <nc r="H6"/>
  </rcc>
  <rcc rId="529" sId="4">
    <oc r="I6">
      <v>30</v>
    </oc>
    <nc r="I6"/>
  </rcc>
  <rcc rId="530" sId="4">
    <oc r="J6">
      <v>17</v>
    </oc>
    <nc r="J6"/>
  </rcc>
  <rcc rId="531" sId="4">
    <oc r="K6">
      <v>7349</v>
    </oc>
    <nc r="K6"/>
  </rcc>
  <rcc rId="532" sId="4" numFmtId="4">
    <oc r="O6">
      <v>1620</v>
    </oc>
    <nc r="O6"/>
  </rcc>
  <rcc rId="533" sId="4">
    <oc r="C7">
      <v>62</v>
    </oc>
    <nc r="C7"/>
  </rcc>
  <rcc rId="534" sId="4">
    <oc r="E7">
      <v>29391</v>
    </oc>
    <nc r="E7"/>
  </rcc>
  <rcc rId="535" sId="4">
    <oc r="F7">
      <v>38</v>
    </oc>
    <nc r="F7"/>
  </rcc>
  <rcc rId="536" sId="4">
    <oc r="G7">
      <v>17</v>
    </oc>
    <nc r="G7"/>
  </rcc>
  <rcc rId="537" sId="4">
    <oc r="H7">
      <v>16208</v>
    </oc>
    <nc r="H7"/>
  </rcc>
  <rcc rId="538" sId="4">
    <oc r="I7">
      <v>42</v>
    </oc>
    <nc r="I7"/>
  </rcc>
  <rcc rId="539" sId="4">
    <oc r="J7">
      <v>17</v>
    </oc>
    <nc r="J7"/>
  </rcc>
  <rcc rId="540" sId="4">
    <oc r="K7">
      <v>3029</v>
    </oc>
    <nc r="K7"/>
  </rcc>
  <rcc rId="541" sId="4" numFmtId="4">
    <oc r="O7">
      <v>2522</v>
    </oc>
    <nc r="O7"/>
  </rcc>
  <rcc rId="542" sId="4">
    <oc r="C8">
      <v>29</v>
    </oc>
    <nc r="C8"/>
  </rcc>
  <rcc rId="543" sId="4">
    <oc r="E8">
      <v>2950</v>
    </oc>
    <nc r="E8"/>
  </rcc>
  <rcc rId="544" sId="4">
    <oc r="F8">
      <v>44</v>
    </oc>
    <nc r="F8"/>
  </rcc>
  <rcc rId="545" sId="4">
    <oc r="H8">
      <v>14463</v>
    </oc>
    <nc r="H8"/>
  </rcc>
  <rcc rId="546" sId="4">
    <oc r="I8">
      <v>25</v>
    </oc>
    <nc r="I8"/>
  </rcc>
  <rcc rId="547" sId="4">
    <oc r="J8">
      <v>17</v>
    </oc>
    <nc r="J8"/>
  </rcc>
  <rcc rId="548" sId="4">
    <oc r="K8">
      <v>6536</v>
    </oc>
    <nc r="K8"/>
  </rcc>
  <rcc rId="549" sId="4">
    <oc r="L8">
      <v>164</v>
    </oc>
    <nc r="L8"/>
  </rcc>
  <rcc rId="550" sId="4">
    <oc r="N8">
      <v>3276</v>
    </oc>
    <nc r="N8"/>
  </rcc>
  <rcc rId="551" sId="4" numFmtId="4">
    <oc r="O8">
      <v>2354</v>
    </oc>
    <nc r="O8"/>
  </rcc>
  <rcc rId="552" sId="4">
    <oc r="F9">
      <v>67</v>
    </oc>
    <nc r="F9"/>
  </rcc>
  <rcc rId="553" sId="4">
    <oc r="H9">
      <v>26080</v>
    </oc>
    <nc r="H9"/>
  </rcc>
  <rcc rId="554" sId="4">
    <oc r="I9">
      <v>24</v>
    </oc>
    <nc r="I9"/>
  </rcc>
  <rcc rId="555" sId="4">
    <oc r="K9">
      <v>8497</v>
    </oc>
    <nc r="K9"/>
  </rcc>
  <rcc rId="556" sId="4" numFmtId="4">
    <oc r="O9">
      <v>2360</v>
    </oc>
    <nc r="O9"/>
  </rcc>
  <rcc rId="557" sId="4">
    <oc r="C10">
      <v>18</v>
    </oc>
    <nc r="C10"/>
  </rcc>
  <rcc rId="558" sId="4">
    <oc r="E10">
      <v>1051</v>
    </oc>
    <nc r="E10"/>
  </rcc>
  <rcc rId="559" sId="4">
    <oc r="F10">
      <v>76</v>
    </oc>
    <nc r="F10"/>
  </rcc>
  <rcc rId="560" sId="4">
    <oc r="H10">
      <v>16030</v>
    </oc>
    <nc r="H10"/>
  </rcc>
  <rcc rId="561" sId="4">
    <oc r="L10">
      <v>179</v>
    </oc>
    <nc r="L10"/>
  </rcc>
  <rcc rId="562" sId="4">
    <oc r="N10">
      <v>3030</v>
    </oc>
    <nc r="N10"/>
  </rcc>
  <rcc rId="563" sId="4" numFmtId="4">
    <oc r="O10">
      <v>1590</v>
    </oc>
    <nc r="O10"/>
  </rcc>
  <rcc rId="564" sId="4">
    <oc r="C11">
      <v>12</v>
    </oc>
    <nc r="C11"/>
  </rcc>
  <rcc rId="565" sId="4">
    <oc r="E11">
      <v>4928</v>
    </oc>
    <nc r="E11"/>
  </rcc>
  <rcc rId="566" sId="4">
    <oc r="F11">
      <v>74</v>
    </oc>
    <nc r="F11"/>
  </rcc>
  <rcc rId="567" sId="4">
    <oc r="H11">
      <v>14658</v>
    </oc>
    <nc r="H11"/>
  </rcc>
  <rcc rId="568" sId="4">
    <oc r="L11">
      <v>157</v>
    </oc>
    <nc r="L11"/>
  </rcc>
  <rcc rId="569" sId="4">
    <oc r="N11">
      <v>12448</v>
    </oc>
    <nc r="N11"/>
  </rcc>
  <rcc rId="570" sId="4" numFmtId="4">
    <oc r="O11">
      <v>2200</v>
    </oc>
    <nc r="O11"/>
  </rcc>
  <rcc rId="571" sId="4">
    <oc r="F12">
      <v>150</v>
    </oc>
    <nc r="F12"/>
  </rcc>
  <rcc rId="572" sId="4">
    <oc r="H12">
      <v>22957</v>
    </oc>
    <nc r="H12"/>
  </rcc>
  <rcc rId="573" sId="4">
    <oc r="I12">
      <v>42</v>
    </oc>
    <nc r="I12"/>
  </rcc>
  <rcc rId="574" sId="4">
    <oc r="J12">
      <v>17</v>
    </oc>
    <nc r="J12"/>
  </rcc>
  <rcc rId="575" sId="4">
    <oc r="K12">
      <v>6220</v>
    </oc>
    <nc r="K12"/>
  </rcc>
  <rcc rId="576" sId="4" numFmtId="4">
    <oc r="O12">
      <v>1840</v>
    </oc>
    <nc r="O12"/>
  </rcc>
  <rcc rId="577" sId="4">
    <oc r="F13">
      <v>140</v>
    </oc>
    <nc r="F13"/>
  </rcc>
  <rcc rId="578" sId="4">
    <oc r="G13">
      <v>34</v>
    </oc>
    <nc r="G13"/>
  </rcc>
  <rcc rId="579" sId="4">
    <oc r="H13">
      <v>18022</v>
    </oc>
    <nc r="H13"/>
  </rcc>
  <rcc rId="580" sId="4">
    <oc r="I13">
      <v>34</v>
    </oc>
    <nc r="I13"/>
  </rcc>
  <rcc rId="581" sId="4">
    <oc r="K13">
      <v>6714</v>
    </oc>
    <nc r="K13"/>
  </rcc>
  <rcc rId="582" sId="4">
    <oc r="L13">
      <v>105</v>
    </oc>
    <nc r="L13"/>
  </rcc>
  <rcc rId="583" sId="4">
    <oc r="N13">
      <v>13946</v>
    </oc>
    <nc r="N13"/>
  </rcc>
  <rcc rId="584" sId="4">
    <oc r="F14">
      <v>83</v>
    </oc>
    <nc r="F14"/>
  </rcc>
  <rcc rId="585" sId="4">
    <oc r="H14">
      <v>5010</v>
    </oc>
    <nc r="H14"/>
  </rcc>
  <rcc rId="586" sId="4">
    <oc r="I14">
      <v>23</v>
    </oc>
    <nc r="I14"/>
  </rcc>
  <rcc rId="587" sId="4">
    <oc r="K14">
      <v>2744</v>
    </oc>
    <nc r="K14"/>
  </rcc>
  <rcc rId="588" sId="4">
    <oc r="L14">
      <v>140</v>
    </oc>
    <nc r="L14"/>
  </rcc>
  <rcc rId="589" sId="4">
    <oc r="N14">
      <v>65828</v>
    </oc>
    <nc r="N14"/>
  </rcc>
  <rcc rId="590" sId="4" numFmtId="4">
    <oc r="O14">
      <v>7040</v>
    </oc>
    <nc r="O14"/>
  </rcc>
  <rcc rId="591" sId="4">
    <oc r="F15">
      <v>53</v>
    </oc>
    <nc r="F15"/>
  </rcc>
  <rcc rId="592" sId="4">
    <oc r="G15">
      <v>34</v>
    </oc>
    <nc r="G15"/>
  </rcc>
  <rcc rId="593" sId="4">
    <oc r="H15">
      <v>8566</v>
    </oc>
    <nc r="H15"/>
  </rcc>
  <rcc rId="594" sId="4">
    <oc r="I15">
      <v>14</v>
    </oc>
    <nc r="I15"/>
  </rcc>
  <rcc rId="595" sId="4">
    <oc r="K15">
      <v>3497</v>
    </oc>
    <nc r="K15"/>
  </rcc>
  <rcc rId="596" sId="4">
    <oc r="L15">
      <v>49</v>
    </oc>
    <nc r="L15"/>
  </rcc>
  <rcc rId="597" sId="4">
    <oc r="N15">
      <v>1316</v>
    </oc>
    <nc r="N15"/>
  </rcc>
  <rcc rId="598" sId="4" numFmtId="4">
    <oc r="O15">
      <v>1150</v>
    </oc>
    <nc r="O15"/>
  </rcc>
  <rcc rId="599" sId="4">
    <oc r="F16">
      <v>41</v>
    </oc>
    <nc r="F16"/>
  </rcc>
  <rcc rId="600" sId="4">
    <oc r="G16">
      <v>17</v>
    </oc>
    <nc r="G16"/>
  </rcc>
  <rcc rId="601" sId="4">
    <oc r="H16">
      <v>2146</v>
    </oc>
    <nc r="H16"/>
  </rcc>
  <rcc rId="602" sId="4">
    <oc r="I16">
      <v>14</v>
    </oc>
    <nc r="I16"/>
  </rcc>
  <rcc rId="603" sId="4">
    <oc r="K16">
      <v>767</v>
    </oc>
    <nc r="K16"/>
  </rcc>
  <rcc rId="604" sId="4" numFmtId="4">
    <oc r="O16">
      <v>329</v>
    </oc>
    <nc r="O16"/>
  </rcc>
  <rcc rId="605" sId="4">
    <oc r="F17">
      <v>75</v>
    </oc>
    <nc r="F17"/>
  </rcc>
  <rcc rId="606" sId="4">
    <oc r="H17">
      <v>2413</v>
    </oc>
    <nc r="H17"/>
  </rcc>
  <rcc rId="607" sId="4">
    <oc r="I17">
      <v>15</v>
    </oc>
    <nc r="I17"/>
  </rcc>
  <rcc rId="608" sId="4">
    <oc r="K17">
      <v>479</v>
    </oc>
    <nc r="K17"/>
  </rcc>
  <rcc rId="609" sId="4">
    <oc r="L17">
      <v>144</v>
    </oc>
    <nc r="L17"/>
  </rcc>
  <rcc rId="610" sId="4">
    <oc r="N17">
      <v>3978</v>
    </oc>
    <nc r="N17"/>
  </rcc>
  <rcc rId="611" sId="4" numFmtId="4">
    <oc r="O17">
      <v>750</v>
    </oc>
    <nc r="O17"/>
  </rcc>
  <rcc rId="612" sId="4">
    <oc r="F18">
      <v>70</v>
    </oc>
    <nc r="F18"/>
  </rcc>
  <rcc rId="613" sId="4">
    <oc r="G18">
      <v>17</v>
    </oc>
    <nc r="G18"/>
  </rcc>
  <rcc rId="614" sId="4">
    <oc r="H18">
      <v>6590</v>
    </oc>
    <nc r="H18"/>
  </rcc>
  <rcc rId="615" sId="4">
    <oc r="I18">
      <v>12</v>
    </oc>
    <nc r="I18"/>
  </rcc>
  <rcc rId="616" sId="4">
    <oc r="J18">
      <v>17</v>
    </oc>
    <nc r="J18"/>
  </rcc>
  <rcc rId="617" sId="4">
    <oc r="K18">
      <v>1884</v>
    </oc>
    <nc r="K18"/>
  </rcc>
  <rcc rId="618" sId="4">
    <oc r="L18">
      <v>142</v>
    </oc>
    <nc r="L18"/>
  </rcc>
  <rcc rId="619" sId="4">
    <oc r="M18">
      <v>17</v>
    </oc>
    <nc r="M18"/>
  </rcc>
  <rcc rId="620" sId="4">
    <oc r="N18">
      <v>17452</v>
    </oc>
    <nc r="N18"/>
  </rcc>
  <rcc rId="621" sId="4" numFmtId="4">
    <oc r="O18">
      <v>625</v>
    </oc>
    <nc r="O18"/>
  </rcc>
  <rcc rId="622" sId="4">
    <oc r="P18">
      <v>1305</v>
    </oc>
    <nc r="P18"/>
  </rcc>
  <rcc rId="623" sId="4">
    <oc r="F19">
      <v>75</v>
    </oc>
    <nc r="F19"/>
  </rcc>
  <rcc rId="624" sId="4">
    <oc r="H19">
      <v>5172</v>
    </oc>
    <nc r="H19"/>
  </rcc>
  <rcc rId="625" sId="4">
    <oc r="I19">
      <v>16</v>
    </oc>
    <nc r="I19"/>
  </rcc>
  <rcc rId="626" sId="4">
    <oc r="K19">
      <v>1113</v>
    </oc>
    <nc r="K19"/>
  </rcc>
  <rcc rId="627" sId="4" numFmtId="4">
    <oc r="O19">
      <v>530</v>
    </oc>
    <nc r="O19"/>
  </rcc>
  <rcc rId="628" sId="4">
    <oc r="C20">
      <v>29</v>
    </oc>
    <nc r="C20"/>
  </rcc>
  <rcc rId="629" sId="4">
    <oc r="E20">
      <v>143</v>
    </oc>
    <nc r="E20"/>
  </rcc>
  <rcc rId="630" sId="4">
    <oc r="F20">
      <v>52</v>
    </oc>
    <nc r="F20"/>
  </rcc>
  <rcc rId="631" sId="4">
    <oc r="H20">
      <v>885</v>
    </oc>
    <nc r="H20"/>
  </rcc>
  <rcc rId="632" sId="4">
    <oc r="L20">
      <v>106</v>
    </oc>
    <nc r="L20"/>
  </rcc>
  <rcc rId="633" sId="4">
    <oc r="N20">
      <v>8329</v>
    </oc>
    <nc r="N20"/>
  </rcc>
  <rcc rId="634" sId="4" numFmtId="4">
    <oc r="O20">
      <v>80</v>
    </oc>
    <nc r="O20"/>
  </rcc>
  <rcc rId="635" sId="4">
    <oc r="P20">
      <v>710</v>
    </oc>
    <nc r="P20"/>
  </rcc>
  <rcc rId="636" sId="4">
    <oc r="F21">
      <v>53</v>
    </oc>
    <nc r="F21"/>
  </rcc>
  <rcc rId="637" sId="4">
    <oc r="H21">
      <v>1412</v>
    </oc>
    <nc r="H21"/>
  </rcc>
  <rcc rId="638" sId="4">
    <oc r="L21">
      <v>106</v>
    </oc>
    <nc r="L21"/>
  </rcc>
  <rcc rId="639" sId="4">
    <oc r="N21">
      <v>2975</v>
    </oc>
    <nc r="N21"/>
  </rcc>
  <rcc rId="640" sId="4" numFmtId="4">
    <oc r="O21">
      <v>300</v>
    </oc>
    <nc r="O21"/>
  </rcc>
  <rcc rId="641" sId="4">
    <oc r="F22">
      <v>70</v>
    </oc>
    <nc r="F22"/>
  </rcc>
  <rcc rId="642" sId="4">
    <oc r="G22">
      <v>17</v>
    </oc>
    <nc r="G22"/>
  </rcc>
  <rcc rId="643" sId="4">
    <oc r="H22">
      <v>9748</v>
    </oc>
    <nc r="H22"/>
  </rcc>
  <rcc rId="644" sId="4">
    <oc r="I22">
      <v>16</v>
    </oc>
    <nc r="I22"/>
  </rcc>
  <rcc rId="645" sId="4">
    <oc r="K22">
      <v>1548</v>
    </oc>
    <nc r="K22"/>
  </rcc>
  <rcc rId="646" sId="4">
    <oc r="L22">
      <v>144</v>
    </oc>
    <nc r="L22"/>
  </rcc>
  <rcc rId="647" sId="4">
    <oc r="M22">
      <v>34</v>
    </oc>
    <nc r="M22"/>
  </rcc>
  <rcc rId="648" sId="4">
    <oc r="N22">
      <v>33318</v>
    </oc>
    <nc r="N22"/>
  </rcc>
  <rcc rId="649" sId="4" numFmtId="4">
    <oc r="O22">
      <v>1100</v>
    </oc>
    <nc r="O22"/>
  </rcc>
  <rcc rId="650" sId="4">
    <oc r="P22">
      <v>2500</v>
    </oc>
    <nc r="P22"/>
  </rcc>
  <rcc rId="651" sId="4">
    <oc r="F23">
      <v>80</v>
    </oc>
    <nc r="F23"/>
  </rcc>
  <rcc rId="652" sId="4">
    <oc r="H23">
      <v>9897</v>
    </oc>
    <nc r="H23"/>
  </rcc>
  <rcc rId="653" sId="4">
    <oc r="I23">
      <v>20</v>
    </oc>
    <nc r="I23"/>
  </rcc>
  <rcc rId="654" sId="4">
    <oc r="K23">
      <v>2125</v>
    </oc>
    <nc r="K23"/>
  </rcc>
  <rcc rId="655" sId="4">
    <oc r="L23">
      <v>129</v>
    </oc>
    <nc r="L23"/>
  </rcc>
  <rcc rId="656" sId="4">
    <oc r="M23">
      <v>51</v>
    </oc>
    <nc r="M23"/>
  </rcc>
  <rcc rId="657" sId="4">
    <oc r="N23">
      <v>37636</v>
    </oc>
    <nc r="N23"/>
  </rcc>
  <rcc rId="658" sId="4" numFmtId="4">
    <oc r="O23">
      <v>1045</v>
    </oc>
    <nc r="O23"/>
  </rcc>
  <rcc rId="659" sId="4">
    <oc r="P23">
      <v>2830</v>
    </oc>
    <nc r="P23"/>
  </rcc>
  <rcc rId="660" sId="4">
    <oc r="F24">
      <v>70</v>
    </oc>
    <nc r="F24"/>
  </rcc>
  <rcc rId="661" sId="4">
    <oc r="G24">
      <v>17</v>
    </oc>
    <nc r="G24"/>
  </rcc>
  <rcc rId="662" sId="4">
    <oc r="H24">
      <v>7575</v>
    </oc>
    <nc r="H24"/>
  </rcc>
  <rcc rId="663" sId="4">
    <oc r="I24">
      <v>27</v>
    </oc>
    <nc r="I24"/>
  </rcc>
  <rcc rId="664" sId="4">
    <oc r="K24">
      <v>725</v>
    </oc>
    <nc r="K24"/>
  </rcc>
  <rcc rId="665" sId="4">
    <oc r="L24">
      <v>150</v>
    </oc>
    <nc r="L24"/>
  </rcc>
  <rcc rId="666" sId="4">
    <oc r="M24">
      <v>34</v>
    </oc>
    <nc r="M24"/>
  </rcc>
  <rcc rId="667" sId="4">
    <oc r="N24">
      <v>21792</v>
    </oc>
    <nc r="N24"/>
  </rcc>
  <rcc rId="668" sId="4" numFmtId="4">
    <oc r="O24">
      <v>705</v>
    </oc>
    <nc r="O24"/>
  </rcc>
  <rcc rId="669" sId="4">
    <oc r="P24">
      <v>1615</v>
    </oc>
    <nc r="P24"/>
  </rcc>
  <rcc rId="670" sId="4">
    <oc r="F25">
      <v>85</v>
    </oc>
    <nc r="F25"/>
  </rcc>
  <rcc rId="671" sId="4">
    <oc r="H25">
      <v>5784</v>
    </oc>
    <nc r="H25"/>
  </rcc>
  <rcc rId="672" sId="4">
    <oc r="I25">
      <v>16</v>
    </oc>
    <nc r="I25"/>
  </rcc>
  <rcc rId="673" sId="4">
    <oc r="K25">
      <v>956</v>
    </oc>
    <nc r="K25"/>
  </rcc>
  <rcc rId="674" sId="4">
    <oc r="L25">
      <v>159</v>
    </oc>
    <nc r="L25"/>
  </rcc>
  <rcc rId="675" sId="4">
    <oc r="N25">
      <v>15092</v>
    </oc>
    <nc r="N25"/>
  </rcc>
  <rcc rId="676" sId="4" numFmtId="4">
    <oc r="O25">
      <v>554</v>
    </oc>
    <nc r="O25"/>
  </rcc>
  <rcc rId="677" sId="4">
    <oc r="P25">
      <v>1112</v>
    </oc>
    <nc r="P25"/>
  </rcc>
  <rcc rId="678" sId="4">
    <oc r="C26">
      <v>72</v>
    </oc>
    <nc r="C26"/>
  </rcc>
  <rcc rId="679" sId="4">
    <oc r="E26">
      <v>2762</v>
    </oc>
    <nc r="E26"/>
  </rcc>
  <rcc rId="680" sId="4">
    <oc r="F26">
      <v>40</v>
    </oc>
    <nc r="F26"/>
  </rcc>
  <rcc rId="681" sId="4">
    <oc r="H26">
      <v>5986</v>
    </oc>
    <nc r="H26"/>
  </rcc>
  <rcc rId="682" sId="4">
    <oc r="I26">
      <v>39</v>
    </oc>
    <nc r="I26"/>
  </rcc>
  <rcc rId="683" sId="4">
    <oc r="K26">
      <v>1432</v>
    </oc>
    <nc r="K26"/>
  </rcc>
  <rcc rId="684" sId="4">
    <oc r="L26">
      <v>166</v>
    </oc>
    <nc r="L26"/>
  </rcc>
  <rcc rId="685" sId="4">
    <oc r="N26">
      <v>11696</v>
    </oc>
    <nc r="N26"/>
  </rcc>
  <rcc rId="686" sId="4" numFmtId="4">
    <oc r="O26">
      <v>900</v>
    </oc>
    <nc r="O26"/>
  </rcc>
  <rcc rId="687" sId="4">
    <oc r="F27">
      <v>129</v>
    </oc>
    <nc r="F27"/>
  </rcc>
  <rcc rId="688" sId="4">
    <oc r="H27">
      <v>3025</v>
    </oc>
    <nc r="H27"/>
  </rcc>
  <rcc rId="689" sId="4">
    <oc r="I27">
      <v>35</v>
    </oc>
    <nc r="I27"/>
  </rcc>
  <rcc rId="690" sId="4">
    <oc r="K27">
      <v>1501</v>
    </oc>
    <nc r="K27"/>
  </rcc>
  <rcc rId="691" sId="4" numFmtId="4">
    <oc r="O27">
      <v>141</v>
    </oc>
    <nc r="O27"/>
  </rcc>
  <rcc rId="692" sId="4">
    <oc r="F28">
      <v>165</v>
    </oc>
    <nc r="F28"/>
  </rcc>
  <rcc rId="693" sId="4">
    <oc r="H28">
      <v>20285</v>
    </oc>
    <nc r="H28"/>
  </rcc>
  <rcc rId="694" sId="4">
    <oc r="I28">
      <v>64</v>
    </oc>
    <nc r="I28"/>
  </rcc>
  <rcc rId="695" sId="4">
    <oc r="K28">
      <v>8426</v>
    </oc>
    <nc r="K28"/>
  </rcc>
  <rcc rId="696" sId="4" numFmtId="4">
    <oc r="O28">
      <v>1000</v>
    </oc>
    <nc r="O28"/>
  </rcc>
  <rcc rId="697" sId="4">
    <oc r="F29">
      <v>134</v>
    </oc>
    <nc r="F29"/>
  </rcc>
  <rcc rId="698" sId="4">
    <oc r="H29">
      <v>26378</v>
    </oc>
    <nc r="H29"/>
  </rcc>
  <rcc rId="699" sId="4">
    <oc r="I29">
      <v>58</v>
    </oc>
    <nc r="I29"/>
  </rcc>
  <rcc rId="700" sId="4">
    <oc r="K29">
      <v>10652</v>
    </oc>
    <nc r="K29"/>
  </rcc>
  <rcc rId="701" sId="4" numFmtId="4">
    <oc r="O29">
      <v>3000</v>
    </oc>
    <nc r="O29"/>
  </rcc>
  <rcc rId="702" sId="4">
    <oc r="F30">
      <v>151</v>
    </oc>
    <nc r="F30"/>
  </rcc>
  <rcc rId="703" sId="4">
    <oc r="H30">
      <v>26473</v>
    </oc>
    <nc r="H30"/>
  </rcc>
  <rcc rId="704" sId="4">
    <oc r="I30">
      <v>79</v>
    </oc>
    <nc r="I30"/>
  </rcc>
  <rcc rId="705" sId="4">
    <oc r="J30">
      <v>34</v>
    </oc>
    <nc r="J30"/>
  </rcc>
  <rcc rId="706" sId="4">
    <oc r="K30">
      <v>8025</v>
    </oc>
    <nc r="K30"/>
  </rcc>
  <rcc rId="707" sId="4" numFmtId="4">
    <oc r="O30">
      <v>399</v>
    </oc>
    <nc r="O30"/>
  </rcc>
  <rcc rId="708" sId="4">
    <oc r="F31">
      <v>174</v>
    </oc>
    <nc r="F31"/>
  </rcc>
  <rcc rId="709" sId="4">
    <oc r="G31">
      <v>51</v>
    </oc>
    <nc r="G31"/>
  </rcc>
  <rcc rId="710" sId="4">
    <oc r="H31">
      <v>46570</v>
    </oc>
    <nc r="H31"/>
  </rcc>
  <rcc rId="711" sId="4">
    <oc r="I31">
      <v>82</v>
    </oc>
    <nc r="I31"/>
  </rcc>
  <rcc rId="712" sId="4">
    <oc r="J31">
      <v>17</v>
    </oc>
    <nc r="J31"/>
  </rcc>
  <rcc rId="713" sId="4">
    <oc r="K31">
      <v>14145</v>
    </oc>
    <nc r="K31"/>
  </rcc>
  <rcc rId="714" sId="4" numFmtId="4">
    <oc r="O31">
      <v>5000</v>
    </oc>
    <nc r="O31"/>
  </rcc>
  <rcc rId="715" sId="4">
    <oc r="C32">
      <v>68</v>
    </oc>
    <nc r="C32"/>
  </rcc>
  <rcc rId="716" sId="4">
    <oc r="E32">
      <v>10359</v>
    </oc>
    <nc r="E32"/>
  </rcc>
  <rcc rId="717" sId="4">
    <oc r="F32">
      <v>66</v>
    </oc>
    <nc r="F32"/>
  </rcc>
  <rcc rId="718" sId="4">
    <oc r="H32">
      <v>12526</v>
    </oc>
    <nc r="H32"/>
  </rcc>
  <rcc rId="719" sId="4">
    <oc r="I32">
      <v>85</v>
    </oc>
    <nc r="I32"/>
  </rcc>
  <rcc rId="720" sId="4">
    <oc r="K32">
      <v>1147</v>
    </oc>
    <nc r="K32"/>
  </rcc>
  <rcc rId="721" sId="4" numFmtId="4">
    <oc r="O32">
      <v>2113</v>
    </oc>
    <nc r="O32"/>
  </rcc>
  <rcc rId="722" sId="4">
    <oc r="R5" t="inlineStr">
      <is>
        <t>عقيد احمد</t>
      </is>
    </oc>
    <nc r="R5"/>
  </rcc>
  <rcc rId="723" sId="4">
    <oc r="R6" t="inlineStr">
      <is>
        <t>عقيد وائل</t>
      </is>
    </oc>
    <nc r="R6"/>
  </rcc>
  <rcc rId="724" sId="4">
    <oc r="S6">
      <v>14770</v>
    </oc>
    <nc r="S6"/>
  </rcc>
  <rcc rId="725" sId="4">
    <oc r="R7" t="inlineStr">
      <is>
        <t>عميد / سعد</t>
      </is>
    </oc>
    <nc r="R7"/>
  </rcc>
  <rcc rId="726" sId="4">
    <oc r="R8" t="inlineStr">
      <is>
        <t>نقيب احمد</t>
      </is>
    </oc>
    <nc r="R8"/>
  </rcc>
  <rcc rId="727" sId="4">
    <oc r="R9" t="inlineStr">
      <is>
        <t>عقيد محمد</t>
      </is>
    </oc>
    <nc r="R9"/>
  </rcc>
  <rcc rId="728" sId="4">
    <oc r="R10" t="inlineStr">
      <is>
        <t>عقيد فتحي</t>
      </is>
    </oc>
    <nc r="R10"/>
  </rcc>
  <rcc rId="729" sId="4">
    <oc r="R11" t="inlineStr">
      <is>
        <t>عميد اشرف</t>
      </is>
    </oc>
    <nc r="R11"/>
  </rcc>
  <rcc rId="730" sId="4">
    <oc r="R12" t="inlineStr">
      <is>
        <t>ظ احمد</t>
      </is>
    </oc>
    <nc r="R12"/>
  </rcc>
  <rcc rId="731" sId="4">
    <oc r="R13" t="inlineStr">
      <is>
        <t>عميد اسامه</t>
      </is>
    </oc>
    <nc r="R13"/>
  </rcc>
  <rcc rId="732" sId="4">
    <oc r="R14" t="inlineStr">
      <is>
        <t>جندي حاتم</t>
      </is>
    </oc>
    <nc r="R14"/>
  </rcc>
  <rcc rId="733" sId="4">
    <oc r="R15" t="inlineStr">
      <is>
        <t>جندي ابراهيم</t>
      </is>
    </oc>
    <nc r="R15"/>
  </rcc>
  <rcc rId="734" sId="4">
    <oc r="R17" t="inlineStr">
      <is>
        <t>عقيد احمد</t>
      </is>
    </oc>
    <nc r="R17"/>
  </rcc>
  <rcc rId="735" sId="4">
    <oc r="R18" t="inlineStr">
      <is>
        <t>عميد / محمد سعد</t>
      </is>
    </oc>
    <nc r="R18"/>
  </rcc>
  <rcc rId="736" sId="4">
    <oc r="R19" t="inlineStr">
      <is>
        <t>عقيد احمد</t>
      </is>
    </oc>
    <nc r="R19"/>
  </rcc>
  <rcc rId="737" sId="4">
    <oc r="R21" t="inlineStr">
      <is>
        <t xml:space="preserve">عقيد / علاء </t>
      </is>
    </oc>
    <nc r="R21"/>
  </rcc>
  <rcc rId="738" sId="4">
    <oc r="R22" t="inlineStr">
      <is>
        <t xml:space="preserve">عقيد / احمد امام </t>
      </is>
    </oc>
    <nc r="R22"/>
  </rcc>
  <rcc rId="739" sId="4">
    <oc r="R23" t="inlineStr">
      <is>
        <t xml:space="preserve">عميد / اشرف </t>
      </is>
    </oc>
    <nc r="R23"/>
  </rcc>
  <rcc rId="740" sId="4">
    <oc r="R24" t="inlineStr">
      <is>
        <t>عميد/ محمد</t>
      </is>
    </oc>
    <nc r="R24"/>
  </rcc>
  <rcc rId="741" sId="4">
    <oc r="R25" t="inlineStr">
      <is>
        <t xml:space="preserve">عميد / محمد عبد العزيز </t>
      </is>
    </oc>
    <nc r="R25"/>
  </rcc>
  <rcc rId="742" sId="4">
    <oc r="R26" t="inlineStr">
      <is>
        <t>عميد احمد</t>
      </is>
    </oc>
    <nc r="R26"/>
  </rcc>
  <rcc rId="743" sId="4">
    <oc r="R27" t="inlineStr">
      <is>
        <t>نقيب/ علاء</t>
      </is>
    </oc>
    <nc r="R27"/>
  </rcc>
  <rcc rId="744" sId="4">
    <oc r="R28" t="inlineStr">
      <is>
        <t>نقيب ايمن</t>
      </is>
    </oc>
    <nc r="R28"/>
  </rcc>
  <rcc rId="745" sId="4">
    <oc r="R29" t="inlineStr">
      <is>
        <t>ظ ابراهيم</t>
      </is>
    </oc>
    <nc r="R29"/>
  </rcc>
  <rcc rId="746" sId="4">
    <oc r="R30" t="inlineStr">
      <is>
        <t>نقيب صلاح</t>
      </is>
    </oc>
    <nc r="R30"/>
  </rcc>
  <rcc rId="747" sId="4">
    <oc r="R31" t="inlineStr">
      <is>
        <t>محاسب ماركو</t>
      </is>
    </oc>
    <nc r="R31"/>
  </rcc>
  <rcc rId="748" sId="4">
    <oc r="R32" t="inlineStr">
      <is>
        <t>عميد محمد</t>
      </is>
    </oc>
    <nc r="R32"/>
  </rcc>
  <rcc rId="749" sId="7">
    <oc r="H7">
      <v>34</v>
    </oc>
    <nc r="H7"/>
  </rcc>
  <rcc rId="750" sId="7">
    <oc r="I7">
      <v>17</v>
    </oc>
    <nc r="I7"/>
  </rcc>
  <rcc rId="751" sId="7">
    <oc r="H8">
      <v>17</v>
    </oc>
    <nc r="H8"/>
  </rcc>
  <rcc rId="752" sId="7">
    <oc r="I8">
      <v>17</v>
    </oc>
    <nc r="I8"/>
  </rcc>
  <rcc rId="753" sId="7">
    <oc r="I9">
      <v>17</v>
    </oc>
    <nc r="I9"/>
  </rcc>
  <rcc rId="754" sId="7">
    <oc r="I13">
      <v>17</v>
    </oc>
    <nc r="I13"/>
  </rcc>
  <rcc rId="755" sId="7">
    <oc r="H14">
      <v>34</v>
    </oc>
    <nc r="H14"/>
  </rcc>
  <rcc rId="756" sId="7">
    <oc r="I15">
      <v>34</v>
    </oc>
    <nc r="I15"/>
  </rcc>
  <rcc rId="757" sId="7">
    <oc r="H16">
      <v>51</v>
    </oc>
    <nc r="H16"/>
  </rcc>
  <rcc rId="758" sId="7">
    <oc r="I16">
      <v>17</v>
    </oc>
    <nc r="I16"/>
  </rcc>
  <rcc rId="759" sId="7">
    <oc r="R6">
      <v>34</v>
    </oc>
    <nc r="R6"/>
  </rcc>
  <rcc rId="760" sId="7">
    <oc r="R7">
      <v>17</v>
    </oc>
    <nc r="R7"/>
  </rcc>
  <rcc rId="761" sId="7">
    <oc r="F28">
      <v>17</v>
    </oc>
    <nc r="F28"/>
  </rcc>
  <rcc rId="762" sId="7">
    <oc r="G28">
      <v>17</v>
    </oc>
    <nc r="G28"/>
  </rcc>
  <rcc rId="763" sId="7">
    <oc r="I28">
      <v>17</v>
    </oc>
    <nc r="I28"/>
  </rcc>
  <rcc rId="764" sId="7">
    <oc r="E45">
      <v>17</v>
    </oc>
    <nc r="E45"/>
  </rcc>
  <rcc rId="765" sId="7">
    <oc r="G45">
      <v>34</v>
    </oc>
    <nc r="G45"/>
  </rcc>
  <rcc rId="766" sId="7">
    <oc r="G46">
      <v>51</v>
    </oc>
    <nc r="G46"/>
  </rcc>
  <rcc rId="767" sId="7">
    <oc r="E47">
      <v>17</v>
    </oc>
    <nc r="E47"/>
  </rcc>
  <rcc rId="768" sId="7">
    <oc r="G47">
      <v>34</v>
    </oc>
    <nc r="G47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" sId="7">
    <nc r="C15">
      <v>51</v>
    </nc>
  </rcc>
  <rcc rId="777" sId="7">
    <nc r="H16">
      <v>34</v>
    </nc>
  </rcc>
  <rcc rId="778" sId="7">
    <nc r="I16">
      <v>17</v>
    </nc>
  </rcc>
  <rcc rId="779" sId="4">
    <nc r="G30">
      <v>51</v>
    </nc>
  </rcc>
  <rcc rId="780" sId="4">
    <nc r="G31">
      <v>34</v>
    </nc>
  </rcc>
  <rcc rId="781" sId="4">
    <nc r="J31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4">
    <oc r="F5">
      <v>45</v>
    </oc>
    <nc r="F5"/>
  </rcc>
  <rcc rId="30" sId="4">
    <oc r="H5">
      <v>30126</v>
    </oc>
    <nc r="H5"/>
  </rcc>
  <rcc rId="31" sId="4">
    <oc r="I5">
      <v>7</v>
    </oc>
    <nc r="I5"/>
  </rcc>
  <rcc rId="32" sId="4">
    <oc r="K5">
      <v>14054</v>
    </oc>
    <nc r="K5"/>
  </rcc>
  <rcc rId="33" sId="4" numFmtId="4">
    <oc r="O5">
      <v>2760</v>
    </oc>
    <nc r="O5"/>
  </rcc>
  <rcc rId="34" sId="4">
    <oc r="F6">
      <v>55</v>
    </oc>
    <nc r="F6"/>
  </rcc>
  <rcc rId="35" sId="4">
    <oc r="H6">
      <v>31282</v>
    </oc>
    <nc r="H6"/>
  </rcc>
  <rcc rId="36" sId="4">
    <oc r="I6">
      <v>21</v>
    </oc>
    <nc r="I6"/>
  </rcc>
  <rcc rId="37" sId="4">
    <oc r="K6">
      <v>10819</v>
    </oc>
    <nc r="K6"/>
  </rcc>
  <rcc rId="38" sId="4" numFmtId="4">
    <oc r="O6">
      <v>2710</v>
    </oc>
    <nc r="O6"/>
  </rcc>
  <rcc rId="39" sId="4">
    <oc r="C7">
      <v>74</v>
    </oc>
    <nc r="C7"/>
  </rcc>
  <rcc rId="40" sId="4">
    <oc r="E7">
      <v>38292</v>
    </oc>
    <nc r="E7"/>
  </rcc>
  <rcc rId="41" sId="4">
    <oc r="F7">
      <v>37</v>
    </oc>
    <nc r="F7"/>
  </rcc>
  <rcc rId="42" sId="4">
    <oc r="H7">
      <v>20671</v>
    </oc>
    <nc r="H7"/>
  </rcc>
  <rcc rId="43" sId="4">
    <oc r="I7">
      <v>28</v>
    </oc>
    <nc r="I7"/>
  </rcc>
  <rcc rId="44" sId="4">
    <oc r="K7">
      <v>4495</v>
    </oc>
    <nc r="K7"/>
  </rcc>
  <rcc rId="45" sId="4" numFmtId="4">
    <oc r="O7">
      <v>3620</v>
    </oc>
    <nc r="O7"/>
  </rcc>
  <rcc rId="46" sId="4">
    <oc r="C8">
      <v>15</v>
    </oc>
    <nc r="C8"/>
  </rcc>
  <rcc rId="47" sId="4">
    <oc r="E8">
      <v>2477</v>
    </oc>
    <nc r="E8"/>
  </rcc>
  <rcc rId="48" sId="4">
    <oc r="F8">
      <v>40</v>
    </oc>
    <nc r="F8"/>
  </rcc>
  <rcc rId="49" sId="4">
    <oc r="H8">
      <v>18412</v>
    </oc>
    <nc r="H8"/>
  </rcc>
  <rcc rId="50" sId="4">
    <oc r="I8">
      <v>14</v>
    </oc>
    <nc r="I8"/>
  </rcc>
  <rcc rId="51" sId="4">
    <oc r="K8">
      <v>7162</v>
    </oc>
    <nc r="K8"/>
  </rcc>
  <rcc rId="52" sId="4">
    <oc r="L8">
      <v>168</v>
    </oc>
    <nc r="L8"/>
  </rcc>
  <rcc rId="53" sId="4">
    <oc r="N8">
      <v>4882</v>
    </oc>
    <nc r="N8"/>
  </rcc>
  <rcc rId="54" sId="4" numFmtId="4">
    <oc r="O8">
      <v>2640</v>
    </oc>
    <nc r="O8"/>
  </rcc>
  <rcc rId="55" sId="4">
    <oc r="F9">
      <v>59</v>
    </oc>
    <nc r="F9"/>
  </rcc>
  <rcc rId="56" sId="4">
    <oc r="H9">
      <v>44075</v>
    </oc>
    <nc r="H9"/>
  </rcc>
  <rcc rId="57" sId="4">
    <oc r="I9">
      <v>15</v>
    </oc>
    <nc r="I9"/>
  </rcc>
  <rcc rId="58" sId="4">
    <oc r="K9">
      <v>11678</v>
    </oc>
    <nc r="K9"/>
  </rcc>
  <rcc rId="59" sId="4" numFmtId="4">
    <oc r="O9">
      <v>3770</v>
    </oc>
    <nc r="O9"/>
  </rcc>
  <rcc rId="60" sId="4">
    <oc r="C10">
      <v>18</v>
    </oc>
    <nc r="C10"/>
  </rcc>
  <rcc rId="61" sId="4">
    <oc r="E10">
      <v>3246</v>
    </oc>
    <nc r="E10"/>
  </rcc>
  <rcc rId="62" sId="4">
    <oc r="F10">
      <v>75</v>
    </oc>
    <nc r="F10"/>
  </rcc>
  <rcc rId="63" sId="4">
    <oc r="H10">
      <v>22542</v>
    </oc>
    <nc r="H10"/>
  </rcc>
  <rcc rId="64" sId="4">
    <oc r="L10">
      <v>164</v>
    </oc>
    <nc r="L10"/>
  </rcc>
  <rcc rId="65" sId="4">
    <oc r="N10">
      <v>6559</v>
    </oc>
    <nc r="N10"/>
  </rcc>
  <rcc rId="66" sId="4" numFmtId="4">
    <oc r="O10">
      <v>2418</v>
    </oc>
    <nc r="O10"/>
  </rcc>
  <rcc rId="67" sId="4">
    <oc r="C11">
      <v>18</v>
    </oc>
    <nc r="C11"/>
  </rcc>
  <rcc rId="68" sId="4">
    <oc r="E11">
      <v>7935</v>
    </oc>
    <nc r="E11"/>
  </rcc>
  <rcc rId="69" sId="4">
    <oc r="F11">
      <v>55</v>
    </oc>
    <nc r="F11"/>
  </rcc>
  <rcc rId="70" sId="4">
    <oc r="H11">
      <v>25038</v>
    </oc>
    <nc r="H11"/>
  </rcc>
  <rcc rId="71" sId="4">
    <oc r="L11">
      <v>135</v>
    </oc>
    <nc r="L11"/>
  </rcc>
  <rcc rId="72" sId="4">
    <oc r="N11">
      <v>20264</v>
    </oc>
    <nc r="N11"/>
  </rcc>
  <rcc rId="73" sId="4" numFmtId="4">
    <oc r="O11">
      <v>3680</v>
    </oc>
    <nc r="O11"/>
  </rcc>
  <rcc rId="74" sId="4">
    <oc r="F12">
      <v>175</v>
    </oc>
    <nc r="F12"/>
  </rcc>
  <rcc rId="75" sId="4">
    <oc r="H12">
      <v>45979</v>
    </oc>
    <nc r="H12"/>
  </rcc>
  <rcc rId="76" sId="4">
    <oc r="I12">
      <v>50</v>
    </oc>
    <nc r="I12"/>
  </rcc>
  <rcc rId="77" sId="4">
    <oc r="K12">
      <v>14446</v>
    </oc>
    <nc r="K12"/>
  </rcc>
  <rcc rId="78" sId="4" numFmtId="4">
    <oc r="O12">
      <v>3740</v>
    </oc>
    <nc r="O12"/>
  </rcc>
  <rcc rId="79" sId="4">
    <oc r="F13">
      <v>125</v>
    </oc>
    <nc r="F13"/>
  </rcc>
  <rcc rId="80" sId="4">
    <oc r="H13">
      <v>42613</v>
    </oc>
    <nc r="H13"/>
  </rcc>
  <rcc rId="81" sId="4">
    <oc r="I13">
      <v>24</v>
    </oc>
    <nc r="I13"/>
  </rcc>
  <rcc rId="82" sId="4">
    <oc r="K13">
      <v>13651</v>
    </oc>
    <nc r="K13"/>
  </rcc>
  <rcc rId="83" sId="4">
    <oc r="L13">
      <v>66</v>
    </oc>
    <nc r="L13"/>
  </rcc>
  <rcc rId="84" sId="4">
    <oc r="N13">
      <v>31964</v>
    </oc>
    <nc r="N13"/>
  </rcc>
  <rcc rId="85" sId="4">
    <oc r="F14">
      <v>73</v>
    </oc>
    <nc r="F14"/>
  </rcc>
  <rcc rId="86" sId="4">
    <oc r="H14">
      <v>7730</v>
    </oc>
    <nc r="H14"/>
  </rcc>
  <rcc rId="87" sId="4">
    <oc r="I14">
      <v>25</v>
    </oc>
    <nc r="I14"/>
  </rcc>
  <rcc rId="88" sId="4">
    <oc r="K14">
      <v>4170</v>
    </oc>
    <nc r="K14"/>
  </rcc>
  <rcc rId="89" sId="4">
    <oc r="L14">
      <v>165</v>
    </oc>
    <nc r="L14"/>
  </rcc>
  <rcc rId="90" sId="4">
    <oc r="N14">
      <v>7083</v>
    </oc>
    <nc r="N14"/>
  </rcc>
  <rcc rId="91" sId="4" numFmtId="4">
    <oc r="O14">
      <v>8304</v>
    </oc>
    <nc r="O14"/>
  </rcc>
  <rcc rId="92" sId="4">
    <oc r="F15">
      <v>61</v>
    </oc>
    <nc r="F15"/>
  </rcc>
  <rcc rId="93" sId="4">
    <oc r="H15">
      <v>12416</v>
    </oc>
    <nc r="H15"/>
  </rcc>
  <rcc rId="94" sId="4">
    <oc r="I15">
      <v>18</v>
    </oc>
    <nc r="I15"/>
  </rcc>
  <rcc rId="95" sId="4">
    <oc r="K15">
      <v>6119</v>
    </oc>
    <nc r="K15"/>
  </rcc>
  <rcc rId="96" sId="4">
    <oc r="L15">
      <v>51</v>
    </oc>
    <nc r="L15"/>
  </rcc>
  <rcc rId="97" sId="4">
    <oc r="N15">
      <v>3363</v>
    </oc>
    <nc r="N15"/>
  </rcc>
  <rcc rId="98" sId="4" numFmtId="4">
    <oc r="O15">
      <v>1910</v>
    </oc>
    <nc r="O15"/>
  </rcc>
  <rcc rId="99" sId="4">
    <oc r="F16">
      <v>43</v>
    </oc>
    <nc r="F16"/>
  </rcc>
  <rcc rId="100" sId="4">
    <oc r="H16">
      <v>3369</v>
    </oc>
    <nc r="H16"/>
  </rcc>
  <rcc rId="101" sId="4">
    <oc r="I16">
      <v>15</v>
    </oc>
    <nc r="I16"/>
  </rcc>
  <rcc rId="102" sId="4">
    <oc r="K16">
      <v>909</v>
    </oc>
    <nc r="K16"/>
  </rcc>
  <rcc rId="103" sId="4" numFmtId="4">
    <oc r="O16">
      <v>436</v>
    </oc>
    <nc r="O16"/>
  </rcc>
  <rcc rId="104" sId="4">
    <oc r="F17">
      <v>77</v>
    </oc>
    <nc r="F17"/>
  </rcc>
  <rcc rId="105" sId="4">
    <oc r="H17">
      <v>3538</v>
    </oc>
    <nc r="H17"/>
  </rcc>
  <rcc rId="106" sId="4">
    <oc r="I17">
      <v>16</v>
    </oc>
    <nc r="I17"/>
  </rcc>
  <rcc rId="107" sId="4">
    <oc r="K17">
      <v>898</v>
    </oc>
    <nc r="K17"/>
  </rcc>
  <rcc rId="108" sId="4">
    <oc r="L17">
      <v>148</v>
    </oc>
    <nc r="L17"/>
  </rcc>
  <rcc rId="109" sId="4">
    <oc r="N17">
      <v>6426</v>
    </oc>
    <nc r="N17"/>
  </rcc>
  <rcc rId="110" sId="4" numFmtId="4">
    <oc r="O17">
      <v>1200</v>
    </oc>
    <nc r="O17"/>
  </rcc>
  <rcc rId="111" sId="4">
    <oc r="F18">
      <v>77</v>
    </oc>
    <nc r="F18"/>
  </rcc>
  <rcc rId="112" sId="4">
    <oc r="H18">
      <v>10685</v>
    </oc>
    <nc r="H18"/>
  </rcc>
  <rcc rId="113" sId="4">
    <oc r="I18">
      <v>15</v>
    </oc>
    <nc r="I18"/>
  </rcc>
  <rcc rId="114" sId="4">
    <oc r="K18">
      <v>3033</v>
    </oc>
    <nc r="K18"/>
  </rcc>
  <rcc rId="115" sId="4">
    <oc r="L18">
      <v>160</v>
    </oc>
    <nc r="L18"/>
  </rcc>
  <rcc rId="116" sId="4">
    <oc r="N18">
      <v>26078</v>
    </oc>
    <nc r="N18"/>
  </rcc>
  <rcc rId="117" sId="4" numFmtId="4">
    <oc r="O18">
      <v>1045</v>
    </oc>
    <nc r="O18"/>
  </rcc>
  <rcc rId="118" sId="4">
    <oc r="P18">
      <v>1975</v>
    </oc>
    <nc r="P18"/>
  </rcc>
  <rcc rId="119" sId="4">
    <oc r="F19">
      <v>80</v>
    </oc>
    <nc r="F19"/>
  </rcc>
  <rcc rId="120" sId="4">
    <oc r="H19">
      <v>8426</v>
    </oc>
    <nc r="H19"/>
  </rcc>
  <rcc rId="121" sId="4">
    <oc r="I19">
      <v>18</v>
    </oc>
    <nc r="I19"/>
  </rcc>
  <rcc rId="122" sId="4">
    <oc r="K19">
      <v>1789</v>
    </oc>
    <nc r="K19"/>
  </rcc>
  <rcc rId="123" sId="4" numFmtId="4">
    <oc r="O19">
      <v>880</v>
    </oc>
    <nc r="O19"/>
  </rcc>
  <rcc rId="124" sId="4">
    <oc r="C20">
      <v>13</v>
    </oc>
    <nc r="C20"/>
  </rcc>
  <rcc rId="125" sId="4">
    <oc r="E20">
      <v>60</v>
    </oc>
    <nc r="E20"/>
  </rcc>
  <rcc rId="126" sId="4">
    <oc r="F20">
      <v>53</v>
    </oc>
    <nc r="F20"/>
  </rcc>
  <rcc rId="127" sId="4">
    <oc r="H20">
      <v>638</v>
    </oc>
    <nc r="H20"/>
  </rcc>
  <rcc rId="128" sId="4">
    <oc r="L20">
      <v>98</v>
    </oc>
    <nc r="L20"/>
  </rcc>
  <rcc rId="129" sId="4">
    <oc r="N20">
      <v>8789</v>
    </oc>
    <nc r="N20"/>
  </rcc>
  <rcc rId="130" sId="4" numFmtId="4">
    <oc r="O20">
      <v>45</v>
    </oc>
    <nc r="O20"/>
  </rcc>
  <rcc rId="131" sId="4">
    <oc r="P20">
      <v>635</v>
    </oc>
    <nc r="P20"/>
  </rcc>
  <rcc rId="132" sId="4">
    <oc r="F21">
      <v>54</v>
    </oc>
    <nc r="F21"/>
  </rcc>
  <rcc rId="133" sId="4">
    <oc r="H21">
      <v>1272</v>
    </oc>
    <nc r="H21"/>
  </rcc>
  <rcc rId="134" sId="4">
    <oc r="L21">
      <v>92</v>
    </oc>
    <nc r="L21"/>
  </rcc>
  <rcc rId="135" sId="4">
    <oc r="N21">
      <v>4824</v>
    </oc>
    <nc r="N21"/>
  </rcc>
  <rcc rId="136" sId="4" numFmtId="4">
    <oc r="O21">
      <v>350</v>
    </oc>
    <nc r="O21"/>
  </rcc>
  <rcc rId="137" sId="4">
    <oc r="F22">
      <v>62</v>
    </oc>
    <nc r="F22"/>
  </rcc>
  <rcc rId="138" sId="4">
    <oc r="H22">
      <v>13516</v>
    </oc>
    <nc r="H22"/>
  </rcc>
  <rcc rId="139" sId="4">
    <oc r="I22">
      <v>18</v>
    </oc>
    <nc r="I22"/>
  </rcc>
  <rcc rId="140" sId="4">
    <oc r="K22">
      <v>2102</v>
    </oc>
    <nc r="K22"/>
  </rcc>
  <rcc rId="141" sId="4">
    <oc r="L22">
      <v>126</v>
    </oc>
    <nc r="L22"/>
  </rcc>
  <rcc rId="142" sId="4">
    <oc r="N22">
      <v>50022</v>
    </oc>
    <nc r="N22"/>
  </rcc>
  <rcc rId="143" sId="4" numFmtId="4">
    <oc r="O22">
      <v>1530</v>
    </oc>
    <nc r="O22"/>
  </rcc>
  <rcc rId="144" sId="4">
    <oc r="P22">
      <v>3830</v>
    </oc>
    <nc r="P22"/>
  </rcc>
  <rcc rId="145" sId="4">
    <oc r="F23">
      <v>55</v>
    </oc>
    <nc r="F23"/>
  </rcc>
  <rcc rId="146" sId="4">
    <oc r="H23">
      <v>24861</v>
    </oc>
    <nc r="H23"/>
  </rcc>
  <rcc rId="147" sId="4">
    <oc r="I23">
      <v>23</v>
    </oc>
    <nc r="I23"/>
  </rcc>
  <rcc rId="148" sId="4">
    <oc r="K23">
      <v>4952</v>
    </oc>
    <nc r="K23"/>
  </rcc>
  <rcc rId="149" sId="4">
    <oc r="L23">
      <v>112</v>
    </oc>
    <nc r="L23"/>
  </rcc>
  <rcc rId="150" sId="4">
    <oc r="N23">
      <v>61115</v>
    </oc>
    <nc r="N23"/>
  </rcc>
  <rcc rId="151" sId="4" numFmtId="4">
    <oc r="O23">
      <v>2340</v>
    </oc>
    <nc r="O23"/>
  </rcc>
  <rcc rId="152" sId="4">
    <oc r="P23">
      <v>4600</v>
    </oc>
    <nc r="P23"/>
  </rcc>
  <rcc rId="153" sId="4">
    <oc r="F24">
      <v>70</v>
    </oc>
    <nc r="F24"/>
  </rcc>
  <rcc rId="154" sId="4">
    <oc r="H24">
      <v>10774</v>
    </oc>
    <nc r="H24"/>
  </rcc>
  <rcc rId="155" sId="4">
    <oc r="I24">
      <v>26</v>
    </oc>
    <nc r="I24"/>
  </rcc>
  <rcc rId="156" sId="4">
    <oc r="K24">
      <v>1781</v>
    </oc>
    <nc r="K24"/>
  </rcc>
  <rcc rId="157" sId="4">
    <oc r="L24">
      <v>140</v>
    </oc>
    <nc r="L24"/>
  </rcc>
  <rcc rId="158" sId="4">
    <oc r="N24">
      <v>23919</v>
    </oc>
    <nc r="N24"/>
  </rcc>
  <rcc rId="159" sId="4" numFmtId="4">
    <oc r="O24">
      <v>1070</v>
    </oc>
    <nc r="O24"/>
  </rcc>
  <rcc rId="160" sId="4">
    <oc r="P24">
      <v>1900</v>
    </oc>
    <nc r="P24"/>
  </rcc>
  <rcc rId="161" sId="4">
    <oc r="F25">
      <v>57</v>
    </oc>
    <nc r="F25"/>
  </rcc>
  <rcc rId="162" sId="4">
    <oc r="H25">
      <v>10102</v>
    </oc>
    <nc r="H25"/>
  </rcc>
  <rcc rId="163" sId="4">
    <oc r="I25">
      <v>17</v>
    </oc>
    <nc r="I25"/>
  </rcc>
  <rcc rId="164" sId="4">
    <oc r="K25">
      <v>1600</v>
    </oc>
    <nc r="K25"/>
  </rcc>
  <rcc rId="165" sId="4">
    <oc r="L25">
      <v>156</v>
    </oc>
    <nc r="L25"/>
  </rcc>
  <rcc rId="166" sId="4">
    <oc r="N25">
      <v>23898</v>
    </oc>
    <nc r="N25"/>
  </rcc>
  <rcc rId="167" sId="4" numFmtId="4">
    <oc r="O25">
      <v>1010</v>
    </oc>
    <nc r="O25"/>
  </rcc>
  <rcc rId="168" sId="4">
    <oc r="P25">
      <v>1855</v>
    </oc>
    <nc r="P25"/>
  </rcc>
  <rcc rId="169" sId="4">
    <oc r="C26">
      <v>75</v>
    </oc>
    <nc r="C26"/>
  </rcc>
  <rcc rId="170" sId="4">
    <oc r="E26">
      <v>4466</v>
    </oc>
    <nc r="E26"/>
  </rcc>
  <rcc rId="171" sId="4">
    <oc r="F26">
      <v>28</v>
    </oc>
    <nc r="F26"/>
  </rcc>
  <rcc rId="172" sId="4">
    <oc r="H26">
      <v>9677</v>
    </oc>
    <nc r="H26"/>
  </rcc>
  <rcc rId="173" sId="4">
    <oc r="I26">
      <v>41</v>
    </oc>
    <nc r="I26"/>
  </rcc>
  <rcc rId="174" sId="4">
    <oc r="K26">
      <v>1671</v>
    </oc>
    <nc r="K26"/>
  </rcc>
  <rcc rId="175" sId="4">
    <oc r="L26">
      <v>143</v>
    </oc>
    <nc r="L26"/>
  </rcc>
  <rcc rId="176" sId="4">
    <oc r="N26">
      <v>14067</v>
    </oc>
    <nc r="N26"/>
  </rcc>
  <rcc rId="177" sId="4" numFmtId="4">
    <oc r="O26">
      <v>1150</v>
    </oc>
    <nc r="O26"/>
  </rcc>
  <rcc rId="178" sId="4">
    <oc r="F27">
      <v>98</v>
    </oc>
    <nc r="F27"/>
  </rcc>
  <rcc rId="179" sId="4">
    <oc r="H27">
      <v>9712</v>
    </oc>
    <nc r="H27"/>
  </rcc>
  <rcc rId="180" sId="4">
    <oc r="I27">
      <v>37</v>
    </oc>
    <nc r="I27"/>
  </rcc>
  <rcc rId="181" sId="4">
    <oc r="K27">
      <v>1942</v>
    </oc>
    <nc r="K27"/>
  </rcc>
  <rcc rId="182" sId="4" numFmtId="4">
    <oc r="O27">
      <v>273</v>
    </oc>
    <nc r="O27"/>
  </rcc>
  <rcc rId="183" sId="4">
    <oc r="F28">
      <v>138</v>
    </oc>
    <nc r="F28"/>
  </rcc>
  <rcc rId="184" sId="4">
    <oc r="H28">
      <v>33357</v>
    </oc>
    <nc r="H28"/>
  </rcc>
  <rcc rId="185" sId="4">
    <oc r="I28">
      <v>74</v>
    </oc>
    <nc r="I28"/>
  </rcc>
  <rcc rId="186" sId="4">
    <oc r="K28">
      <v>12042</v>
    </oc>
    <nc r="K28"/>
  </rcc>
  <rcc rId="187" sId="4" numFmtId="4">
    <oc r="O28">
      <v>1600</v>
    </oc>
    <nc r="O28"/>
  </rcc>
  <rcc rId="188" sId="4">
    <oc r="F29">
      <v>161</v>
    </oc>
    <nc r="F29"/>
  </rcc>
  <rcc rId="189" sId="4">
    <oc r="H29">
      <v>35533</v>
    </oc>
    <nc r="H29"/>
  </rcc>
  <rcc rId="190" sId="4">
    <oc r="I29">
      <v>69</v>
    </oc>
    <nc r="I29"/>
  </rcc>
  <rcc rId="191" sId="4">
    <oc r="K29">
      <v>13507</v>
    </oc>
    <nc r="K29"/>
  </rcc>
  <rcc rId="192" sId="4" numFmtId="4">
    <oc r="O29">
      <v>4100</v>
    </oc>
    <nc r="O29"/>
  </rcc>
  <rcc rId="193" sId="4">
    <oc r="F30">
      <v>126</v>
    </oc>
    <nc r="F30"/>
  </rcc>
  <rcc rId="194" sId="4">
    <oc r="H30">
      <v>40323</v>
    </oc>
    <nc r="H30"/>
  </rcc>
  <rcc rId="195" sId="4">
    <oc r="I30">
      <v>53</v>
    </oc>
    <nc r="I30"/>
  </rcc>
  <rcc rId="196" sId="4">
    <oc r="K30">
      <v>10296</v>
    </oc>
    <nc r="K30"/>
  </rcc>
  <rcc rId="197" sId="4">
    <oc r="F31">
      <v>119</v>
    </oc>
    <nc r="F31"/>
  </rcc>
  <rcc rId="198" sId="4">
    <oc r="H31">
      <v>62358</v>
    </oc>
    <nc r="H31"/>
  </rcc>
  <rcc rId="199" sId="4">
    <oc r="I31">
      <v>80</v>
    </oc>
    <nc r="I31"/>
  </rcc>
  <rcc rId="200" sId="4">
    <oc r="K31">
      <v>15815</v>
    </oc>
    <nc r="K31"/>
  </rcc>
  <rcc rId="201" sId="4" numFmtId="4">
    <oc r="O31">
      <v>6400</v>
    </oc>
    <nc r="O31"/>
  </rcc>
  <rcc rId="202" sId="4">
    <oc r="C32">
      <v>79</v>
    </oc>
    <nc r="C32"/>
  </rcc>
  <rcc rId="203" sId="4">
    <oc r="E32">
      <v>7425</v>
    </oc>
    <nc r="E32"/>
  </rcc>
  <rcc rId="204" sId="4">
    <oc r="F32">
      <v>78</v>
    </oc>
    <nc r="F32"/>
  </rcc>
  <rcc rId="205" sId="4">
    <oc r="H32">
      <v>8104</v>
    </oc>
    <nc r="H32"/>
  </rcc>
  <rcc rId="206" sId="4">
    <oc r="I32">
      <v>86</v>
    </oc>
    <nc r="I32"/>
  </rcc>
  <rcc rId="207" sId="4">
    <oc r="K32">
      <v>1309</v>
    </oc>
    <nc r="K32"/>
  </rcc>
  <rcc rId="208" sId="4" numFmtId="4">
    <oc r="O32">
      <v>1280</v>
    </oc>
    <nc r="O32"/>
  </rcc>
  <rcc rId="209" sId="4">
    <oc r="R5" t="inlineStr">
      <is>
        <t>عقيد / احمد</t>
      </is>
    </oc>
    <nc r="R5"/>
  </rcc>
  <rcc rId="210" sId="4">
    <oc r="R6" t="inlineStr">
      <is>
        <t xml:space="preserve">مصطفي المحاسب </t>
      </is>
    </oc>
    <nc r="R6"/>
  </rcc>
  <rcc rId="211" sId="4">
    <oc r="R7" t="inlineStr">
      <is>
        <t>اكرم / محاسب</t>
      </is>
    </oc>
    <nc r="R7"/>
  </rcc>
  <rcc rId="212" sId="4">
    <oc r="R8" t="inlineStr">
      <is>
        <t>نقيب / احمد</t>
      </is>
    </oc>
    <nc r="R8"/>
  </rcc>
  <rcc rId="213" sId="4">
    <oc r="R9" t="inlineStr">
      <is>
        <t>عقيد/ محمد عيسي</t>
      </is>
    </oc>
    <nc r="R9"/>
  </rcc>
  <rcc rId="214" sId="4">
    <oc r="R10" t="inlineStr">
      <is>
        <t>عقيد / فتحي</t>
      </is>
    </oc>
    <nc r="R10"/>
  </rcc>
  <rcc rId="215" sId="4">
    <oc r="R11" t="inlineStr">
      <is>
        <t xml:space="preserve">عميد / اشرف </t>
      </is>
    </oc>
    <nc r="R11"/>
  </rcc>
  <rcc rId="216" sId="4">
    <oc r="R12" t="inlineStr">
      <is>
        <t xml:space="preserve">محمود احمد </t>
      </is>
    </oc>
    <nc r="R12"/>
  </rcc>
  <rcc rId="217" sId="4">
    <oc r="R13" t="inlineStr">
      <is>
        <t>عميد / اسامه</t>
      </is>
    </oc>
    <nc r="R13"/>
  </rcc>
  <rcc rId="218" sId="4">
    <oc r="R14" t="inlineStr">
      <is>
        <t xml:space="preserve">جندي / حاتم </t>
      </is>
    </oc>
    <nc r="R14"/>
  </rcc>
  <rcc rId="219" sId="4">
    <oc r="R15" t="inlineStr">
      <is>
        <t xml:space="preserve">جندي / ابراهيم </t>
      </is>
    </oc>
    <nc r="R15"/>
  </rcc>
  <rcc rId="220" sId="4">
    <oc r="R16" t="inlineStr">
      <is>
        <t xml:space="preserve">نقيب محمود </t>
      </is>
    </oc>
    <nc r="R16"/>
  </rcc>
  <rcc rId="221" sId="4">
    <oc r="R18" t="inlineStr">
      <is>
        <t>عميد / محمد سعد</t>
      </is>
    </oc>
    <nc r="R18"/>
  </rcc>
  <rcc rId="222" sId="4">
    <oc r="R19" t="inlineStr">
      <is>
        <t xml:space="preserve">عقيد/ طارق </t>
      </is>
    </oc>
    <nc r="R19"/>
  </rcc>
  <rcc rId="223" sId="4">
    <oc r="R20" t="inlineStr">
      <is>
        <t>احمد المحاسب</t>
      </is>
    </oc>
    <nc r="R20"/>
  </rcc>
  <rcc rId="224" sId="4">
    <oc r="R21" t="inlineStr">
      <is>
        <t>عقيد علاء</t>
      </is>
    </oc>
    <nc r="R21"/>
  </rcc>
  <rcc rId="225" sId="4">
    <oc r="R22" t="inlineStr">
      <is>
        <t xml:space="preserve">جندي / صبحي نصر </t>
      </is>
    </oc>
    <nc r="R22"/>
  </rcc>
  <rcc rId="226" sId="4">
    <oc r="R23" t="inlineStr">
      <is>
        <t xml:space="preserve">عميد اشرف </t>
      </is>
    </oc>
    <nc r="R23"/>
  </rcc>
  <rcc rId="227" sId="4">
    <oc r="R24" t="inlineStr">
      <is>
        <t xml:space="preserve">عقيد / محمد فاروق </t>
      </is>
    </oc>
    <nc r="R24"/>
  </rcc>
  <rcc rId="228" sId="4">
    <oc r="R25" t="inlineStr">
      <is>
        <t>جندي / احمد محمد</t>
      </is>
    </oc>
    <nc r="R25"/>
  </rcc>
  <rcc rId="229" sId="4">
    <oc r="R26" t="inlineStr">
      <is>
        <t>عميد / احمد</t>
      </is>
    </oc>
    <nc r="R26"/>
  </rcc>
  <rcc rId="230" sId="4">
    <oc r="R27" t="inlineStr">
      <is>
        <t xml:space="preserve">نقيب / علاء </t>
      </is>
    </oc>
    <nc r="R27"/>
  </rcc>
  <rcc rId="231" sId="4">
    <oc r="R28" t="inlineStr">
      <is>
        <t>نقيب / ايمن</t>
      </is>
    </oc>
    <nc r="R28"/>
  </rcc>
  <rcc rId="232" sId="4">
    <oc r="R29" t="inlineStr">
      <is>
        <t>ضابط ابراهيم</t>
      </is>
    </oc>
    <nc r="R29"/>
  </rcc>
  <rcc rId="233" sId="4">
    <oc r="R30" t="inlineStr">
      <is>
        <t xml:space="preserve">نقيب / صلاح </t>
      </is>
    </oc>
    <nc r="R30"/>
  </rcc>
  <rcc rId="234" sId="4">
    <oc r="R31" t="inlineStr">
      <is>
        <t>نقيب / وليد</t>
      </is>
    </oc>
    <nc r="R31"/>
  </rcc>
  <rcc rId="235" sId="4">
    <oc r="R32" t="inlineStr">
      <is>
        <t>عقيد / محمد عبد العزيز</t>
      </is>
    </oc>
    <nc r="R32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" sId="4">
    <nc r="D7">
      <v>34</v>
    </nc>
  </rcc>
  <rcc rId="790" sId="4">
    <nc r="G7">
      <v>17</v>
    </nc>
  </rcc>
  <rcc rId="791" sId="4">
    <nc r="G6">
      <v>51</v>
    </nc>
  </rcc>
  <rcc rId="792" sId="7">
    <nc r="G8">
      <v>34</v>
    </nc>
  </rcc>
  <rcc rId="793" sId="7">
    <nc r="H8">
      <v>17</v>
    </nc>
  </rcc>
  <rcc rId="794" sId="7">
    <nc r="H7">
      <v>51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4">
    <nc r="K19">
      <v>1305</v>
    </nc>
  </rcc>
  <rcc rId="796" sId="4">
    <nc r="H19">
      <v>7154</v>
    </nc>
  </rcc>
  <rcc rId="797" sId="4" numFmtId="4">
    <nc r="O19">
      <v>650</v>
    </nc>
  </rcc>
  <rcc rId="798" sId="4">
    <nc r="I19">
      <v>15.5</v>
    </nc>
  </rcc>
  <rcc rId="799" sId="4">
    <nc r="F19">
      <v>68</v>
    </nc>
  </rcc>
  <rcc rId="800" sId="4">
    <nc r="R19" t="inlineStr">
      <is>
        <t xml:space="preserve">عقيد / طارق </t>
      </is>
    </nc>
  </rcc>
  <rcc rId="801" sId="4">
    <nc r="K23">
      <v>2629</v>
    </nc>
  </rcc>
  <rcc rId="802" sId="4">
    <nc r="H23">
      <v>13810</v>
    </nc>
  </rcc>
  <rcc rId="803" sId="4">
    <nc r="N23">
      <v>52187</v>
    </nc>
  </rcc>
  <rcc rId="804" sId="4" numFmtId="4">
    <nc r="O23">
      <v>1425</v>
    </nc>
  </rcc>
  <rcc rId="805" sId="4">
    <nc r="P23">
      <v>3960</v>
    </nc>
  </rcc>
  <rcc rId="806" sId="4">
    <nc r="I23">
      <v>18</v>
    </nc>
  </rcc>
  <rcc rId="807" sId="4">
    <nc r="F23">
      <v>65</v>
    </nc>
  </rcc>
  <rcc rId="808" sId="4">
    <nc r="L23">
      <v>129</v>
    </nc>
  </rcc>
  <rcc rId="809" sId="4">
    <nc r="R23" t="inlineStr">
      <is>
        <t xml:space="preserve">عميد / اشرف </t>
      </is>
    </nc>
  </rcc>
  <rcc rId="810" sId="7">
    <oc r="H7">
      <v>51</v>
    </oc>
    <nc r="H7"/>
  </rcc>
  <rcc rId="811" sId="7">
    <oc r="G8">
      <v>34</v>
    </oc>
    <nc r="G8"/>
  </rcc>
  <rcc rId="812" sId="7">
    <oc r="H8">
      <v>17</v>
    </oc>
    <nc r="H8"/>
  </rcc>
  <rcc rId="813" sId="7">
    <oc r="C15">
      <v>51</v>
    </oc>
    <nc r="C15"/>
  </rcc>
  <rcc rId="814" sId="7">
    <oc r="H16">
      <v>34</v>
    </oc>
    <nc r="H16"/>
  </rcc>
  <rcc rId="815" sId="7">
    <oc r="I16">
      <v>17</v>
    </oc>
    <nc r="I16"/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4">
    <nc r="K9">
      <v>9188</v>
    </nc>
  </rcc>
  <rcc rId="817" sId="4">
    <nc r="H9">
      <v>31729</v>
    </nc>
  </rcc>
  <rcc rId="818" sId="4" numFmtId="4">
    <nc r="O9">
      <v>2790</v>
    </nc>
  </rcc>
  <rcc rId="819" sId="4">
    <nc r="I9">
      <v>16</v>
    </nc>
  </rcc>
  <rcc rId="820" sId="4">
    <nc r="F9">
      <v>74</v>
    </nc>
  </rcc>
  <rcc rId="821" sId="4">
    <nc r="R9" t="inlineStr">
      <is>
        <t xml:space="preserve">عقيد / محمد عيسي </t>
      </is>
    </nc>
  </rcc>
  <rcc rId="822" sId="4">
    <nc r="H20">
      <v>964</v>
    </nc>
  </rcc>
  <rcc rId="823" sId="4">
    <nc r="E20">
      <v>211</v>
    </nc>
  </rcc>
  <rcc rId="824" sId="4">
    <nc r="N20">
      <v>8205</v>
    </nc>
  </rcc>
  <rcc rId="825" sId="4" numFmtId="4">
    <nc r="O20">
      <v>107</v>
    </nc>
  </rcc>
  <rcc rId="826" sId="4">
    <nc r="P20">
      <v>633</v>
    </nc>
  </rcc>
  <rcc rId="827" sId="4">
    <nc r="F20">
      <v>52</v>
    </nc>
  </rcc>
  <rcc rId="828" sId="4">
    <nc r="C20">
      <v>29</v>
    </nc>
  </rcc>
  <rcc rId="829" sId="4">
    <nc r="L20">
      <v>97</v>
    </nc>
  </rcc>
  <rcc rId="830" sId="4">
    <nc r="R20" t="inlineStr">
      <is>
        <t xml:space="preserve">احمد المحاسب </t>
      </is>
    </nc>
  </rcc>
  <rcc rId="831" sId="4">
    <nc r="H5">
      <v>20371</v>
    </nc>
  </rcc>
  <rcc rId="832" sId="4">
    <nc r="K5">
      <v>6251</v>
    </nc>
  </rcc>
  <rcc rId="833" sId="4" numFmtId="4">
    <nc r="O5">
      <v>1690</v>
    </nc>
  </rcc>
  <rcc rId="834" sId="4">
    <nc r="F5">
      <v>63</v>
    </nc>
  </rcc>
  <rcc rId="835" sId="4">
    <nc r="I5">
      <v>12</v>
    </nc>
  </rcc>
  <rcc rId="836" sId="4">
    <nc r="R5" t="inlineStr">
      <is>
        <t>عقيد / احمد</t>
      </is>
    </nc>
  </rcc>
  <rcc rId="837" sId="4">
    <nc r="K17">
      <v>731</v>
    </nc>
  </rcc>
  <rcc rId="838" sId="4">
    <nc r="H17">
      <v>3606</v>
    </nc>
  </rcc>
  <rcc rId="839" sId="4">
    <nc r="N17">
      <v>6680</v>
    </nc>
  </rcc>
  <rcc rId="840" sId="4" numFmtId="4">
    <nc r="O17">
      <v>1220</v>
    </nc>
  </rcc>
  <rcc rId="841" sId="4">
    <nc r="I17">
      <v>14</v>
    </nc>
  </rcc>
  <rcc rId="842" sId="4">
    <nc r="F17">
      <v>71</v>
    </nc>
  </rcc>
  <rcc rId="843" sId="4">
    <nc r="L17">
      <v>137</v>
    </nc>
  </rcc>
  <rcc rId="844" sId="4">
    <nc r="R17" t="inlineStr">
      <is>
        <t>عقيد احمد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4">
    <nc r="M23">
      <v>51</v>
    </nc>
  </rcc>
  <rcc rId="846" sId="4">
    <nc r="D26">
      <v>17</v>
    </nc>
  </rcc>
  <rcc rId="847" sId="4">
    <nc r="M26">
      <v>34</v>
    </nc>
  </rcc>
  <rcc rId="848" sId="4">
    <nc r="M14">
      <v>51</v>
    </nc>
  </rcc>
  <rcc rId="849" sId="7">
    <nc r="C15">
      <v>51</v>
    </nc>
  </rcc>
  <rcc rId="850" sId="7">
    <nc r="G8">
      <v>34</v>
    </nc>
  </rcc>
  <rcc rId="851" sId="7">
    <nc r="H8">
      <v>17</v>
    </nc>
  </rcc>
  <rcc rId="852" sId="7">
    <nc r="H7">
      <v>51</v>
    </nc>
  </rcc>
  <rcc rId="853" sId="7">
    <nc r="H16">
      <v>34</v>
    </nc>
  </rcc>
  <rcc rId="854" sId="7">
    <nc r="I16">
      <v>17</v>
    </nc>
  </rcc>
  <rcc rId="855" sId="7">
    <nc r="G46">
      <v>51</v>
    </nc>
  </rcc>
  <rcc rId="856" sId="7">
    <nc r="H32">
      <v>17</v>
    </nc>
  </rcc>
  <rcc rId="857" sId="7">
    <nc r="I32">
      <v>34</v>
    </nc>
  </rcc>
  <rcc rId="858" sId="7">
    <nc r="T5">
      <v>51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4">
    <nc r="H27">
      <v>7705</v>
    </nc>
  </rcc>
  <rcc rId="860" sId="4">
    <nc r="K27">
      <v>1744</v>
    </nc>
  </rcc>
  <rcc rId="861" sId="4" numFmtId="4">
    <nc r="O27">
      <v>229</v>
    </nc>
  </rcc>
  <rcc rId="862" sId="4">
    <nc r="F27">
      <v>122</v>
    </nc>
  </rcc>
  <rcc rId="863" sId="4">
    <nc r="I27">
      <v>34</v>
    </nc>
  </rcc>
  <rcc rId="864" sId="4">
    <nc r="R27" t="inlineStr">
      <is>
        <t>نقيب صلاح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" sId="4">
    <oc r="R27" t="inlineStr">
      <is>
        <t>نقيب صلاح</t>
      </is>
    </oc>
    <nc r="R27" t="inlineStr">
      <is>
        <t>نقيب علاء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" sId="4">
    <nc r="K18">
      <v>2066</v>
    </nc>
  </rcc>
  <rcc rId="881" sId="4">
    <nc r="H18">
      <v>8845</v>
    </nc>
  </rcc>
  <rcc rId="882" sId="4">
    <nc r="N18">
      <v>25788</v>
    </nc>
  </rcc>
  <rcc rId="883" sId="4" numFmtId="4">
    <nc r="O18">
      <v>731</v>
    </nc>
  </rcc>
  <rcc rId="884" sId="4">
    <nc r="P18">
      <v>1989</v>
    </nc>
  </rcc>
  <rcc rId="885" sId="4">
    <nc r="I18">
      <v>28</v>
    </nc>
  </rcc>
  <rcc rId="886" sId="4">
    <nc r="F18">
      <v>78</v>
    </nc>
  </rcc>
  <rcc rId="887" sId="4">
    <nc r="L18">
      <v>135</v>
    </nc>
  </rcc>
  <rcc rId="888" sId="4">
    <nc r="R18" t="inlineStr">
      <is>
        <t xml:space="preserve">عميد / اشرف </t>
      </is>
    </nc>
  </rcc>
  <rcc rId="889" sId="4">
    <nc r="K25">
      <v>1807</v>
    </nc>
  </rcc>
  <rcc rId="890" sId="4">
    <nc r="H25">
      <v>7717</v>
    </nc>
  </rcc>
  <rcc rId="891" sId="4">
    <nc r="N25">
      <v>24374</v>
    </nc>
  </rcc>
  <rcc rId="892" sId="4" numFmtId="4">
    <nc r="O25">
      <v>900</v>
    </nc>
  </rcc>
  <rcc rId="893" sId="4">
    <nc r="P25">
      <v>1965</v>
    </nc>
  </rcc>
  <rcc rId="894" sId="4">
    <nc r="I25">
      <v>14</v>
    </nc>
  </rcc>
  <rcc rId="895" sId="4">
    <nc r="F25">
      <v>78</v>
    </nc>
  </rcc>
  <rcc rId="896" sId="4">
    <nc r="L25">
      <v>133</v>
    </nc>
  </rcc>
  <rcc rId="897" sId="4">
    <nc r="R25" t="inlineStr">
      <is>
        <t>عميد / حامد</t>
      </is>
    </nc>
  </rcc>
  <rcc rId="898" sId="4">
    <nc r="K13">
      <v>9421</v>
    </nc>
  </rcc>
  <rcc rId="899" sId="4">
    <nc r="H13">
      <v>26570</v>
    </nc>
  </rcc>
  <rcc rId="900" sId="4">
    <nc r="N13">
      <v>29417</v>
    </nc>
  </rcc>
  <rcc rId="901" sId="4">
    <nc r="I13">
      <v>25</v>
    </nc>
  </rcc>
  <rcc rId="902" sId="4">
    <nc r="F13">
      <v>155</v>
    </nc>
  </rcc>
  <rcc rId="903" sId="4">
    <nc r="L13">
      <v>75</v>
    </nc>
  </rcc>
  <rcc rId="904" sId="4">
    <nc r="R13" t="inlineStr">
      <is>
        <t xml:space="preserve">عميد / اسامه </t>
      </is>
    </nc>
  </rcc>
  <rcc rId="905" sId="4">
    <nc r="H16">
      <v>4320</v>
    </nc>
  </rcc>
  <rcc rId="906" sId="4">
    <nc r="K16">
      <v>2579</v>
    </nc>
  </rcc>
  <rcc rId="907" sId="4" numFmtId="4">
    <nc r="O16">
      <v>674</v>
    </nc>
  </rcc>
  <rcc rId="908" sId="4">
    <nc r="F16">
      <v>54</v>
    </nc>
  </rcc>
  <rcc rId="909" sId="4">
    <nc r="I16">
      <v>12</v>
    </nc>
  </rcc>
  <rcc rId="910" sId="4">
    <nc r="R16" t="inlineStr">
      <is>
        <t xml:space="preserve">نقيب / محمود </t>
      </is>
    </nc>
  </rcc>
  <rcc rId="911" sId="4">
    <nc r="H15">
      <v>6946</v>
    </nc>
  </rcc>
  <rcc rId="912" sId="4">
    <nc r="F15">
      <v>79</v>
    </nc>
  </rcc>
  <rcc rId="913" sId="4">
    <nc r="K15">
      <v>1933</v>
    </nc>
  </rcc>
  <rcc rId="914" sId="4">
    <nc r="I15">
      <v>13</v>
    </nc>
  </rcc>
  <rcc rId="915" sId="4">
    <nc r="N15">
      <v>1917</v>
    </nc>
  </rcc>
  <rcc rId="916" sId="4">
    <nc r="L15">
      <v>47</v>
    </nc>
  </rcc>
  <rcc rId="917" sId="4" numFmtId="4">
    <nc r="O15">
      <v>808</v>
    </nc>
  </rcc>
  <rcc rId="918" sId="4">
    <nc r="R15" t="inlineStr">
      <is>
        <t xml:space="preserve">جندي / ابراهيم </t>
      </is>
    </nc>
  </rcc>
  <rcc rId="919" sId="4">
    <nc r="H30">
      <v>39917</v>
    </nc>
  </rcc>
  <rcc rId="920" sId="4">
    <nc r="K30">
      <v>11363</v>
    </nc>
  </rcc>
  <rcc rId="921" sId="4">
    <nc r="F30">
      <v>161</v>
    </nc>
  </rcc>
  <rcc rId="922" sId="4">
    <nc r="I30">
      <v>67</v>
    </nc>
  </rcc>
  <rcc rId="923" sId="4">
    <nc r="R30" t="inlineStr">
      <is>
        <t xml:space="preserve">نقيب / صلاح </t>
      </is>
    </nc>
  </rcc>
  <rcc rId="924" sId="4">
    <nc r="K28">
      <v>9485</v>
    </nc>
  </rcc>
  <rcc rId="925" sId="4">
    <nc r="H28">
      <v>27195</v>
    </nc>
  </rcc>
  <rcc rId="926" sId="4" numFmtId="4">
    <nc r="O28">
      <v>1200</v>
    </nc>
  </rcc>
  <rcc rId="927" sId="4">
    <nc r="F28">
      <v>173</v>
    </nc>
  </rcc>
  <rcc rId="928" sId="4">
    <nc r="I28">
      <v>72</v>
    </nc>
  </rcc>
  <rcc rId="929" sId="4">
    <nc r="R28" t="inlineStr">
      <is>
        <t xml:space="preserve">نقيب / ايمن </t>
      </is>
    </nc>
  </rcc>
  <rcc rId="930" sId="4">
    <nc r="I22">
      <v>13.5</v>
    </nc>
  </rcc>
  <rcc rId="931" sId="4">
    <nc r="K22">
      <v>2572</v>
    </nc>
  </rcc>
  <rcc rId="932" sId="4">
    <nc r="F22">
      <v>69</v>
    </nc>
  </rcc>
  <rcc rId="933" sId="4">
    <nc r="H22">
      <v>16861</v>
    </nc>
  </rcc>
  <rcc rId="934" sId="4">
    <nc r="L22">
      <v>157</v>
    </nc>
  </rcc>
  <rcc rId="935" sId="4">
    <nc r="N22">
      <v>71767</v>
    </nc>
  </rcc>
  <rcc rId="936" sId="4" numFmtId="4">
    <nc r="O22">
      <v>1850</v>
    </nc>
  </rcc>
  <rcc rId="937" sId="4">
    <nc r="P22">
      <v>5500</v>
    </nc>
  </rcc>
  <rcc rId="938" sId="4">
    <nc r="R22" t="inlineStr">
      <is>
        <t xml:space="preserve">عقيد / احمد </t>
      </is>
    </nc>
  </rcc>
  <rcc rId="939" sId="4">
    <nc r="K14">
      <v>9140</v>
    </nc>
  </rcc>
  <rcc rId="940" sId="4">
    <nc r="H14">
      <v>10255</v>
    </nc>
  </rcc>
  <rcc rId="941" sId="4">
    <nc r="N14">
      <v>74770</v>
    </nc>
  </rcc>
  <rcc rId="942" sId="4">
    <nc r="I14">
      <v>14</v>
    </nc>
  </rcc>
  <rcc rId="943" sId="4">
    <nc r="F14">
      <v>75</v>
    </nc>
  </rcc>
  <rcc rId="944" sId="4">
    <nc r="L14">
      <v>115</v>
    </nc>
  </rcc>
  <rcc rId="945" sId="4" numFmtId="4">
    <nc r="O14">
      <v>9930</v>
    </nc>
  </rcc>
  <rcc rId="946" sId="4">
    <nc r="R14" t="inlineStr">
      <is>
        <t>محاسب احمد</t>
      </is>
    </nc>
  </rcc>
  <rcc rId="947" sId="4">
    <nc r="E26">
      <v>3992</v>
    </nc>
  </rcc>
  <rcc rId="948" sId="4">
    <nc r="H26">
      <v>7517</v>
    </nc>
  </rcc>
  <rcc rId="949" sId="4">
    <nc r="K26">
      <v>1740</v>
    </nc>
  </rcc>
  <rcc rId="950" sId="4">
    <nc r="N26">
      <v>16989</v>
    </nc>
  </rcc>
  <rcc rId="951" sId="4" numFmtId="4">
    <nc r="O26">
      <v>1100</v>
    </nc>
  </rcc>
  <rcc rId="952" sId="4">
    <nc r="C26">
      <v>68</v>
    </nc>
  </rcc>
  <rcc rId="953" sId="4">
    <nc r="F26">
      <v>32</v>
    </nc>
  </rcc>
  <rcc rId="954" sId="4">
    <nc r="I26">
      <v>38</v>
    </nc>
  </rcc>
  <rcc rId="955" sId="4">
    <nc r="L26">
      <v>148</v>
    </nc>
  </rcc>
  <rcc rId="956" sId="4">
    <nc r="R26" t="inlineStr">
      <is>
        <t>محاسب اسلام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" sId="4">
    <nc r="H29">
      <v>34978</v>
    </nc>
  </rcc>
  <rcc rId="958" sId="4">
    <nc r="K29">
      <v>12216</v>
    </nc>
  </rcc>
  <rcc rId="959" sId="4">
    <nc r="F29">
      <v>133</v>
    </nc>
  </rcc>
  <rcc rId="960" sId="4">
    <nc r="I29">
      <v>63</v>
    </nc>
  </rcc>
  <rcc rId="961" sId="4" numFmtId="4">
    <nc r="O29">
      <v>3890</v>
    </nc>
  </rcc>
  <rcc rId="962" sId="4">
    <nc r="R29" t="inlineStr">
      <is>
        <t>مي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4">
    <nc r="G6">
      <v>34</v>
    </nc>
  </rcc>
  <rcc rId="244" sId="4">
    <nc r="J6">
      <v>17</v>
    </nc>
  </rcc>
  <rcc rId="245" sId="4">
    <nc r="G7">
      <v>17</v>
    </nc>
  </rcc>
  <rcc rId="246" sId="4">
    <nc r="J7">
      <v>17</v>
    </nc>
  </rcc>
  <rcc rId="247" sId="4">
    <nc r="J8">
      <v>17</v>
    </nc>
  </rcc>
  <rcc rId="248" sId="4">
    <nc r="J30">
      <v>34</v>
    </nc>
  </rcc>
  <rcc rId="249" sId="4">
    <nc r="J31">
      <v>17</v>
    </nc>
  </rcc>
  <rcc rId="250" sId="7">
    <nc r="I7">
      <v>17</v>
    </nc>
  </rcc>
  <rcc rId="251" sId="7">
    <nc r="I8">
      <v>17</v>
    </nc>
  </rcc>
  <rcc rId="252" sId="7">
    <nc r="H7">
      <v>34</v>
    </nc>
  </rcc>
  <rcc rId="253" sId="7">
    <nc r="H8">
      <v>17</v>
    </nc>
  </rcc>
  <rcc rId="254" sId="7">
    <nc r="I9">
      <v>17</v>
    </nc>
  </rcc>
  <rcc rId="255" sId="7">
    <nc r="I15">
      <v>34</v>
    </nc>
  </rcc>
  <rcc rId="256" sId="7">
    <nc r="I16">
      <v>17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" sId="4">
    <nc r="E10">
      <v>4556</v>
    </nc>
  </rcc>
  <rcc rId="964" sId="4">
    <nc r="H10">
      <v>25290</v>
    </nc>
  </rcc>
  <rcc rId="965" sId="4">
    <nc r="N10">
      <v>7671</v>
    </nc>
  </rcc>
  <rcc rId="966" sId="4" numFmtId="4">
    <nc r="O10">
      <v>2616</v>
    </nc>
  </rcc>
  <rcc rId="967" sId="4">
    <nc r="F10">
      <v>67</v>
    </nc>
  </rcc>
  <rcc rId="968" sId="4">
    <nc r="C10">
      <v>13</v>
    </nc>
  </rcc>
  <rcc rId="969" sId="4">
    <nc r="L10">
      <v>173</v>
    </nc>
  </rcc>
  <rcc rId="970" sId="4">
    <nc r="R10" t="inlineStr">
      <is>
        <t>محاسب احمد</t>
      </is>
    </nc>
  </rcc>
  <rcc rId="971" sId="4">
    <nc r="E11">
      <v>6315</v>
    </nc>
  </rcc>
  <rcc rId="972" sId="4">
    <nc r="H11">
      <v>14958</v>
    </nc>
  </rcc>
  <rcc rId="973" sId="4">
    <nc r="N11">
      <v>21203</v>
    </nc>
  </rcc>
  <rcc rId="974" sId="4" numFmtId="4">
    <nc r="O11">
      <v>2900</v>
    </nc>
  </rcc>
  <rcc rId="975" sId="4">
    <nc r="C11">
      <v>23</v>
    </nc>
  </rcc>
  <rcc rId="976" sId="4">
    <nc r="F11">
      <v>78</v>
    </nc>
  </rcc>
  <rcc rId="977" sId="4">
    <nc r="L11">
      <v>153</v>
    </nc>
  </rcc>
  <rcc rId="978" sId="4">
    <nc r="R11" t="inlineStr">
      <is>
        <t>عميد هشلم</t>
      </is>
    </nc>
  </rcc>
  <rcc rId="979" sId="4">
    <nc r="E7">
      <v>41087</v>
    </nc>
  </rcc>
  <rcc rId="980" sId="4">
    <nc r="H7">
      <v>20714</v>
    </nc>
  </rcc>
  <rcc rId="981" sId="4">
    <nc r="K7">
      <v>3190</v>
    </nc>
  </rcc>
  <rcc rId="982" sId="4" numFmtId="4">
    <nc r="O7">
      <v>3690</v>
    </nc>
  </rcc>
  <rcc rId="983" sId="4">
    <nc r="C7">
      <v>88</v>
    </nc>
  </rcc>
  <rcc rId="984" sId="4">
    <nc r="F7">
      <v>34</v>
    </nc>
  </rcc>
  <rcc rId="985" sId="4">
    <nc r="I7">
      <v>39</v>
    </nc>
  </rcc>
  <rcc rId="986" sId="4">
    <nc r="R7" t="inlineStr">
      <is>
        <t xml:space="preserve">عميد </t>
      </is>
    </nc>
  </rcc>
  <rcc rId="987" sId="4">
    <nc r="E32">
      <v>19000</v>
    </nc>
  </rcc>
  <rcc rId="988" sId="4">
    <nc r="H32">
      <v>19000</v>
    </nc>
  </rcc>
  <rcc rId="989" sId="4">
    <nc r="K32">
      <v>1800</v>
    </nc>
  </rcc>
  <rcc rId="990" sId="4">
    <nc r="C32">
      <v>52</v>
    </nc>
  </rcc>
  <rcc rId="991" sId="4">
    <nc r="F32">
      <v>50</v>
    </nc>
  </rcc>
  <rcc rId="992" sId="4">
    <nc r="I32">
      <v>83</v>
    </nc>
  </rcc>
  <rcc rId="993" sId="4" numFmtId="4">
    <nc r="O32">
      <v>4180</v>
    </nc>
  </rcc>
  <rcc rId="994" sId="4">
    <nc r="R32" t="inlineStr">
      <is>
        <t>عميد محمد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" sId="4">
    <nc r="G29">
      <v>34</v>
    </nc>
  </rcc>
  <rcc rId="996" sId="4">
    <nc r="J29">
      <v>17</v>
    </nc>
  </rcc>
  <rcc rId="997" sId="4">
    <nc r="D32">
      <v>34</v>
    </nc>
  </rcc>
  <rcc rId="998" sId="4">
    <nc r="G32">
      <v>17</v>
    </nc>
  </rcc>
  <rcc rId="999" sId="4" endOfListFormulaUpdate="1">
    <oc r="G39">
      <f>SUM(G5:G31)</f>
    </oc>
    <nc r="G39">
      <f>SUM(G5:G32)</f>
    </nc>
  </rcc>
  <rcc rId="1000" sId="7">
    <nc r="H18">
      <v>34</v>
    </nc>
  </rcc>
  <rcc rId="1001" sId="7">
    <nc r="I18">
      <v>17</v>
    </nc>
  </rcc>
  <rfmt sheetId="7" sqref="G19" start="0" length="0">
    <dxf>
      <fill>
        <patternFill patternType="none">
          <bgColor indexed="65"/>
        </patternFill>
      </fill>
    </dxf>
  </rfmt>
  <rcc rId="1002" sId="7">
    <nc r="G19">
      <v>34</v>
    </nc>
  </rcc>
  <rcc rId="1003" sId="7">
    <nc r="H19">
      <v>17</v>
    </nc>
  </rcc>
  <rcc rId="1004" sId="7">
    <oc r="G22">
      <f>SUM(G5:G18)</f>
    </oc>
    <nc r="G22">
      <f>SUM(G6:G19)</f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5" sId="7" ref="A35:XFD35" action="deleteRow">
    <rfmt sheetId="7" xfDxf="1" sqref="A35:XFD35" start="0" length="0"/>
  </rrc>
  <rrc rId="1006" sId="7" ref="A35:XFD35" action="deleteRow">
    <rfmt sheetId="7" xfDxf="1" sqref="A35:XFD35" start="0" length="0"/>
  </rrc>
  <rrc rId="1007" sId="7" ref="A35:XFD35" action="deleteRow">
    <rfmt sheetId="7" xfDxf="1" sqref="A35:XFD35" start="0" length="0"/>
  </rrc>
  <rrc rId="1008" sId="7" ref="A35:XFD35" action="deleteRow">
    <rfmt sheetId="7" xfDxf="1" sqref="A35:XFD35" start="0" length="0"/>
  </rrc>
  <rrc rId="1009" sId="7" ref="A35:XFD35" action="deleteRow">
    <rfmt sheetId="7" xfDxf="1" sqref="A35:XFD35" start="0" length="0"/>
  </rrc>
  <rcc rId="1010" sId="4">
    <nc r="H31">
      <v>63587</v>
    </nc>
  </rcc>
  <rcc rId="1011" sId="4">
    <nc r="K31">
      <v>15953</v>
    </nc>
  </rcc>
  <rcc rId="1012" sId="4" numFmtId="4">
    <nc r="O31">
      <v>3520</v>
    </nc>
  </rcc>
  <rcc rId="1013" sId="4">
    <nc r="F31">
      <v>145</v>
    </nc>
  </rcc>
  <rcc rId="1014" sId="4">
    <nc r="I31">
      <v>84</v>
    </nc>
  </rcc>
  <rcc rId="1015" sId="4">
    <nc r="R31" t="inlineStr">
      <is>
        <t>محاسب ماركو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" sId="4">
    <nc r="H12">
      <v>32931</v>
    </nc>
  </rcc>
  <rcc rId="1017" sId="4">
    <nc r="K12">
      <v>8193</v>
    </nc>
  </rcc>
  <rcc rId="1018" sId="4" numFmtId="4">
    <nc r="O12">
      <v>2500</v>
    </nc>
  </rcc>
  <rcc rId="1019" sId="4">
    <nc r="F12">
      <v>170</v>
    </nc>
  </rcc>
  <rcc rId="1020" sId="4">
    <nc r="I12">
      <v>52</v>
    </nc>
  </rcc>
  <rcc rId="1021" sId="4">
    <nc r="R12" t="inlineStr">
      <is>
        <t>محاسب محمود</t>
      </is>
    </nc>
  </rcc>
  <rcc rId="1022" sId="4">
    <nc r="H6">
      <v>27025</v>
    </nc>
  </rcc>
  <rcc rId="1023" sId="4">
    <nc r="K6">
      <v>9582</v>
    </nc>
  </rcc>
  <rcc rId="1024" sId="4" numFmtId="4">
    <nc r="O6">
      <v>2420</v>
    </nc>
  </rcc>
  <rcc rId="1025" sId="4">
    <nc r="I6">
      <v>21</v>
    </nc>
  </rcc>
  <rcc rId="1026" sId="4">
    <nc r="F6">
      <v>83</v>
    </nc>
  </rcc>
  <rcc rId="1027" sId="4">
    <nc r="K8">
      <v>7803</v>
    </nc>
  </rcc>
  <rcc rId="1028" sId="4">
    <nc r="H8">
      <v>24872</v>
    </nc>
  </rcc>
  <rcc rId="1029" sId="4">
    <nc r="E8">
      <v>3392</v>
    </nc>
  </rcc>
  <rcc rId="1030" sId="4">
    <nc r="N8">
      <v>4886</v>
    </nc>
  </rcc>
  <rcc rId="1031" sId="4" numFmtId="4">
    <nc r="O8">
      <v>3440</v>
    </nc>
  </rcc>
  <rcc rId="1032" sId="4">
    <nc r="I8">
      <v>17</v>
    </nc>
  </rcc>
  <rcc rId="1033" sId="4">
    <nc r="F8">
      <v>36</v>
    </nc>
  </rcc>
  <rcc rId="1034" sId="4">
    <nc r="C8">
      <v>26</v>
    </nc>
  </rcc>
  <rcc rId="1035" sId="4">
    <nc r="L8">
      <v>160</v>
    </nc>
  </rcc>
  <rcc rId="1036" sId="4">
    <nc r="R8" t="inlineStr">
      <is>
        <t>عميد حسام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4">
    <nc r="K24">
      <v>1898</v>
    </nc>
  </rcc>
  <rcc rId="1038" sId="4">
    <nc r="H24">
      <v>12700</v>
    </nc>
  </rcc>
  <rcc rId="1039" sId="4">
    <nc r="N24">
      <v>22453</v>
    </nc>
  </rcc>
  <rcc rId="1040" sId="4" numFmtId="4">
    <nc r="O24">
      <v>1185</v>
    </nc>
  </rcc>
  <rcc rId="1041" sId="4">
    <nc r="P24">
      <v>1687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6">
    <oc r="B6" t="inlineStr">
      <is>
        <t xml:space="preserve">معدل البيع اليومى لمحطات وقود شل اوت التي يديرها الوكلاء (المتحدة  - ماستر اكسبريس - اينوتك - ستارت بوينت) 2019/9/27 </t>
      </is>
    </oc>
    <nc r="B6" t="inlineStr">
      <is>
        <t xml:space="preserve">معدل البيع اليومى لمحطات وقود شل اوت التي يديرها الوكلاء (المتحدة  - ماستر اكسبريس - اينوتك - ستارت بوينت) 2019/9/28 </t>
      </is>
    </nc>
  </rcc>
  <rcc rId="1043" sId="4">
    <nc r="F21">
      <v>51</v>
    </nc>
  </rcc>
  <rcc rId="1044" sId="4">
    <nc r="L21">
      <v>101</v>
    </nc>
  </rcc>
  <rcc rId="1045" sId="4">
    <nc r="N21">
      <v>6470</v>
    </nc>
  </rcc>
  <rcc rId="1046" sId="4">
    <nc r="H21">
      <v>1306</v>
    </nc>
  </rcc>
  <rcc rId="1047" sId="4" numFmtId="4">
    <nc r="O21">
      <v>107</v>
    </nc>
  </rcc>
  <rcc rId="1048" sId="4">
    <nc r="P21">
      <v>373</v>
    </nc>
  </rcc>
  <rcc rId="1049" sId="4">
    <nc r="R21" t="inlineStr">
      <is>
        <t xml:space="preserve">محمد المحاسب </t>
      </is>
    </nc>
  </rcc>
  <rcc rId="1050" sId="1">
    <oc r="I5" t="inlineStr">
      <is>
        <t>التمام الصباحي الإثنين الموافق  1 / 9 / 2019</t>
      </is>
    </oc>
    <nc r="I5" t="inlineStr">
      <is>
        <t>التمام الصباحي الاحد الموافق  29 / 9 / 2019</t>
      </is>
    </nc>
  </rcc>
  <rcc rId="1051" sId="1">
    <oc r="I35">
      <v>135</v>
    </oc>
    <nc r="I35">
      <v>90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" sId="6">
    <oc r="B6" t="inlineStr">
      <is>
        <t xml:space="preserve">معدل البيع اليومى لمحطات وقود شل اوت التي يديرها الوكلاء (المتحدة  - ماستر اكسبريس - اينوتك - ستارت بوينت) 2019/9/28 </t>
      </is>
    </oc>
    <nc r="B6" t="inlineStr">
      <is>
        <r>
          <rPr>
            <b/>
            <sz val="12"/>
            <color theme="1"/>
            <rFont val="Arial"/>
            <family val="2"/>
          </rPr>
          <t xml:space="preserve">           </t>
        </r>
        <r>
          <rPr>
            <b/>
            <u/>
            <sz val="12"/>
            <color theme="1"/>
            <rFont val="Arial"/>
            <family val="2"/>
          </rPr>
          <t xml:space="preserve">معدل البيع اليومى لمحطات وقود شل اوت التي يديرها الوكلاء (المتحدة  - ماستر اكسبريس - اينوتك - ستارت بوينت) 2019/9/28 </t>
        </r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" sId="4" numFmtId="4">
    <nc r="O30">
      <v>624</v>
    </nc>
  </rcc>
  <rcc rId="1061" sId="4">
    <nc r="G5">
      <v>34</v>
    </nc>
  </rcc>
  <rcc rId="1062" sId="4">
    <nc r="J5">
      <v>17</v>
    </nc>
  </rcc>
  <rcc rId="1063" sId="7">
    <nc r="H5">
      <v>34</v>
    </nc>
  </rcc>
  <rcc rId="1064" sId="7">
    <nc r="I5">
      <v>17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317B6D8-8A99-4EB0-9DBC-8E9AE0170A4B}" action="delete"/>
  <rdn rId="0" localSheetId="3" customView="1" name="Z_8317B6D8_8A99_4EB0_9DBC_8E9AE0170A4B_.wvu.PrintArea" hidden="1" oldHidden="1">
    <formula>'موقف المحطات'!$A$1:$Q$68</formula>
    <oldFormula>'موقف المحطات'!$A$1:$Q$68</oldFormula>
  </rdn>
  <rdn rId="0" localSheetId="3" customView="1" name="Z_8317B6D8_8A99_4EB0_9DBC_8E9AE0170A4B_.wvu.Cols" hidden="1" oldHidden="1">
    <formula>'موقف المحطات'!$A:$A</formula>
    <oldFormula>'موقف المحطات'!$A:$A</oldFormula>
  </rdn>
  <rdn rId="0" localSheetId="6" customView="1" name="Z_8317B6D8_8A99_4EB0_9DBC_8E9AE0170A4B_.wvu.Rows" hidden="1" oldHidden="1">
    <formula>'عائد محطات الوكلاء'!$8:$9</formula>
  </rdn>
  <rdn rId="0" localSheetId="8" customView="1" name="Z_8317B6D8_8A99_4EB0_9DBC_8E9AE0170A4B_.wvu.Cols" hidden="1" oldHidden="1">
    <formula>'خطة الإمداد'!$B:$C,'خطة الإمداد'!$I:$I</formula>
    <oldFormula>'خطة الإمداد'!$B:$C,'خطة الإمداد'!$I:$I</oldFormula>
  </rdn>
  <rdn rId="0" localSheetId="10" customView="1" name="Z_8317B6D8_8A99_4EB0_9DBC_8E9AE0170A4B_.wvu.PrintArea" hidden="1" oldHidden="1">
    <formula>'سعت 1700'!$A$1:$V$32</formula>
    <oldFormula>'سعت 1700'!$A$1:$V$32</oldFormula>
  </rdn>
  <rdn rId="0" localSheetId="11" customView="1" name="Z_8317B6D8_8A99_4EB0_9DBC_8E9AE0170A4B_.wvu.PrintArea" hidden="1" oldHidden="1">
    <formula>'سعت 2200'!$A$1:$V$32</formula>
    <oldFormula>'سعت 2200'!$A$1:$V$32</oldFormula>
  </rdn>
  <rcv guid="{8317B6D8-8A99-4EB0-9DBC-8E9AE0170A4B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" sId="4">
    <oc r="D39">
      <f>SUM(D5:D31)</f>
    </oc>
    <nc r="D39">
      <f>SUM(D5:D35)</f>
    </nc>
  </rcc>
  <rcc rId="1072" sId="4">
    <oc r="G39">
      <f>SUM(G5:G32)</f>
    </oc>
    <nc r="G39">
      <f>SUM(G5:G35)</f>
    </nc>
  </rcc>
  <rcc rId="1073" sId="4">
    <oc r="J39">
      <f>SUM(J5:J31)</f>
    </oc>
    <nc r="J39">
      <f>SUM(J5:J35)</f>
    </nc>
  </rcc>
  <rcc rId="1074" sId="4">
    <oc r="M39">
      <f>SUM(M5:M31)</f>
    </oc>
    <nc r="M39">
      <f>SUM(M5:M35)</f>
    </nc>
  </rcc>
  <rcc rId="1075" sId="4">
    <oc r="G31">
      <v>34</v>
    </oc>
    <nc r="G31">
      <v>68</v>
    </nc>
  </rcc>
  <rcc rId="1076" sId="4">
    <oc r="G32">
      <v>17</v>
    </oc>
    <nc r="G32">
      <v>34</v>
    </nc>
  </rcc>
  <rcc rId="1077" sId="7">
    <nc r="H15">
      <v>17</v>
    </nc>
  </rcc>
  <rcc rId="1078" sId="7">
    <oc r="H16">
      <v>34</v>
    </oc>
    <nc r="H16">
      <v>68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4">
    <nc r="K23">
      <v>2125</v>
    </nc>
  </rcc>
  <rcc rId="258" sId="4">
    <nc r="H23">
      <v>9897</v>
    </nc>
  </rcc>
  <rcc rId="259" sId="4">
    <nc r="N23">
      <v>37636</v>
    </nc>
  </rcc>
  <rcc rId="260" sId="4" numFmtId="4">
    <nc r="O23">
      <v>1045</v>
    </nc>
  </rcc>
  <rcc rId="261" sId="4">
    <nc r="P23">
      <v>2830</v>
    </nc>
  </rcc>
  <rcc rId="262" sId="4">
    <nc r="I23">
      <v>20</v>
    </nc>
  </rcc>
  <rcc rId="263" sId="4">
    <nc r="F23">
      <v>80</v>
    </nc>
  </rcc>
  <rcc rId="264" sId="4">
    <nc r="L23">
      <v>129</v>
    </nc>
  </rcc>
  <rcc rId="265" sId="4">
    <nc r="R23" t="inlineStr">
      <is>
        <t xml:space="preserve">عميد / اشرف </t>
      </is>
    </nc>
  </rcc>
  <rcc rId="266" sId="4">
    <nc r="M23">
      <v>51</v>
    </nc>
  </rcc>
  <rcc rId="267" sId="4">
    <nc r="M22">
      <v>34</v>
    </nc>
  </rcc>
  <rcc rId="268" sId="4">
    <nc r="G22">
      <v>17</v>
    </nc>
  </rcc>
  <rcc rId="269" sId="4">
    <nc r="G18">
      <v>17</v>
    </nc>
  </rcc>
  <rcc rId="270" sId="4">
    <nc r="J18">
      <v>17</v>
    </nc>
  </rcc>
  <rcc rId="271" sId="4">
    <nc r="M18">
      <v>17</v>
    </nc>
  </rcc>
  <rcc rId="272" sId="7">
    <nc r="G41">
      <v>51</v>
    </nc>
  </rcc>
  <rcc rId="273" sId="7">
    <nc r="G40">
      <v>34</v>
    </nc>
  </rcc>
  <rcc rId="274" sId="7">
    <nc r="E40">
      <v>17</v>
    </nc>
  </rcc>
  <rcc rId="275" sId="7">
    <nc r="F28">
      <v>17</v>
    </nc>
  </rcc>
  <rcc rId="276" sId="7">
    <nc r="G28">
      <v>17</v>
    </nc>
  </rcc>
  <rcc rId="277" sId="7">
    <nc r="I28">
      <v>17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" sId="4">
    <nc r="M13">
      <v>51</v>
    </nc>
  </rcc>
  <rcc rId="1080" sId="7">
    <nc r="E14">
      <v>51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1" sId="4">
    <nc r="G8">
      <v>34</v>
    </nc>
  </rcc>
  <rcc rId="1082" sId="4">
    <nc r="M8">
      <v>17</v>
    </nc>
  </rcc>
  <rcc rId="1083" sId="4">
    <nc r="G13">
      <v>34</v>
    </nc>
  </rcc>
  <rcc rId="1084" sId="4">
    <nc r="J13">
      <v>17</v>
    </nc>
  </rcc>
  <rcc rId="1085" sId="7">
    <nc r="C9">
      <v>34</v>
    </nc>
  </rcc>
  <rcc rId="1086" sId="7">
    <nc r="C14">
      <v>34</v>
    </nc>
  </rcc>
  <rcc rId="1087" sId="7">
    <nc r="D14">
      <v>17</v>
    </nc>
  </rcc>
  <rcc rId="1088" sId="7">
    <nc r="E9">
      <v>17</v>
    </nc>
  </rcc>
  <rcc rId="1089" sId="4">
    <nc r="G14">
      <v>17</v>
    </nc>
  </rcc>
  <rcc rId="1090" sId="4">
    <nc r="J14">
      <v>17</v>
    </nc>
  </rcc>
  <rcc rId="1091" sId="4">
    <oc r="M14">
      <v>51</v>
    </oc>
    <nc r="M14">
      <v>68</v>
    </nc>
  </rcc>
  <rcc rId="1092" sId="4">
    <nc r="M18">
      <v>51</v>
    </nc>
  </rcc>
  <rcc rId="1093" sId="4">
    <nc r="G22">
      <v>17</v>
    </nc>
  </rcc>
  <rcc rId="1094" sId="4">
    <nc r="J22">
      <v>17</v>
    </nc>
  </rcc>
  <rcc rId="1095" sId="4">
    <nc r="M22">
      <v>17</v>
    </nc>
  </rcc>
  <rcc rId="1096" sId="7">
    <nc r="E40">
      <v>17</v>
    </nc>
  </rcc>
  <rcc rId="1097" sId="7">
    <nc r="F40">
      <v>17</v>
    </nc>
  </rcc>
  <rcc rId="1098" sId="7">
    <nc r="G40">
      <v>17</v>
    </nc>
  </rcc>
  <rcc rId="1099" sId="7">
    <nc r="R5">
      <v>17</v>
    </nc>
  </rcc>
  <rcc rId="1100" sId="7">
    <nc r="S5">
      <v>17</v>
    </nc>
  </rcc>
  <rcc rId="1101" sId="7">
    <oc r="T5">
      <v>51</v>
    </oc>
    <nc r="T5">
      <v>68</v>
    </nc>
  </rcc>
  <rcc rId="1102" sId="7">
    <nc r="I28">
      <v>51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" sId="7">
    <oc r="I28">
      <v>51</v>
    </oc>
    <nc r="I28"/>
  </rcc>
  <rcc rId="1104" sId="7">
    <nc r="E28">
      <v>51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5" sId="4">
    <nc r="G9">
      <v>34</v>
    </nc>
  </rcc>
  <rcc rId="1106" sId="4">
    <nc r="J9">
      <v>17</v>
    </nc>
  </rcc>
  <rcc rId="1107" sId="4">
    <nc r="M11">
      <v>34</v>
    </nc>
  </rcc>
  <rcc rId="1108" sId="4">
    <nc r="G11">
      <v>17</v>
    </nc>
  </rcc>
  <rcc rId="1109" sId="7">
    <nc r="C10">
      <v>34</v>
    </nc>
  </rcc>
  <rcc rId="1110" sId="7">
    <nc r="D10">
      <v>17</v>
    </nc>
  </rcc>
  <rcc rId="1111" sId="7">
    <nc r="C12">
      <v>17</v>
    </nc>
  </rcc>
  <rcc rId="1112" sId="7">
    <nc r="E12">
      <v>34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" sId="7">
    <nc r="H11">
      <v>34</v>
    </nc>
  </rcc>
  <rcc rId="1121" sId="7">
    <nc r="G11">
      <v>17</v>
    </nc>
  </rcc>
  <rcc rId="1122" sId="4">
    <nc r="G10">
      <v>34</v>
    </nc>
  </rcc>
  <rcc rId="1123" sId="4">
    <nc r="D10">
      <v>17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4" sId="7">
    <oc r="G40">
      <v>17</v>
    </oc>
    <nc r="G40">
      <v>68</v>
    </nc>
  </rcc>
  <rcc rId="1125" sId="4">
    <oc r="M22">
      <v>17</v>
    </oc>
    <nc r="M22">
      <v>68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" sId="7">
    <nc r="E41">
      <v>34</v>
    </nc>
  </rcc>
  <rcc rId="1127" sId="7">
    <oc r="G41">
      <v>51</v>
    </oc>
    <nc r="G41">
      <v>68</v>
    </nc>
  </rcc>
  <rcc rId="1128" sId="4">
    <nc r="G23">
      <v>34</v>
    </nc>
  </rcc>
  <rcc rId="1129" sId="4">
    <oc r="M23">
      <v>51</v>
    </oc>
    <nc r="M23">
      <v>68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1131" sId="3">
    <oc r="D11">
      <f>'التمام الصباحي'!F39*1000</f>
    </oc>
    <nc r="D11">
      <f>'التمام الصباحي'!F39*1000</f>
    </nc>
  </rcc>
  <rcc rId="1132" sId="3">
    <oc r="E11">
      <f>D11/C11</f>
    </oc>
    <nc r="E11">
      <f>D11/C11</f>
    </nc>
  </rcc>
  <rcc rId="1133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1134" sId="3">
    <oc r="G11">
      <f>'التمام الصباحي'!L39*1000</f>
    </oc>
    <nc r="G11">
      <f>'التمام الصباحي'!L39*1000</f>
    </nc>
  </rcc>
  <rcc rId="1135" sId="3">
    <oc r="H11">
      <f>G11/F11</f>
    </oc>
    <nc r="H11">
      <f>G11/F11</f>
    </nc>
  </rcc>
  <rcc rId="1136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1137" sId="3">
    <oc r="J11">
      <f>'التمام الصباحي'!R39*1000</f>
    </oc>
    <nc r="J11">
      <f>'التمام الصباحي'!R39*1000</f>
    </nc>
  </rcc>
  <rcc rId="1138" sId="3">
    <oc r="K11">
      <f>J11/I11</f>
    </oc>
    <nc r="K11">
      <f>J11/I11</f>
    </nc>
  </rcc>
  <rcc rId="1139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1140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1141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1142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1143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1144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1145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1146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147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148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1149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1150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1151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1152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1153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1154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1155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1156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1157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1158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1159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1160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1161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1162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1163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1164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165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166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167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168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169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170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4">
    <nc r="H5">
      <v>13832</v>
    </nc>
  </rcc>
  <rcc rId="279" sId="4">
    <nc r="K5">
      <v>6574</v>
    </nc>
  </rcc>
  <rcc rId="280" sId="4" numFmtId="4">
    <nc r="O5">
      <v>1270</v>
    </nc>
  </rcc>
  <rcc rId="281" sId="4">
    <nc r="F5">
      <v>83</v>
    </nc>
  </rcc>
  <rcc rId="282" sId="4">
    <nc r="I5">
      <v>18</v>
    </nc>
  </rcc>
  <rcc rId="283" sId="4">
    <nc r="R5" t="inlineStr">
      <is>
        <t>عقيد احمد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4">
    <nc r="K13">
      <v>6714</v>
    </nc>
  </rcc>
  <rcc rId="285" sId="4">
    <nc r="H13">
      <v>18022</v>
    </nc>
  </rcc>
  <rcc rId="286" sId="4">
    <nc r="N13">
      <v>13946</v>
    </nc>
  </rcc>
  <rcc rId="287" sId="4">
    <nc r="I13">
      <v>34</v>
    </nc>
  </rcc>
  <rcc rId="288" sId="4">
    <nc r="F13">
      <v>140</v>
    </nc>
  </rcc>
  <rcc rId="289" sId="4">
    <nc r="L13">
      <v>105</v>
    </nc>
  </rcc>
  <rcc rId="290" sId="4">
    <nc r="R13" t="inlineStr">
      <is>
        <t>عميد اسامه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4">
    <nc r="K17">
      <v>479</v>
    </nc>
  </rcc>
  <rcc rId="292" sId="4">
    <nc r="H17">
      <v>2413</v>
    </nc>
  </rcc>
  <rcc rId="293" sId="4">
    <nc r="N17">
      <v>3978</v>
    </nc>
  </rcc>
  <rcc rId="294" sId="4" numFmtId="4">
    <nc r="O17">
      <v>750</v>
    </nc>
  </rcc>
  <rcc rId="295" sId="4">
    <nc r="I17">
      <v>15</v>
    </nc>
  </rcc>
  <rcc rId="296" sId="4">
    <nc r="F17">
      <v>75</v>
    </nc>
  </rcc>
  <rcc rId="297" sId="4">
    <nc r="L17">
      <v>144</v>
    </nc>
  </rcc>
  <rcc rId="298" sId="4">
    <nc r="R17" t="inlineStr">
      <is>
        <t>عقيد احمد</t>
      </is>
    </nc>
  </rcc>
  <rcc rId="299" sId="4">
    <nc r="K19">
      <v>1113</v>
    </nc>
  </rcc>
  <rcc rId="300" sId="4">
    <nc r="H19">
      <v>5172</v>
    </nc>
  </rcc>
  <rcc rId="301" sId="4" numFmtId="4">
    <nc r="O19">
      <v>530</v>
    </nc>
  </rcc>
  <rcc rId="302" sId="4">
    <nc r="F19">
      <v>75</v>
    </nc>
  </rcc>
  <rcc rId="303" sId="4">
    <nc r="I19">
      <v>16</v>
    </nc>
  </rcc>
  <rcc rId="304" sId="4">
    <nc r="R19" t="inlineStr">
      <is>
        <t>عقيد احمد</t>
      </is>
    </nc>
  </rcc>
  <rcc rId="305" sId="4">
    <nc r="R9" t="inlineStr">
      <is>
        <t>عقيد محمد</t>
      </is>
    </nc>
  </rcc>
  <rcc rId="306" sId="4">
    <nc r="H9">
      <v>26080</v>
    </nc>
  </rcc>
  <rcc rId="307" sId="4">
    <nc r="K9">
      <v>8497</v>
    </nc>
  </rcc>
  <rcc rId="308" sId="4" numFmtId="4">
    <nc r="O9">
      <v>2360</v>
    </nc>
  </rcc>
  <rcc rId="309" sId="4">
    <nc r="I9">
      <v>24</v>
    </nc>
  </rcc>
  <rcc rId="310" sId="4">
    <nc r="F9">
      <v>67</v>
    </nc>
  </rcc>
  <rcc rId="311" sId="4">
    <nc r="H16">
      <v>2146</v>
    </nc>
  </rcc>
  <rcc rId="312" sId="4">
    <nc r="K16">
      <v>767</v>
    </nc>
  </rcc>
  <rcc rId="313" sId="4" numFmtId="4">
    <nc r="O16">
      <v>329</v>
    </nc>
  </rcc>
  <rcc rId="314" sId="4">
    <nc r="F16">
      <v>41</v>
    </nc>
  </rcc>
  <rcc rId="315" sId="4">
    <nc r="I16">
      <v>14</v>
    </nc>
  </rcc>
  <rcc rId="316" sId="4">
    <nc r="H12">
      <v>22957</v>
    </nc>
  </rcc>
  <rcc rId="317" sId="4">
    <nc r="K12">
      <v>6220</v>
    </nc>
  </rcc>
  <rcc rId="318" sId="4" numFmtId="4">
    <nc r="O12">
      <v>1840</v>
    </nc>
  </rcc>
  <rcc rId="319" sId="4">
    <nc r="F12">
      <v>150</v>
    </nc>
  </rcc>
  <rcc rId="320" sId="4">
    <nc r="I12">
      <v>42</v>
    </nc>
  </rcc>
  <rcc rId="321" sId="4">
    <nc r="R12" t="inlineStr">
      <is>
        <t>ظ احمد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4">
    <nc r="K8">
      <v>6536</v>
    </nc>
  </rcc>
  <rcc rId="323" sId="4">
    <nc r="E8">
      <v>2950</v>
    </nc>
  </rcc>
  <rcc rId="324" sId="4">
    <nc r="H8">
      <v>14463</v>
    </nc>
  </rcc>
  <rcc rId="325" sId="4">
    <nc r="N8">
      <v>3276</v>
    </nc>
  </rcc>
  <rcc rId="326" sId="4" numFmtId="4">
    <nc r="O8">
      <v>2354</v>
    </nc>
  </rcc>
  <rcc rId="327" sId="4">
    <nc r="I8">
      <v>25</v>
    </nc>
  </rcc>
  <rcc rId="328" sId="4">
    <nc r="F8">
      <v>44</v>
    </nc>
  </rcc>
  <rcc rId="329" sId="4">
    <nc r="C8">
      <v>29</v>
    </nc>
  </rcc>
  <rcc rId="330" sId="4">
    <nc r="L8">
      <v>164</v>
    </nc>
  </rcc>
  <rcc rId="331" sId="4">
    <nc r="R8" t="inlineStr">
      <is>
        <t>نقيب احمد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F9CF2E15-2A6B-47BB-AC30-FA3219D53478}" name="pp" id="-815149095" dateTime="2019-09-27T09:26:54"/>
  <userInfo guid="{F9CF2E15-2A6B-47BB-AC30-FA3219D53478}" name="pp" id="-815142349" dateTime="2019-09-27T12:37:48"/>
  <userInfo guid="{30855D12-A30D-4BA7-ACBD-0D15E42713DE}" name="pp" id="-815183750" dateTime="2019-09-28T09:15:07"/>
  <userInfo guid="{C6F49F67-A994-4C2B-AEAB-1F70D21DE931}" name="pp" id="-815144214" dateTime="2019-09-29T20:08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5" sqref="I15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405" t="s">
        <v>0</v>
      </c>
      <c r="B1" s="405"/>
      <c r="C1" s="405"/>
      <c r="D1" s="405"/>
      <c r="E1" s="405"/>
      <c r="X1" s="402"/>
      <c r="Y1" s="402"/>
    </row>
    <row r="2" spans="1:26" ht="15.75" x14ac:dyDescent="0.25">
      <c r="A2" s="405" t="s">
        <v>1</v>
      </c>
      <c r="B2" s="405"/>
      <c r="C2" s="405"/>
      <c r="D2" s="405"/>
      <c r="E2" s="405"/>
    </row>
    <row r="3" spans="1:26" ht="15.75" x14ac:dyDescent="0.25">
      <c r="A3" s="405" t="s">
        <v>2</v>
      </c>
      <c r="B3" s="405"/>
      <c r="C3" s="405"/>
      <c r="D3" s="405"/>
      <c r="E3" s="405"/>
    </row>
    <row r="5" spans="1:26" ht="18.75" thickBot="1" x14ac:dyDescent="0.3">
      <c r="G5" s="199"/>
      <c r="I5" s="404" t="s">
        <v>243</v>
      </c>
      <c r="J5" s="404"/>
      <c r="K5" s="404"/>
      <c r="L5" s="404"/>
      <c r="M5" s="404"/>
      <c r="N5" s="404"/>
      <c r="V5" s="200" t="s">
        <v>41</v>
      </c>
    </row>
    <row r="6" spans="1:26" ht="20.100000000000001" customHeight="1" thickBot="1" x14ac:dyDescent="0.25">
      <c r="A6" s="403" t="s">
        <v>14</v>
      </c>
      <c r="B6" s="403" t="s">
        <v>3</v>
      </c>
      <c r="C6" s="403" t="s">
        <v>4</v>
      </c>
      <c r="D6" s="403" t="s">
        <v>5</v>
      </c>
      <c r="E6" s="403"/>
      <c r="F6" s="403"/>
      <c r="G6" s="403"/>
      <c r="H6" s="403"/>
      <c r="I6" s="403" t="s">
        <v>4</v>
      </c>
      <c r="J6" s="403" t="s">
        <v>11</v>
      </c>
      <c r="K6" s="403"/>
      <c r="L6" s="403"/>
      <c r="M6" s="403"/>
      <c r="N6" s="403"/>
      <c r="O6" s="403" t="s">
        <v>4</v>
      </c>
      <c r="P6" s="403" t="s">
        <v>12</v>
      </c>
      <c r="Q6" s="403"/>
      <c r="R6" s="403"/>
      <c r="S6" s="403"/>
      <c r="T6" s="403"/>
      <c r="U6" s="403" t="s">
        <v>4</v>
      </c>
      <c r="V6" s="403" t="s">
        <v>13</v>
      </c>
      <c r="W6" s="403"/>
      <c r="X6" s="403"/>
      <c r="Y6" s="403"/>
      <c r="Z6" s="403"/>
    </row>
    <row r="7" spans="1:26" ht="20.100000000000001" customHeight="1" thickBot="1" x14ac:dyDescent="0.25">
      <c r="A7" s="403"/>
      <c r="B7" s="403"/>
      <c r="C7" s="403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403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403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403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63</v>
      </c>
      <c r="K8" s="221">
        <f>I8-J8</f>
        <v>27</v>
      </c>
      <c r="L8" s="335">
        <f>'أخذ التمام الصباحي'!G5</f>
        <v>34</v>
      </c>
      <c r="M8" s="335">
        <v>25</v>
      </c>
      <c r="N8" s="203">
        <f>J8/M8</f>
        <v>2.52</v>
      </c>
      <c r="O8" s="336">
        <v>30</v>
      </c>
      <c r="P8" s="335">
        <f>'أخذ التمام الصباحي'!I5</f>
        <v>12</v>
      </c>
      <c r="Q8" s="221">
        <f>O8-P8</f>
        <v>18</v>
      </c>
      <c r="R8" s="335">
        <f>'أخذ التمام الصباحي'!J5</f>
        <v>17</v>
      </c>
      <c r="S8" s="335">
        <v>8</v>
      </c>
      <c r="T8" s="203">
        <f>P8/S8</f>
        <v>1.5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83</v>
      </c>
      <c r="K9" s="221">
        <f>I9-J9</f>
        <v>7</v>
      </c>
      <c r="L9" s="355">
        <f>'أخذ التمام الصباحي'!G6</f>
        <v>51</v>
      </c>
      <c r="M9" s="335">
        <v>29</v>
      </c>
      <c r="N9" s="203">
        <f>J9/M9</f>
        <v>2.8620689655172415</v>
      </c>
      <c r="O9" s="336">
        <v>30</v>
      </c>
      <c r="P9" s="338">
        <f>'أخذ التمام الصباحي'!I6</f>
        <v>21</v>
      </c>
      <c r="Q9" s="221">
        <f>O9-P9</f>
        <v>9</v>
      </c>
      <c r="R9" s="338">
        <f>'أخذ التمام الصباحي'!J6</f>
        <v>0</v>
      </c>
      <c r="S9" s="335">
        <v>9</v>
      </c>
      <c r="T9" s="203">
        <f>P9/S9</f>
        <v>2.3333333333333335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88</v>
      </c>
      <c r="E10" s="221">
        <f t="shared" ref="E10:E23" si="0">C10-D10</f>
        <v>2</v>
      </c>
      <c r="F10" s="335">
        <f>'أخذ التمام الصباحي'!D7</f>
        <v>34</v>
      </c>
      <c r="G10" s="335">
        <v>36</v>
      </c>
      <c r="H10" s="204">
        <f t="shared" ref="H10:H23" si="1">D10/G10</f>
        <v>2.4444444444444446</v>
      </c>
      <c r="I10" s="336">
        <v>45</v>
      </c>
      <c r="J10" s="338">
        <f>'أخذ التمام الصباحي'!F7</f>
        <v>34</v>
      </c>
      <c r="K10" s="221">
        <f t="shared" ref="K10:K34" si="2">I10-J10</f>
        <v>11</v>
      </c>
      <c r="L10" s="355">
        <f>'أخذ التمام الصباحي'!G7</f>
        <v>17</v>
      </c>
      <c r="M10" s="335">
        <v>24</v>
      </c>
      <c r="N10" s="203">
        <f t="shared" ref="N10:N34" si="3">J10/M10</f>
        <v>1.4166666666666667</v>
      </c>
      <c r="O10" s="336">
        <v>45</v>
      </c>
      <c r="P10" s="338">
        <f>'أخذ التمام الصباحي'!I7</f>
        <v>39</v>
      </c>
      <c r="Q10" s="221">
        <f t="shared" ref="Q10:Q34" si="4">O10-P10</f>
        <v>6</v>
      </c>
      <c r="R10" s="338">
        <f>'أخذ التمام الصباحي'!J7</f>
        <v>0</v>
      </c>
      <c r="S10" s="335">
        <v>4</v>
      </c>
      <c r="T10" s="203">
        <f t="shared" ref="T10:T34" si="5">P10/S10</f>
        <v>9.75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26</v>
      </c>
      <c r="E11" s="221">
        <f t="shared" si="0"/>
        <v>4</v>
      </c>
      <c r="F11" s="338">
        <f>'أخذ التمام الصباحي'!D8</f>
        <v>0</v>
      </c>
      <c r="G11" s="335">
        <v>5</v>
      </c>
      <c r="H11" s="204">
        <f t="shared" si="1"/>
        <v>5.2</v>
      </c>
      <c r="I11" s="336">
        <v>60</v>
      </c>
      <c r="J11" s="338">
        <f>'أخذ التمام الصباحي'!F8</f>
        <v>36</v>
      </c>
      <c r="K11" s="221">
        <f t="shared" si="2"/>
        <v>24</v>
      </c>
      <c r="L11" s="355">
        <f>'أخذ التمام الصباحي'!G8</f>
        <v>34</v>
      </c>
      <c r="M11" s="335">
        <v>25</v>
      </c>
      <c r="N11" s="203">
        <f t="shared" si="3"/>
        <v>1.44</v>
      </c>
      <c r="O11" s="336">
        <v>30</v>
      </c>
      <c r="P11" s="338">
        <f>'أخذ التمام الصباحي'!I8</f>
        <v>17</v>
      </c>
      <c r="Q11" s="221">
        <f t="shared" si="4"/>
        <v>13</v>
      </c>
      <c r="R11" s="338">
        <f>'أخذ التمام الصباحي'!J8</f>
        <v>0</v>
      </c>
      <c r="S11" s="335">
        <v>8</v>
      </c>
      <c r="T11" s="203">
        <f t="shared" si="5"/>
        <v>2.125</v>
      </c>
      <c r="U11" s="336">
        <v>180</v>
      </c>
      <c r="V11" s="335">
        <f>'أخذ التمام الصباحي'!L8</f>
        <v>160</v>
      </c>
      <c r="W11" s="221">
        <f t="shared" ref="W11:W29" si="6">U11-V11</f>
        <v>20</v>
      </c>
      <c r="X11" s="335">
        <f>'أخذ التمام الصباحي'!M8</f>
        <v>17</v>
      </c>
      <c r="Y11" s="335">
        <v>6</v>
      </c>
      <c r="Z11" s="203">
        <f>V11/Y11</f>
        <v>26.666666666666668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74</v>
      </c>
      <c r="K12" s="221">
        <f t="shared" si="2"/>
        <v>16</v>
      </c>
      <c r="L12" s="355">
        <f>'أخذ التمام الصباحي'!G9</f>
        <v>34</v>
      </c>
      <c r="M12" s="335">
        <v>42</v>
      </c>
      <c r="N12" s="203">
        <f t="shared" si="3"/>
        <v>1.7619047619047619</v>
      </c>
      <c r="O12" s="336">
        <v>30</v>
      </c>
      <c r="P12" s="338">
        <f>'أخذ التمام الصباحي'!I9</f>
        <v>16</v>
      </c>
      <c r="Q12" s="221">
        <f t="shared" si="4"/>
        <v>14</v>
      </c>
      <c r="R12" s="338">
        <f>'أخذ التمام الصباحي'!J9</f>
        <v>17</v>
      </c>
      <c r="S12" s="335">
        <v>12</v>
      </c>
      <c r="T12" s="203">
        <f t="shared" si="5"/>
        <v>1.3333333333333333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13</v>
      </c>
      <c r="E13" s="221">
        <f t="shared" si="0"/>
        <v>17</v>
      </c>
      <c r="F13" s="338">
        <f>'أخذ التمام الصباحي'!D10</f>
        <v>17</v>
      </c>
      <c r="G13" s="335">
        <v>4</v>
      </c>
      <c r="H13" s="204">
        <f t="shared" si="1"/>
        <v>3.25</v>
      </c>
      <c r="I13" s="336">
        <v>90</v>
      </c>
      <c r="J13" s="338">
        <f>'أخذ التمام الصباحي'!F10</f>
        <v>67</v>
      </c>
      <c r="K13" s="221">
        <f t="shared" si="2"/>
        <v>23</v>
      </c>
      <c r="L13" s="355">
        <f>'أخذ التمام الصباحي'!G10</f>
        <v>34</v>
      </c>
      <c r="M13" s="335">
        <v>27</v>
      </c>
      <c r="N13" s="203">
        <f t="shared" si="3"/>
        <v>2.4814814814814814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173</v>
      </c>
      <c r="W13" s="221">
        <f t="shared" si="6"/>
        <v>7</v>
      </c>
      <c r="X13" s="335">
        <f>'أخذ التمام الصباحي'!M10</f>
        <v>0</v>
      </c>
      <c r="Y13" s="335">
        <v>8</v>
      </c>
      <c r="Z13" s="203">
        <f t="shared" ref="Z13:Z29" si="7">V13/Y13</f>
        <v>21.625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23</v>
      </c>
      <c r="E14" s="221">
        <f t="shared" si="0"/>
        <v>7</v>
      </c>
      <c r="F14" s="338">
        <f>'أخذ التمام الصباحي'!D11</f>
        <v>0</v>
      </c>
      <c r="G14" s="335">
        <v>7</v>
      </c>
      <c r="H14" s="204">
        <f t="shared" si="1"/>
        <v>3.2857142857142856</v>
      </c>
      <c r="I14" s="336">
        <v>90</v>
      </c>
      <c r="J14" s="338">
        <f>'أخذ التمام الصباحي'!F11</f>
        <v>78</v>
      </c>
      <c r="K14" s="221">
        <f t="shared" si="2"/>
        <v>12</v>
      </c>
      <c r="L14" s="355">
        <f>'أخذ التمام الصباحي'!G11</f>
        <v>17</v>
      </c>
      <c r="M14" s="335">
        <v>22</v>
      </c>
      <c r="N14" s="203">
        <f t="shared" si="3"/>
        <v>3.5454545454545454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153</v>
      </c>
      <c r="W14" s="221">
        <f t="shared" si="6"/>
        <v>27</v>
      </c>
      <c r="X14" s="338">
        <f>'أخذ التمام الصباحي'!M11</f>
        <v>34</v>
      </c>
      <c r="Y14" s="335">
        <v>20</v>
      </c>
      <c r="Z14" s="203">
        <f t="shared" si="7"/>
        <v>7.65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170</v>
      </c>
      <c r="K15" s="221">
        <f t="shared" si="2"/>
        <v>10</v>
      </c>
      <c r="L15" s="355">
        <f>'أخذ التمام الصباحي'!G12</f>
        <v>0</v>
      </c>
      <c r="M15" s="335">
        <v>52</v>
      </c>
      <c r="N15" s="203">
        <f t="shared" si="3"/>
        <v>3.2692307692307692</v>
      </c>
      <c r="O15" s="336">
        <v>60</v>
      </c>
      <c r="P15" s="335">
        <f>'أخذ التمام الصباحي'!I12</f>
        <v>52</v>
      </c>
      <c r="Q15" s="221">
        <f t="shared" si="4"/>
        <v>8</v>
      </c>
      <c r="R15" s="335">
        <f>'أخذ التمام الصباحي'!J12</f>
        <v>0</v>
      </c>
      <c r="S15" s="335">
        <v>15</v>
      </c>
      <c r="T15" s="203">
        <f t="shared" si="5"/>
        <v>3.4666666666666668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155</v>
      </c>
      <c r="K16" s="221">
        <f t="shared" si="2"/>
        <v>25</v>
      </c>
      <c r="L16" s="355">
        <f>'أخذ التمام الصباحي'!G13</f>
        <v>34</v>
      </c>
      <c r="M16" s="335">
        <v>35</v>
      </c>
      <c r="N16" s="203">
        <f t="shared" si="3"/>
        <v>4.4285714285714288</v>
      </c>
      <c r="O16" s="336">
        <v>45</v>
      </c>
      <c r="P16" s="338">
        <f>'أخذ التمام الصباحي'!I13</f>
        <v>25</v>
      </c>
      <c r="Q16" s="221">
        <f t="shared" si="4"/>
        <v>20</v>
      </c>
      <c r="R16" s="338">
        <f>'أخذ التمام الصباحي'!J13</f>
        <v>17</v>
      </c>
      <c r="S16" s="335">
        <v>11</v>
      </c>
      <c r="T16" s="203">
        <f t="shared" si="5"/>
        <v>2.2727272727272729</v>
      </c>
      <c r="U16" s="336">
        <v>120</v>
      </c>
      <c r="V16" s="335">
        <f>'أخذ التمام الصباحي'!L13</f>
        <v>75</v>
      </c>
      <c r="W16" s="221">
        <f t="shared" si="6"/>
        <v>45</v>
      </c>
      <c r="X16" s="335">
        <f>'أخذ التمام الصباحي'!M13</f>
        <v>51</v>
      </c>
      <c r="Y16" s="335">
        <v>25</v>
      </c>
      <c r="Z16" s="203">
        <f t="shared" si="7"/>
        <v>3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75</v>
      </c>
      <c r="K17" s="221">
        <f t="shared" si="2"/>
        <v>15</v>
      </c>
      <c r="L17" s="355">
        <f>'أخذ التمام الصباحي'!G14</f>
        <v>17</v>
      </c>
      <c r="M17" s="335">
        <v>12</v>
      </c>
      <c r="N17" s="203">
        <f t="shared" si="3"/>
        <v>6.25</v>
      </c>
      <c r="O17" s="336">
        <v>30</v>
      </c>
      <c r="P17" s="338">
        <f>'أخذ التمام الصباحي'!I14</f>
        <v>14</v>
      </c>
      <c r="Q17" s="221">
        <f t="shared" si="4"/>
        <v>16</v>
      </c>
      <c r="R17" s="338">
        <f>'أخذ التمام الصباحي'!J14</f>
        <v>17</v>
      </c>
      <c r="S17" s="335">
        <v>6</v>
      </c>
      <c r="T17" s="203">
        <f>P17/S17</f>
        <v>2.3333333333333335</v>
      </c>
      <c r="U17" s="336">
        <v>180</v>
      </c>
      <c r="V17" s="338">
        <f>'أخذ التمام الصباحي'!L14</f>
        <v>115</v>
      </c>
      <c r="W17" s="221">
        <f t="shared" si="6"/>
        <v>65</v>
      </c>
      <c r="X17" s="338">
        <f>'أخذ التمام الصباحي'!M14</f>
        <v>68</v>
      </c>
      <c r="Y17" s="335">
        <v>31</v>
      </c>
      <c r="Z17" s="203">
        <f t="shared" si="7"/>
        <v>3.7096774193548385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79</v>
      </c>
      <c r="K18" s="221">
        <f t="shared" si="2"/>
        <v>11</v>
      </c>
      <c r="L18" s="355">
        <f>'أخذ التمام الصباحي'!G15</f>
        <v>0</v>
      </c>
      <c r="M18" s="335">
        <v>12</v>
      </c>
      <c r="N18" s="203">
        <f t="shared" si="3"/>
        <v>6.583333333333333</v>
      </c>
      <c r="O18" s="336">
        <v>30</v>
      </c>
      <c r="P18" s="338">
        <f>'أخذ التمام الصباحي'!I15</f>
        <v>13</v>
      </c>
      <c r="Q18" s="221">
        <f t="shared" si="4"/>
        <v>17</v>
      </c>
      <c r="R18" s="338">
        <f>'أخذ التمام الصباحي'!J15</f>
        <v>0</v>
      </c>
      <c r="S18" s="335">
        <v>4</v>
      </c>
      <c r="T18" s="203">
        <f t="shared" si="5"/>
        <v>3.25</v>
      </c>
      <c r="U18" s="336">
        <v>60</v>
      </c>
      <c r="V18" s="338">
        <f>'أخذ التمام الصباحي'!L15</f>
        <v>47</v>
      </c>
      <c r="W18" s="194">
        <f t="shared" si="6"/>
        <v>13</v>
      </c>
      <c r="X18" s="338">
        <f>'أخذ التمام الصباحي'!M15</f>
        <v>0</v>
      </c>
      <c r="Y18" s="335">
        <v>5</v>
      </c>
      <c r="Z18" s="335">
        <f t="shared" si="7"/>
        <v>9.4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54</v>
      </c>
      <c r="K19" s="221">
        <f t="shared" si="2"/>
        <v>6</v>
      </c>
      <c r="L19" s="355">
        <f>'أخذ التمام الصباحي'!G16</f>
        <v>0</v>
      </c>
      <c r="M19" s="335">
        <v>5</v>
      </c>
      <c r="N19" s="203">
        <f t="shared" si="3"/>
        <v>10.8</v>
      </c>
      <c r="O19" s="336">
        <v>30</v>
      </c>
      <c r="P19" s="338">
        <f>'أخذ التمام الصباحي'!I16</f>
        <v>12</v>
      </c>
      <c r="Q19" s="221">
        <f t="shared" si="4"/>
        <v>18</v>
      </c>
      <c r="R19" s="338">
        <f>'أخذ التمام الصباحي'!J16</f>
        <v>0</v>
      </c>
      <c r="S19" s="335">
        <v>2</v>
      </c>
      <c r="T19" s="203">
        <f t="shared" si="5"/>
        <v>6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71</v>
      </c>
      <c r="K20" s="221">
        <f t="shared" si="2"/>
        <v>19</v>
      </c>
      <c r="L20" s="355">
        <f>'أخذ التمام الصباحي'!G17</f>
        <v>0</v>
      </c>
      <c r="M20" s="335">
        <v>4</v>
      </c>
      <c r="N20" s="203">
        <f t="shared" si="3"/>
        <v>17.75</v>
      </c>
      <c r="O20" s="336">
        <v>30</v>
      </c>
      <c r="P20" s="338">
        <f>'أخذ التمام الصباحي'!I17</f>
        <v>14</v>
      </c>
      <c r="Q20" s="221">
        <f t="shared" si="4"/>
        <v>16</v>
      </c>
      <c r="R20" s="338">
        <f>'أخذ التمام الصباحي'!J17</f>
        <v>0</v>
      </c>
      <c r="S20" s="335">
        <v>2</v>
      </c>
      <c r="T20" s="203">
        <f t="shared" si="5"/>
        <v>7</v>
      </c>
      <c r="U20" s="336">
        <v>180</v>
      </c>
      <c r="V20" s="335">
        <f>'أخذ التمام الصباحي'!L17</f>
        <v>137</v>
      </c>
      <c r="W20" s="221">
        <f t="shared" si="6"/>
        <v>43</v>
      </c>
      <c r="X20" s="335">
        <f>'أخذ التمام الصباحي'!M17</f>
        <v>0</v>
      </c>
      <c r="Y20" s="335">
        <v>7</v>
      </c>
      <c r="Z20" s="203">
        <f t="shared" si="7"/>
        <v>19.571428571428573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78</v>
      </c>
      <c r="K21" s="221">
        <f t="shared" si="2"/>
        <v>12</v>
      </c>
      <c r="L21" s="355">
        <f>'أخذ التمام الصباحي'!G18</f>
        <v>0</v>
      </c>
      <c r="M21" s="335">
        <v>34</v>
      </c>
      <c r="N21" s="203">
        <f t="shared" si="3"/>
        <v>2.2941176470588234</v>
      </c>
      <c r="O21" s="336">
        <v>30</v>
      </c>
      <c r="P21" s="338">
        <f>'أخذ التمام الصباحي'!I18</f>
        <v>28</v>
      </c>
      <c r="Q21" s="221">
        <f t="shared" si="4"/>
        <v>2</v>
      </c>
      <c r="R21" s="338">
        <f>'أخذ التمام الصباحي'!J18</f>
        <v>0</v>
      </c>
      <c r="S21" s="335">
        <v>13</v>
      </c>
      <c r="T21" s="203">
        <f t="shared" si="5"/>
        <v>2.1538461538461537</v>
      </c>
      <c r="U21" s="336">
        <v>180</v>
      </c>
      <c r="V21" s="338">
        <f>'أخذ التمام الصباحي'!L18</f>
        <v>135</v>
      </c>
      <c r="W21" s="221">
        <f t="shared" si="6"/>
        <v>45</v>
      </c>
      <c r="X21" s="338">
        <f>'أخذ التمام الصباحي'!M18</f>
        <v>51</v>
      </c>
      <c r="Y21" s="335">
        <v>22</v>
      </c>
      <c r="Z21" s="203">
        <f t="shared" si="7"/>
        <v>6.1363636363636367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68</v>
      </c>
      <c r="K22" s="221">
        <f t="shared" si="2"/>
        <v>22</v>
      </c>
      <c r="L22" s="355">
        <f>'أخذ التمام الصباحي'!G19</f>
        <v>0</v>
      </c>
      <c r="M22" s="335">
        <v>8</v>
      </c>
      <c r="N22" s="203">
        <f t="shared" si="3"/>
        <v>8.5</v>
      </c>
      <c r="O22" s="336">
        <v>30</v>
      </c>
      <c r="P22" s="338">
        <f>'أخذ التمام الصباحي'!I19</f>
        <v>15.5</v>
      </c>
      <c r="Q22" s="221">
        <f t="shared" si="4"/>
        <v>14.5</v>
      </c>
      <c r="R22" s="338">
        <f>'أخذ التمام الصباحي'!J19</f>
        <v>0</v>
      </c>
      <c r="S22" s="335">
        <v>2</v>
      </c>
      <c r="T22" s="203">
        <f t="shared" si="5"/>
        <v>7.75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29</v>
      </c>
      <c r="E23" s="194">
        <f t="shared" si="0"/>
        <v>1</v>
      </c>
      <c r="F23" s="194">
        <f>'أخذ التمام الصباحي'!D20</f>
        <v>0</v>
      </c>
      <c r="G23" s="194">
        <v>0.6</v>
      </c>
      <c r="H23" s="194">
        <f t="shared" si="1"/>
        <v>48.333333333333336</v>
      </c>
      <c r="I23" s="336">
        <v>60</v>
      </c>
      <c r="J23" s="338">
        <f>'أخذ التمام الصباحي'!F20</f>
        <v>52</v>
      </c>
      <c r="K23" s="221">
        <f t="shared" si="2"/>
        <v>8</v>
      </c>
      <c r="L23" s="355">
        <f>'أخذ التمام الصباحي'!G20</f>
        <v>0</v>
      </c>
      <c r="M23" s="335">
        <v>3</v>
      </c>
      <c r="N23" s="203">
        <f t="shared" si="3"/>
        <v>17.333333333333332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97</v>
      </c>
      <c r="W23" s="221">
        <f t="shared" si="6"/>
        <v>23</v>
      </c>
      <c r="X23" s="335">
        <f>'أخذ التمام الصباحي'!M20</f>
        <v>0</v>
      </c>
      <c r="Y23" s="335">
        <v>7</v>
      </c>
      <c r="Z23" s="203">
        <f t="shared" si="7"/>
        <v>13.857142857142858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51</v>
      </c>
      <c r="K24" s="221">
        <f t="shared" si="2"/>
        <v>9</v>
      </c>
      <c r="L24" s="355">
        <f>'أخذ التمام الصباحي'!G21</f>
        <v>0</v>
      </c>
      <c r="M24" s="335">
        <v>6</v>
      </c>
      <c r="N24" s="203">
        <f t="shared" si="3"/>
        <v>8.5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101</v>
      </c>
      <c r="W24" s="221">
        <f t="shared" si="6"/>
        <v>19</v>
      </c>
      <c r="X24" s="338">
        <f>'أخذ التمام الصباحي'!M21</f>
        <v>0</v>
      </c>
      <c r="Y24" s="335">
        <v>5</v>
      </c>
      <c r="Z24" s="203">
        <f t="shared" si="7"/>
        <v>20.2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69</v>
      </c>
      <c r="K25" s="221">
        <f t="shared" si="2"/>
        <v>21</v>
      </c>
      <c r="L25" s="355">
        <f>'أخذ التمام الصباحي'!G22</f>
        <v>17</v>
      </c>
      <c r="M25" s="335">
        <v>15</v>
      </c>
      <c r="N25" s="203">
        <f t="shared" si="3"/>
        <v>4.5999999999999996</v>
      </c>
      <c r="O25" s="336">
        <v>30</v>
      </c>
      <c r="P25" s="335">
        <f>'أخذ التمام الصباحي'!I22</f>
        <v>13.5</v>
      </c>
      <c r="Q25" s="221">
        <f t="shared" si="4"/>
        <v>16.5</v>
      </c>
      <c r="R25" s="335">
        <f>'أخذ التمام الصباحي'!J22</f>
        <v>17</v>
      </c>
      <c r="S25" s="335">
        <v>3</v>
      </c>
      <c r="T25" s="203">
        <f t="shared" si="5"/>
        <v>4.5</v>
      </c>
      <c r="U25" s="336">
        <v>180</v>
      </c>
      <c r="V25" s="338">
        <f>'أخذ التمام الصباحي'!L22</f>
        <v>157</v>
      </c>
      <c r="W25" s="221">
        <f t="shared" si="6"/>
        <v>23</v>
      </c>
      <c r="X25" s="338">
        <f>'أخذ التمام الصباحي'!M22</f>
        <v>68</v>
      </c>
      <c r="Y25" s="335">
        <v>43</v>
      </c>
      <c r="Z25" s="203">
        <f t="shared" si="7"/>
        <v>3.6511627906976742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65</v>
      </c>
      <c r="K26" s="221">
        <f t="shared" si="2"/>
        <v>25</v>
      </c>
      <c r="L26" s="355">
        <f>'أخذ التمام الصباحي'!G23</f>
        <v>34</v>
      </c>
      <c r="M26" s="335">
        <v>17</v>
      </c>
      <c r="N26" s="203">
        <f t="shared" si="3"/>
        <v>3.8235294117647061</v>
      </c>
      <c r="O26" s="336">
        <v>30</v>
      </c>
      <c r="P26" s="338">
        <f>'أخذ التمام الصباحي'!I23</f>
        <v>18</v>
      </c>
      <c r="Q26" s="221">
        <f t="shared" si="4"/>
        <v>12</v>
      </c>
      <c r="R26" s="338">
        <f>'أخذ التمام الصباحي'!J23</f>
        <v>0</v>
      </c>
      <c r="S26" s="335">
        <v>4</v>
      </c>
      <c r="T26" s="203">
        <f t="shared" si="5"/>
        <v>4.5</v>
      </c>
      <c r="U26" s="336">
        <v>180</v>
      </c>
      <c r="V26" s="338">
        <f>'أخذ التمام الصباحي'!L23</f>
        <v>129</v>
      </c>
      <c r="W26" s="221">
        <f t="shared" si="6"/>
        <v>51</v>
      </c>
      <c r="X26" s="338">
        <f>'أخذ التمام الصباحي'!M23</f>
        <v>68</v>
      </c>
      <c r="Y26" s="335">
        <v>40</v>
      </c>
      <c r="Z26" s="203">
        <f t="shared" si="7"/>
        <v>3.2250000000000001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0</v>
      </c>
      <c r="K27" s="221">
        <f t="shared" si="2"/>
        <v>90</v>
      </c>
      <c r="L27" s="355">
        <f>'أخذ التمام الصباحي'!G24</f>
        <v>0</v>
      </c>
      <c r="M27" s="335">
        <v>12</v>
      </c>
      <c r="N27" s="203">
        <f t="shared" si="3"/>
        <v>0</v>
      </c>
      <c r="O27" s="336">
        <v>30</v>
      </c>
      <c r="P27" s="338">
        <f>'أخذ التمام الصباحي'!I24</f>
        <v>0</v>
      </c>
      <c r="Q27" s="221">
        <f t="shared" si="4"/>
        <v>30</v>
      </c>
      <c r="R27" s="338">
        <f>'أخذ التمام الصباحي'!J24</f>
        <v>0</v>
      </c>
      <c r="S27" s="335">
        <v>2</v>
      </c>
      <c r="T27" s="203">
        <f t="shared" si="5"/>
        <v>0</v>
      </c>
      <c r="U27" s="336">
        <v>180</v>
      </c>
      <c r="V27" s="338">
        <f>'أخذ التمام الصباحي'!L24</f>
        <v>0</v>
      </c>
      <c r="W27" s="221">
        <f t="shared" si="6"/>
        <v>180</v>
      </c>
      <c r="X27" s="338">
        <f>'أخذ التمام الصباحي'!M24</f>
        <v>0</v>
      </c>
      <c r="Y27" s="335">
        <v>22</v>
      </c>
      <c r="Z27" s="203">
        <f t="shared" si="7"/>
        <v>0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78</v>
      </c>
      <c r="K28" s="221">
        <f t="shared" si="2"/>
        <v>12</v>
      </c>
      <c r="L28" s="355">
        <f>'أخذ التمام الصباحي'!G25</f>
        <v>0</v>
      </c>
      <c r="M28" s="335">
        <v>9</v>
      </c>
      <c r="N28" s="203">
        <f t="shared" si="3"/>
        <v>8.6666666666666661</v>
      </c>
      <c r="O28" s="336">
        <v>30</v>
      </c>
      <c r="P28" s="338">
        <f>'أخذ التمام الصباحي'!I25</f>
        <v>14</v>
      </c>
      <c r="Q28" s="221">
        <f t="shared" si="4"/>
        <v>16</v>
      </c>
      <c r="R28" s="338">
        <f>'أخذ التمام الصباحي'!J25</f>
        <v>0</v>
      </c>
      <c r="S28" s="335">
        <v>2</v>
      </c>
      <c r="T28" s="203">
        <f t="shared" si="5"/>
        <v>7</v>
      </c>
      <c r="U28" s="336">
        <v>180</v>
      </c>
      <c r="V28" s="338">
        <f>'أخذ التمام الصباحي'!L25</f>
        <v>133</v>
      </c>
      <c r="W28" s="221">
        <f t="shared" si="6"/>
        <v>47</v>
      </c>
      <c r="X28" s="338">
        <f>'أخذ التمام الصباحي'!M25</f>
        <v>0</v>
      </c>
      <c r="Y28" s="335">
        <v>19</v>
      </c>
      <c r="Z28" s="203">
        <f t="shared" si="7"/>
        <v>7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68</v>
      </c>
      <c r="E29" s="194">
        <f t="shared" ref="E29:E35" si="8">C29-D29</f>
        <v>22</v>
      </c>
      <c r="F29" s="194">
        <f>'أخذ التمام الصباحي'!D26</f>
        <v>17</v>
      </c>
      <c r="G29" s="194">
        <v>5</v>
      </c>
      <c r="H29" s="194">
        <f t="shared" ref="H29:H35" si="9">D29/G29</f>
        <v>13.6</v>
      </c>
      <c r="I29" s="336">
        <v>45</v>
      </c>
      <c r="J29" s="338">
        <f>'أخذ التمام الصباحي'!F26</f>
        <v>32</v>
      </c>
      <c r="K29" s="221">
        <f t="shared" si="2"/>
        <v>13</v>
      </c>
      <c r="L29" s="355">
        <f>'أخذ التمام الصباحي'!G26</f>
        <v>0</v>
      </c>
      <c r="M29" s="335">
        <v>9</v>
      </c>
      <c r="N29" s="203">
        <f t="shared" si="3"/>
        <v>3.5555555555555554</v>
      </c>
      <c r="O29" s="336">
        <v>45</v>
      </c>
      <c r="P29" s="338">
        <f>'أخذ التمام الصباحي'!I26</f>
        <v>38</v>
      </c>
      <c r="Q29" s="221">
        <f t="shared" si="4"/>
        <v>7</v>
      </c>
      <c r="R29" s="338">
        <f>'أخذ التمام الصباحي'!J26</f>
        <v>0</v>
      </c>
      <c r="S29" s="335">
        <v>2</v>
      </c>
      <c r="T29" s="203">
        <f t="shared" si="5"/>
        <v>19</v>
      </c>
      <c r="U29" s="336">
        <v>180</v>
      </c>
      <c r="V29" s="338">
        <f>'أخذ التمام الصباحي'!L26</f>
        <v>148</v>
      </c>
      <c r="W29" s="221">
        <f t="shared" si="6"/>
        <v>32</v>
      </c>
      <c r="X29" s="338">
        <f>'أخذ التمام الصباحي'!M26</f>
        <v>34</v>
      </c>
      <c r="Y29" s="335">
        <v>16</v>
      </c>
      <c r="Z29" s="203">
        <f t="shared" si="7"/>
        <v>9.25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122</v>
      </c>
      <c r="K30" s="221">
        <f t="shared" si="2"/>
        <v>13</v>
      </c>
      <c r="L30" s="355">
        <f>'أخذ التمام الصباحي'!G27</f>
        <v>0</v>
      </c>
      <c r="M30" s="335">
        <v>6</v>
      </c>
      <c r="N30" s="203">
        <f t="shared" si="3"/>
        <v>20.333333333333332</v>
      </c>
      <c r="O30" s="336">
        <v>45</v>
      </c>
      <c r="P30" s="338">
        <f>'أخذ التمام الصباحي'!I27</f>
        <v>34</v>
      </c>
      <c r="Q30" s="221">
        <f t="shared" si="4"/>
        <v>11</v>
      </c>
      <c r="R30" s="338">
        <f>'أخذ التمام الصباحي'!J27</f>
        <v>0</v>
      </c>
      <c r="S30" s="335">
        <v>2</v>
      </c>
      <c r="T30" s="203">
        <f t="shared" si="5"/>
        <v>17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173</v>
      </c>
      <c r="K31" s="221">
        <f t="shared" si="2"/>
        <v>7</v>
      </c>
      <c r="L31" s="355">
        <f>'أخذ التمام الصباحي'!G28</f>
        <v>0</v>
      </c>
      <c r="M31" s="339">
        <v>27</v>
      </c>
      <c r="N31" s="203">
        <f t="shared" si="3"/>
        <v>6.4074074074074074</v>
      </c>
      <c r="O31" s="336">
        <v>90</v>
      </c>
      <c r="P31" s="338">
        <f>'أخذ التمام الصباحي'!I28</f>
        <v>72</v>
      </c>
      <c r="Q31" s="221">
        <f t="shared" si="4"/>
        <v>18</v>
      </c>
      <c r="R31" s="338">
        <f>'أخذ التمام الصباحي'!J28</f>
        <v>0</v>
      </c>
      <c r="S31" s="339">
        <v>10</v>
      </c>
      <c r="T31" s="203">
        <f t="shared" si="5"/>
        <v>7.2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133</v>
      </c>
      <c r="K32" s="221">
        <f t="shared" si="2"/>
        <v>47</v>
      </c>
      <c r="L32" s="355">
        <f>'أخذ التمام الصباحي'!G29</f>
        <v>34</v>
      </c>
      <c r="M32" s="339">
        <v>27</v>
      </c>
      <c r="N32" s="203">
        <f t="shared" si="3"/>
        <v>4.9259259259259256</v>
      </c>
      <c r="O32" s="336">
        <v>90</v>
      </c>
      <c r="P32" s="338">
        <f>'أخذ التمام الصباحي'!I29</f>
        <v>63</v>
      </c>
      <c r="Q32" s="221">
        <f t="shared" si="4"/>
        <v>27</v>
      </c>
      <c r="R32" s="338">
        <f>'أخذ التمام الصباحي'!J29</f>
        <v>17</v>
      </c>
      <c r="S32" s="339">
        <v>9</v>
      </c>
      <c r="T32" s="203">
        <f t="shared" si="5"/>
        <v>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161</v>
      </c>
      <c r="K33" s="221">
        <f t="shared" si="2"/>
        <v>19</v>
      </c>
      <c r="L33" s="355">
        <f>'أخذ التمام الصباحي'!G30</f>
        <v>51</v>
      </c>
      <c r="M33" s="339">
        <v>33</v>
      </c>
      <c r="N33" s="203">
        <f t="shared" si="3"/>
        <v>4.8787878787878789</v>
      </c>
      <c r="O33" s="336">
        <v>90</v>
      </c>
      <c r="P33" s="338">
        <f>'أخذ التمام الصباحي'!I30</f>
        <v>67</v>
      </c>
      <c r="Q33" s="221">
        <f t="shared" si="4"/>
        <v>23</v>
      </c>
      <c r="R33" s="338">
        <f>'أخذ التمام الصباحي'!J30</f>
        <v>0</v>
      </c>
      <c r="S33" s="339">
        <v>8</v>
      </c>
      <c r="T33" s="203">
        <f t="shared" si="5"/>
        <v>8.375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145</v>
      </c>
      <c r="K34" s="221">
        <f t="shared" si="2"/>
        <v>35</v>
      </c>
      <c r="L34" s="355">
        <f>'أخذ التمام الصباحي'!G31</f>
        <v>68</v>
      </c>
      <c r="M34" s="339">
        <v>52</v>
      </c>
      <c r="N34" s="203">
        <f t="shared" si="3"/>
        <v>2.7884615384615383</v>
      </c>
      <c r="O34" s="336">
        <v>90</v>
      </c>
      <c r="P34" s="338">
        <f>'أخذ التمام الصباحي'!I31</f>
        <v>84</v>
      </c>
      <c r="Q34" s="221">
        <f t="shared" si="4"/>
        <v>6</v>
      </c>
      <c r="R34" s="338">
        <f>'أخذ التمام الصباحي'!J31</f>
        <v>17</v>
      </c>
      <c r="S34" s="339">
        <v>11</v>
      </c>
      <c r="T34" s="203">
        <f t="shared" si="5"/>
        <v>7.6363636363636367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84">
        <v>90</v>
      </c>
      <c r="D35" s="194">
        <f>'أخذ التمام الصباحي'!C32</f>
        <v>52</v>
      </c>
      <c r="E35" s="194">
        <f t="shared" si="8"/>
        <v>38</v>
      </c>
      <c r="F35" s="194">
        <f>'أخذ التمام الصباحي'!D32</f>
        <v>34</v>
      </c>
      <c r="G35" s="194">
        <v>20</v>
      </c>
      <c r="H35" s="194">
        <f t="shared" si="9"/>
        <v>2.6</v>
      </c>
      <c r="I35" s="357">
        <v>90</v>
      </c>
      <c r="J35" s="356">
        <f>'أخذ التمام الصباحي'!F32</f>
        <v>50</v>
      </c>
      <c r="K35" s="221">
        <f t="shared" ref="K35:K38" si="10">I35-J35</f>
        <v>40</v>
      </c>
      <c r="L35" s="356">
        <f>'أخذ التمام الصباحي'!G32</f>
        <v>34</v>
      </c>
      <c r="M35" s="356">
        <v>27</v>
      </c>
      <c r="N35" s="203">
        <f t="shared" ref="N35:N38" si="11">J35/M35</f>
        <v>1.8518518518518519</v>
      </c>
      <c r="O35" s="357">
        <v>90</v>
      </c>
      <c r="P35" s="356">
        <f>'أخذ التمام الصباحي'!I32</f>
        <v>83</v>
      </c>
      <c r="Q35" s="221">
        <f t="shared" ref="Q35:Q38" si="12">O35-P35</f>
        <v>7</v>
      </c>
      <c r="R35" s="356">
        <f>'أخذ التمام الصباحي'!J32</f>
        <v>0</v>
      </c>
      <c r="S35" s="356">
        <v>7</v>
      </c>
      <c r="T35" s="203">
        <f t="shared" ref="T35:T38" si="13">P35/S35</f>
        <v>11.857142857142858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1" t="s">
        <v>34</v>
      </c>
      <c r="B39" s="391"/>
      <c r="C39" s="206">
        <f>SUM(C8:C38)</f>
        <v>390</v>
      </c>
      <c r="D39" s="206">
        <f t="shared" ref="D39:Z39" si="16">SUM(D8:D38)</f>
        <v>299</v>
      </c>
      <c r="E39" s="206">
        <f t="shared" si="16"/>
        <v>91</v>
      </c>
      <c r="F39" s="206">
        <f t="shared" si="16"/>
        <v>102</v>
      </c>
      <c r="G39" s="206">
        <f t="shared" si="16"/>
        <v>77.599999999999994</v>
      </c>
      <c r="H39" s="206">
        <f t="shared" si="16"/>
        <v>78.713492063492055</v>
      </c>
      <c r="I39" s="206">
        <f t="shared" si="16"/>
        <v>3435</v>
      </c>
      <c r="J39" s="206">
        <f t="shared" si="16"/>
        <v>2316</v>
      </c>
      <c r="K39" s="206">
        <f t="shared" si="16"/>
        <v>1119</v>
      </c>
      <c r="L39" s="206">
        <f t="shared" si="16"/>
        <v>510</v>
      </c>
      <c r="M39" s="206">
        <f t="shared" si="16"/>
        <v>684</v>
      </c>
      <c r="N39" s="206">
        <f t="shared" si="16"/>
        <v>163.56768250230726</v>
      </c>
      <c r="O39" s="206">
        <f t="shared" si="16"/>
        <v>1380</v>
      </c>
      <c r="P39" s="206">
        <f t="shared" si="16"/>
        <v>765</v>
      </c>
      <c r="Q39" s="206">
        <f t="shared" si="16"/>
        <v>615</v>
      </c>
      <c r="R39" s="206">
        <f t="shared" si="16"/>
        <v>119</v>
      </c>
      <c r="S39" s="206">
        <f t="shared" si="16"/>
        <v>174</v>
      </c>
      <c r="T39" s="206">
        <f t="shared" si="16"/>
        <v>145.33674658674659</v>
      </c>
      <c r="U39" s="206">
        <f t="shared" si="16"/>
        <v>2520</v>
      </c>
      <c r="V39" s="206">
        <f t="shared" si="16"/>
        <v>1760</v>
      </c>
      <c r="W39" s="206">
        <f t="shared" si="16"/>
        <v>760</v>
      </c>
      <c r="X39" s="206">
        <f t="shared" si="16"/>
        <v>391</v>
      </c>
      <c r="Y39" s="206">
        <f t="shared" si="16"/>
        <v>306</v>
      </c>
      <c r="Z39" s="206">
        <f t="shared" si="16"/>
        <v>154.94244194165424</v>
      </c>
    </row>
    <row r="40" spans="1:26" ht="20.100000000000001" customHeight="1" thickBot="1" x14ac:dyDescent="0.25">
      <c r="A40" s="392" t="s">
        <v>35</v>
      </c>
      <c r="B40" s="392"/>
      <c r="C40" s="393">
        <f>C39+I39+O39+U39</f>
        <v>7725</v>
      </c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5"/>
    </row>
    <row r="41" spans="1:26" ht="20.100000000000001" customHeight="1" thickBot="1" x14ac:dyDescent="0.25">
      <c r="A41" s="392" t="s">
        <v>36</v>
      </c>
      <c r="B41" s="392"/>
      <c r="C41" s="393">
        <f>D39+J39+P39+V39</f>
        <v>5140</v>
      </c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5"/>
    </row>
    <row r="42" spans="1:26" ht="20.100000000000001" customHeight="1" thickBot="1" x14ac:dyDescent="0.25">
      <c r="A42" s="392" t="s">
        <v>37</v>
      </c>
      <c r="B42" s="392"/>
      <c r="C42" s="393">
        <f>E39+K39+Q39+W39</f>
        <v>2585</v>
      </c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5"/>
    </row>
    <row r="43" spans="1:26" ht="20.100000000000001" customHeight="1" thickBot="1" x14ac:dyDescent="0.25">
      <c r="A43" s="392" t="s">
        <v>38</v>
      </c>
      <c r="B43" s="392"/>
      <c r="C43" s="396">
        <f>C41/C40</f>
        <v>0.66537216828478962</v>
      </c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8"/>
    </row>
    <row r="44" spans="1:26" ht="20.100000000000001" customHeight="1" thickBot="1" x14ac:dyDescent="0.25">
      <c r="A44" s="392" t="s">
        <v>39</v>
      </c>
      <c r="B44" s="392"/>
      <c r="C44" s="393">
        <f>F39+L39+R39+X39</f>
        <v>1122</v>
      </c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5"/>
    </row>
    <row r="45" spans="1:26" ht="15.75" thickBot="1" x14ac:dyDescent="0.25">
      <c r="A45" s="392" t="s">
        <v>40</v>
      </c>
      <c r="B45" s="392"/>
      <c r="C45" s="399">
        <f>C44/'التمام الصباحي'!$C$41:$Z$41</f>
        <v>0.21828793774319066</v>
      </c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1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I15" sqref="I15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5" t="s">
        <v>0</v>
      </c>
      <c r="B1" s="405"/>
      <c r="C1" s="405"/>
      <c r="D1" s="405"/>
      <c r="E1" s="405"/>
      <c r="X1" s="402"/>
      <c r="Y1" s="402"/>
    </row>
    <row r="2" spans="1:25" ht="15.75" x14ac:dyDescent="0.25">
      <c r="A2" s="405" t="s">
        <v>1</v>
      </c>
      <c r="B2" s="405"/>
      <c r="C2" s="405"/>
      <c r="D2" s="405"/>
      <c r="E2" s="405"/>
    </row>
    <row r="3" spans="1:25" ht="15.75" x14ac:dyDescent="0.25">
      <c r="A3" s="405" t="s">
        <v>2</v>
      </c>
      <c r="B3" s="405"/>
      <c r="C3" s="405"/>
      <c r="D3" s="405"/>
      <c r="E3" s="405"/>
    </row>
    <row r="5" spans="1:25" ht="36.75" customHeight="1" thickBot="1" x14ac:dyDescent="0.3">
      <c r="G5" s="199"/>
      <c r="H5" s="404" t="s">
        <v>161</v>
      </c>
      <c r="I5" s="404"/>
      <c r="J5" s="404"/>
      <c r="K5" s="404"/>
      <c r="L5" s="404"/>
      <c r="M5" s="404"/>
      <c r="N5" s="404"/>
      <c r="O5" s="404"/>
      <c r="T5" s="200" t="s">
        <v>41</v>
      </c>
    </row>
    <row r="6" spans="1:25" ht="20.100000000000001" customHeight="1" thickBot="1" x14ac:dyDescent="0.25">
      <c r="A6" s="403" t="s">
        <v>14</v>
      </c>
      <c r="B6" s="403" t="s">
        <v>3</v>
      </c>
      <c r="C6" s="403" t="s">
        <v>4</v>
      </c>
      <c r="D6" s="538" t="s">
        <v>5</v>
      </c>
      <c r="E6" s="539"/>
      <c r="F6" s="539"/>
      <c r="G6" s="540"/>
      <c r="H6" s="403" t="s">
        <v>4</v>
      </c>
      <c r="I6" s="538" t="s">
        <v>11</v>
      </c>
      <c r="J6" s="539"/>
      <c r="K6" s="539"/>
      <c r="L6" s="540"/>
      <c r="M6" s="403" t="s">
        <v>4</v>
      </c>
      <c r="N6" s="538" t="s">
        <v>12</v>
      </c>
      <c r="O6" s="539"/>
      <c r="P6" s="539"/>
      <c r="Q6" s="540"/>
      <c r="R6" s="403" t="s">
        <v>4</v>
      </c>
      <c r="S6" s="538" t="s">
        <v>13</v>
      </c>
      <c r="T6" s="539"/>
      <c r="U6" s="539"/>
      <c r="V6" s="540"/>
    </row>
    <row r="7" spans="1:25" ht="20.100000000000001" customHeight="1" thickBot="1" x14ac:dyDescent="0.25">
      <c r="A7" s="403"/>
      <c r="B7" s="403"/>
      <c r="C7" s="403"/>
      <c r="D7" s="201" t="s">
        <v>6</v>
      </c>
      <c r="E7" s="201" t="s">
        <v>7</v>
      </c>
      <c r="F7" s="201" t="s">
        <v>9</v>
      </c>
      <c r="G7" s="201" t="s">
        <v>10</v>
      </c>
      <c r="H7" s="403"/>
      <c r="I7" s="201" t="s">
        <v>6</v>
      </c>
      <c r="J7" s="201" t="s">
        <v>7</v>
      </c>
      <c r="K7" s="201" t="s">
        <v>9</v>
      </c>
      <c r="L7" s="201" t="s">
        <v>10</v>
      </c>
      <c r="M7" s="403"/>
      <c r="N7" s="201" t="s">
        <v>6</v>
      </c>
      <c r="O7" s="201" t="s">
        <v>7</v>
      </c>
      <c r="P7" s="201" t="s">
        <v>9</v>
      </c>
      <c r="Q7" s="201" t="s">
        <v>10</v>
      </c>
      <c r="R7" s="403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1" t="s">
        <v>34</v>
      </c>
      <c r="B28" s="391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92" t="s">
        <v>35</v>
      </c>
      <c r="B29" s="392"/>
      <c r="C29" s="393">
        <f>C28+H28+M28+R28</f>
        <v>4605</v>
      </c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5"/>
    </row>
    <row r="30" spans="1:26" ht="20.100000000000001" customHeight="1" thickBot="1" x14ac:dyDescent="0.25">
      <c r="A30" s="392" t="s">
        <v>36</v>
      </c>
      <c r="B30" s="392"/>
      <c r="C30" s="393">
        <f>D28+I28+N28+S28</f>
        <v>4605</v>
      </c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5"/>
    </row>
    <row r="31" spans="1:26" ht="20.100000000000001" customHeight="1" thickBot="1" x14ac:dyDescent="0.25">
      <c r="A31" s="392" t="s">
        <v>37</v>
      </c>
      <c r="B31" s="392"/>
      <c r="C31" s="393">
        <f>E28+J28+O28+T28</f>
        <v>0</v>
      </c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  <c r="V31" s="395"/>
    </row>
    <row r="32" spans="1:26" ht="15.75" thickBot="1" x14ac:dyDescent="0.25">
      <c r="A32" s="392" t="s">
        <v>38</v>
      </c>
      <c r="B32" s="392"/>
      <c r="C32" s="396">
        <f>C30/C29</f>
        <v>1</v>
      </c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  <c r="T32" s="397"/>
      <c r="U32" s="397"/>
      <c r="V32" s="398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405" t="s">
        <v>0</v>
      </c>
      <c r="B1" s="405"/>
      <c r="C1" s="405"/>
      <c r="D1" s="405"/>
      <c r="E1" s="405"/>
      <c r="X1" s="402"/>
      <c r="Y1" s="402"/>
    </row>
    <row r="2" spans="1:25" ht="15.75" x14ac:dyDescent="0.25">
      <c r="A2" s="405" t="s">
        <v>1</v>
      </c>
      <c r="B2" s="405"/>
      <c r="C2" s="405"/>
      <c r="D2" s="405"/>
      <c r="E2" s="405"/>
    </row>
    <row r="3" spans="1:25" ht="15.75" x14ac:dyDescent="0.25">
      <c r="A3" s="405" t="s">
        <v>2</v>
      </c>
      <c r="B3" s="405"/>
      <c r="C3" s="405"/>
      <c r="D3" s="405"/>
      <c r="E3" s="405"/>
    </row>
    <row r="5" spans="1:25" ht="32.25" customHeight="1" thickBot="1" x14ac:dyDescent="0.3">
      <c r="G5" s="199"/>
      <c r="H5" s="404" t="s">
        <v>162</v>
      </c>
      <c r="I5" s="404"/>
      <c r="J5" s="404"/>
      <c r="K5" s="404"/>
      <c r="L5" s="404"/>
      <c r="M5" s="404"/>
      <c r="N5" s="404"/>
      <c r="O5" s="404"/>
      <c r="T5" s="200" t="s">
        <v>41</v>
      </c>
    </row>
    <row r="6" spans="1:25" ht="20.100000000000001" customHeight="1" thickBot="1" x14ac:dyDescent="0.25">
      <c r="A6" s="403" t="s">
        <v>14</v>
      </c>
      <c r="B6" s="403" t="s">
        <v>3</v>
      </c>
      <c r="C6" s="403" t="s">
        <v>4</v>
      </c>
      <c r="D6" s="538" t="s">
        <v>5</v>
      </c>
      <c r="E6" s="539"/>
      <c r="F6" s="539"/>
      <c r="G6" s="540"/>
      <c r="H6" s="403" t="s">
        <v>4</v>
      </c>
      <c r="I6" s="538" t="s">
        <v>11</v>
      </c>
      <c r="J6" s="539"/>
      <c r="K6" s="539"/>
      <c r="L6" s="540"/>
      <c r="M6" s="403" t="s">
        <v>4</v>
      </c>
      <c r="N6" s="538" t="s">
        <v>12</v>
      </c>
      <c r="O6" s="539"/>
      <c r="P6" s="539"/>
      <c r="Q6" s="540"/>
      <c r="R6" s="403" t="s">
        <v>4</v>
      </c>
      <c r="S6" s="538" t="s">
        <v>13</v>
      </c>
      <c r="T6" s="539"/>
      <c r="U6" s="539"/>
      <c r="V6" s="540"/>
    </row>
    <row r="7" spans="1:25" ht="20.100000000000001" customHeight="1" thickBot="1" x14ac:dyDescent="0.25">
      <c r="A7" s="403"/>
      <c r="B7" s="403"/>
      <c r="C7" s="403"/>
      <c r="D7" s="201" t="s">
        <v>6</v>
      </c>
      <c r="E7" s="201" t="s">
        <v>7</v>
      </c>
      <c r="F7" s="201" t="s">
        <v>9</v>
      </c>
      <c r="G7" s="201" t="s">
        <v>10</v>
      </c>
      <c r="H7" s="403"/>
      <c r="I7" s="201" t="s">
        <v>6</v>
      </c>
      <c r="J7" s="201" t="s">
        <v>7</v>
      </c>
      <c r="K7" s="201" t="s">
        <v>9</v>
      </c>
      <c r="L7" s="201" t="s">
        <v>10</v>
      </c>
      <c r="M7" s="403"/>
      <c r="N7" s="201" t="s">
        <v>6</v>
      </c>
      <c r="O7" s="201" t="s">
        <v>7</v>
      </c>
      <c r="P7" s="201" t="s">
        <v>9</v>
      </c>
      <c r="Q7" s="201" t="s">
        <v>10</v>
      </c>
      <c r="R7" s="403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38</v>
      </c>
      <c r="J8" s="221">
        <f>'خطة الإمداد'!F32</f>
        <v>52</v>
      </c>
      <c r="K8" s="261">
        <v>19</v>
      </c>
      <c r="L8" s="203">
        <f>I8/K8</f>
        <v>2</v>
      </c>
      <c r="M8" s="262">
        <v>30</v>
      </c>
      <c r="N8" s="261">
        <f>M8-O8</f>
        <v>4</v>
      </c>
      <c r="O8" s="221">
        <f>'خطة الإمداد'!G32</f>
        <v>26</v>
      </c>
      <c r="P8" s="261">
        <v>5</v>
      </c>
      <c r="Q8" s="203">
        <f>N8/P8</f>
        <v>0.8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21</v>
      </c>
      <c r="E10" s="261">
        <f>'خطة الإمداد'!E35</f>
        <v>9</v>
      </c>
      <c r="F10" s="261">
        <v>4</v>
      </c>
      <c r="G10" s="204">
        <f>D10/F10</f>
        <v>5.25</v>
      </c>
      <c r="H10" s="262">
        <v>60</v>
      </c>
      <c r="I10" s="261">
        <f t="shared" ref="I10:I27" si="1">H10-J10</f>
        <v>11</v>
      </c>
      <c r="J10" s="221">
        <f>'خطة الإمداد'!F35</f>
        <v>49</v>
      </c>
      <c r="K10" s="261">
        <v>21</v>
      </c>
      <c r="L10" s="203">
        <f t="shared" ref="L10:L21" si="2">I10/K10</f>
        <v>0.52380952380952384</v>
      </c>
      <c r="M10" s="262">
        <v>30</v>
      </c>
      <c r="N10" s="261">
        <f t="shared" ref="N10:N27" si="3">M10-O10</f>
        <v>9</v>
      </c>
      <c r="O10" s="221">
        <f>'خطة الإمداد'!G35</f>
        <v>21</v>
      </c>
      <c r="P10" s="261">
        <v>5</v>
      </c>
      <c r="Q10" s="203">
        <f>N10/P10</f>
        <v>1.8</v>
      </c>
      <c r="R10" s="262">
        <v>180</v>
      </c>
      <c r="S10" s="221">
        <f t="shared" ref="S10:S27" si="4">R10-T10</f>
        <v>154</v>
      </c>
      <c r="T10" s="261">
        <f>'خطة الإمداد'!H35</f>
        <v>26</v>
      </c>
      <c r="U10" s="261">
        <v>3</v>
      </c>
      <c r="V10" s="203">
        <f>S10/U10</f>
        <v>51.333333333333336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2</v>
      </c>
      <c r="J11" s="221">
        <f>'خطة الإمداد'!F36</f>
        <v>58</v>
      </c>
      <c r="K11" s="261">
        <v>34</v>
      </c>
      <c r="L11" s="203">
        <f t="shared" si="2"/>
        <v>5.8823529411764705E-2</v>
      </c>
      <c r="M11" s="262">
        <v>30</v>
      </c>
      <c r="N11" s="261">
        <f t="shared" si="3"/>
        <v>4</v>
      </c>
      <c r="O11" s="221">
        <f>'خطة الإمداد'!G36</f>
        <v>26</v>
      </c>
      <c r="P11" s="261">
        <v>8</v>
      </c>
      <c r="Q11" s="203">
        <f>N11/P11</f>
        <v>0.5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9</v>
      </c>
      <c r="E12" s="261">
        <f>'خطة الإمداد'!E37</f>
        <v>21</v>
      </c>
      <c r="F12" s="261">
        <v>4</v>
      </c>
      <c r="G12" s="204">
        <f>D12/F12</f>
        <v>2.25</v>
      </c>
      <c r="H12" s="262">
        <v>90</v>
      </c>
      <c r="I12" s="261">
        <f t="shared" si="1"/>
        <v>40</v>
      </c>
      <c r="J12" s="221">
        <f>'خطة الإمداد'!F37</f>
        <v>50</v>
      </c>
      <c r="K12" s="261">
        <v>19</v>
      </c>
      <c r="L12" s="203">
        <f t="shared" si="2"/>
        <v>2.1052631578947367</v>
      </c>
      <c r="M12" s="263"/>
      <c r="N12" s="263"/>
      <c r="O12" s="263"/>
      <c r="P12" s="263"/>
      <c r="Q12" s="205"/>
      <c r="R12" s="262">
        <v>180</v>
      </c>
      <c r="S12" s="221">
        <f t="shared" si="4"/>
        <v>165</v>
      </c>
      <c r="T12" s="261">
        <f>'خطة الإمداد'!H37</f>
        <v>15</v>
      </c>
      <c r="U12" s="261">
        <v>8</v>
      </c>
      <c r="V12" s="203">
        <f>S12/U12</f>
        <v>20.625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16</v>
      </c>
      <c r="E13" s="261">
        <f>'خطة الإمداد'!E38</f>
        <v>14</v>
      </c>
      <c r="F13" s="261">
        <v>4</v>
      </c>
      <c r="G13" s="204">
        <f>D13/F13</f>
        <v>4</v>
      </c>
      <c r="H13" s="262">
        <v>90</v>
      </c>
      <c r="I13" s="261">
        <f t="shared" si="1"/>
        <v>56</v>
      </c>
      <c r="J13" s="221">
        <f>'خطة الإمداد'!F38</f>
        <v>34</v>
      </c>
      <c r="K13" s="261">
        <v>16</v>
      </c>
      <c r="L13" s="203">
        <f t="shared" si="2"/>
        <v>3.5</v>
      </c>
      <c r="M13" s="263"/>
      <c r="N13" s="263"/>
      <c r="O13" s="263"/>
      <c r="P13" s="263"/>
      <c r="Q13" s="205"/>
      <c r="R13" s="262">
        <v>180</v>
      </c>
      <c r="S13" s="221">
        <f t="shared" si="4"/>
        <v>133</v>
      </c>
      <c r="T13" s="261">
        <f>'خطة الإمداد'!H38</f>
        <v>47</v>
      </c>
      <c r="U13" s="261">
        <v>19</v>
      </c>
      <c r="V13" s="203">
        <f>S13/U13</f>
        <v>7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118</v>
      </c>
      <c r="J14" s="221">
        <f>'خطة الإمداد'!F39</f>
        <v>62</v>
      </c>
      <c r="K14" s="261">
        <v>39</v>
      </c>
      <c r="L14" s="203">
        <f t="shared" si="2"/>
        <v>3.0256410256410255</v>
      </c>
      <c r="M14" s="262">
        <v>60</v>
      </c>
      <c r="N14" s="261">
        <f t="shared" si="3"/>
        <v>37</v>
      </c>
      <c r="O14" s="221">
        <f>'خطة الإمداد'!G39</f>
        <v>23</v>
      </c>
      <c r="P14" s="261">
        <v>7</v>
      </c>
      <c r="Q14" s="203">
        <f t="shared" ref="Q14:Q21" si="5">N14/P14</f>
        <v>5.2857142857142856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120</v>
      </c>
      <c r="J15" s="221">
        <f>'خطة الإمداد'!F40</f>
        <v>60</v>
      </c>
      <c r="K15" s="261">
        <v>36</v>
      </c>
      <c r="L15" s="203">
        <f t="shared" si="2"/>
        <v>3.3333333333333335</v>
      </c>
      <c r="M15" s="262">
        <v>45</v>
      </c>
      <c r="N15" s="261">
        <f t="shared" si="3"/>
        <v>14</v>
      </c>
      <c r="O15" s="221">
        <f>'خطة الإمداد'!G40</f>
        <v>31</v>
      </c>
      <c r="P15" s="261">
        <v>8</v>
      </c>
      <c r="Q15" s="203">
        <f t="shared" si="5"/>
        <v>1.75</v>
      </c>
      <c r="R15" s="262">
        <v>120</v>
      </c>
      <c r="S15" s="221">
        <f t="shared" si="4"/>
        <v>50</v>
      </c>
      <c r="T15" s="261">
        <f>'خطة الإمداد'!H40</f>
        <v>70</v>
      </c>
      <c r="U15" s="261">
        <v>26</v>
      </c>
      <c r="V15" s="203">
        <f>S15/U15</f>
        <v>1.9230769230769231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63</v>
      </c>
      <c r="J16" s="221">
        <f>'خطة الإمداد'!F41</f>
        <v>27</v>
      </c>
      <c r="K16" s="261">
        <v>6</v>
      </c>
      <c r="L16" s="203">
        <f t="shared" si="2"/>
        <v>10.5</v>
      </c>
      <c r="M16" s="262">
        <v>30</v>
      </c>
      <c r="N16" s="261">
        <f t="shared" si="3"/>
        <v>8</v>
      </c>
      <c r="O16" s="221">
        <f>'خطة الإمداد'!G41</f>
        <v>22</v>
      </c>
      <c r="P16" s="261">
        <v>2</v>
      </c>
      <c r="Q16" s="203">
        <f t="shared" si="5"/>
        <v>4</v>
      </c>
      <c r="R16" s="262">
        <v>180</v>
      </c>
      <c r="S16" s="221">
        <f t="shared" si="4"/>
        <v>84</v>
      </c>
      <c r="T16" s="261">
        <f>'خطة الإمداد'!H41</f>
        <v>96</v>
      </c>
      <c r="U16" s="261">
        <v>56</v>
      </c>
      <c r="V16" s="203">
        <f>S16/U16</f>
        <v>1.5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67</v>
      </c>
      <c r="J17" s="221">
        <f>'خطة الإمداد'!F42</f>
        <v>23</v>
      </c>
      <c r="K17" s="261">
        <v>5</v>
      </c>
      <c r="L17" s="203">
        <f t="shared" si="2"/>
        <v>13.4</v>
      </c>
      <c r="M17" s="262">
        <v>30</v>
      </c>
      <c r="N17" s="261">
        <f t="shared" si="3"/>
        <v>9</v>
      </c>
      <c r="O17" s="221">
        <f>'خطة الإمداد'!G42</f>
        <v>21</v>
      </c>
      <c r="P17" s="261">
        <v>1</v>
      </c>
      <c r="Q17" s="203">
        <f t="shared" si="5"/>
        <v>9</v>
      </c>
      <c r="R17" s="262">
        <v>60</v>
      </c>
      <c r="S17" s="194">
        <f t="shared" si="4"/>
        <v>42</v>
      </c>
      <c r="T17" s="261">
        <f>'خطة الإمداد'!H42</f>
        <v>18</v>
      </c>
      <c r="U17" s="261">
        <v>2</v>
      </c>
      <c r="V17" s="261">
        <f>S17/U17</f>
        <v>21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49</v>
      </c>
      <c r="J18" s="221">
        <f>'خطة الإمداد'!F43</f>
        <v>11</v>
      </c>
      <c r="K18" s="261">
        <v>2</v>
      </c>
      <c r="L18" s="203">
        <f t="shared" si="2"/>
        <v>24.5</v>
      </c>
      <c r="M18" s="262">
        <v>30</v>
      </c>
      <c r="N18" s="261">
        <f t="shared" si="3"/>
        <v>10</v>
      </c>
      <c r="O18" s="221">
        <f>'خطة الإمداد'!G43</f>
        <v>20</v>
      </c>
      <c r="P18" s="261">
        <v>5</v>
      </c>
      <c r="Q18" s="203">
        <f t="shared" si="5"/>
        <v>2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67</v>
      </c>
      <c r="J19" s="221">
        <f>'خطة الإمداد'!F44</f>
        <v>23</v>
      </c>
      <c r="K19" s="261">
        <v>6</v>
      </c>
      <c r="L19" s="203">
        <f t="shared" si="2"/>
        <v>11.166666666666666</v>
      </c>
      <c r="M19" s="262">
        <v>30</v>
      </c>
      <c r="N19" s="261">
        <f t="shared" si="3"/>
        <v>12</v>
      </c>
      <c r="O19" s="221">
        <f>'خطة الإمداد'!G44</f>
        <v>18</v>
      </c>
      <c r="P19" s="261">
        <v>2</v>
      </c>
      <c r="Q19" s="203">
        <f t="shared" si="5"/>
        <v>6</v>
      </c>
      <c r="R19" s="262">
        <v>180</v>
      </c>
      <c r="S19" s="221">
        <f t="shared" si="4"/>
        <v>130</v>
      </c>
      <c r="T19" s="261">
        <f>'خطة الإمداد'!H44</f>
        <v>50</v>
      </c>
      <c r="U19" s="261">
        <v>16</v>
      </c>
      <c r="V19" s="203">
        <f>S19/U19</f>
        <v>8.125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44</v>
      </c>
      <c r="J20" s="221">
        <f>'خطة الإمداد'!F45</f>
        <v>46</v>
      </c>
      <c r="K20" s="261">
        <v>7</v>
      </c>
      <c r="L20" s="203">
        <f t="shared" si="2"/>
        <v>6.2857142857142856</v>
      </c>
      <c r="M20" s="262">
        <v>30</v>
      </c>
      <c r="N20" s="261">
        <f t="shared" si="3"/>
        <v>15</v>
      </c>
      <c r="O20" s="221">
        <f>'خطة الإمداد'!G45</f>
        <v>15</v>
      </c>
      <c r="P20" s="261">
        <v>1</v>
      </c>
      <c r="Q20" s="203">
        <f t="shared" si="5"/>
        <v>15</v>
      </c>
      <c r="R20" s="262">
        <v>180</v>
      </c>
      <c r="S20" s="221">
        <f t="shared" si="4"/>
        <v>113</v>
      </c>
      <c r="T20" s="261">
        <f>'خطة الإمداد'!H45</f>
        <v>67</v>
      </c>
      <c r="U20" s="261">
        <v>18</v>
      </c>
      <c r="V20" s="203">
        <f>S20/U20</f>
        <v>6.2777777777777777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60</v>
      </c>
      <c r="J21" s="221">
        <f>'خطة الإمداد'!F46</f>
        <v>30</v>
      </c>
      <c r="K21" s="261">
        <v>5</v>
      </c>
      <c r="L21" s="203">
        <f t="shared" si="2"/>
        <v>12</v>
      </c>
      <c r="M21" s="262">
        <v>30</v>
      </c>
      <c r="N21" s="261">
        <f t="shared" si="3"/>
        <v>13.5</v>
      </c>
      <c r="O21" s="221">
        <f>'خطة الإمداد'!G46</f>
        <v>16.5</v>
      </c>
      <c r="P21" s="261">
        <v>1</v>
      </c>
      <c r="Q21" s="203">
        <f t="shared" si="5"/>
        <v>13.5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28.4</v>
      </c>
      <c r="E22" s="194">
        <f>'خطة الإمداد'!E47</f>
        <v>1.6</v>
      </c>
      <c r="F22" s="194">
        <v>0.2</v>
      </c>
      <c r="G22" s="194">
        <f>D22/F22</f>
        <v>141.99999999999997</v>
      </c>
      <c r="H22" s="262">
        <v>60</v>
      </c>
      <c r="I22" s="261">
        <f t="shared" si="1"/>
        <v>49</v>
      </c>
      <c r="J22" s="221">
        <f>'خطة الإمداد'!F47</f>
        <v>11</v>
      </c>
      <c r="K22" s="261">
        <v>1</v>
      </c>
      <c r="L22" s="203">
        <f t="shared" ref="L22:L27" si="6">I22/K22</f>
        <v>49</v>
      </c>
      <c r="M22" s="263"/>
      <c r="N22" s="263"/>
      <c r="O22" s="263"/>
      <c r="P22" s="263"/>
      <c r="Q22" s="205"/>
      <c r="R22" s="262">
        <v>120</v>
      </c>
      <c r="S22" s="221">
        <f t="shared" si="4"/>
        <v>90</v>
      </c>
      <c r="T22" s="261">
        <f>'خطة الإمداد'!H47</f>
        <v>30</v>
      </c>
      <c r="U22" s="261">
        <v>14</v>
      </c>
      <c r="V22" s="203">
        <f t="shared" ref="V22:V27" si="7">S22/U22</f>
        <v>6.4285714285714288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45</v>
      </c>
      <c r="J23" s="221">
        <f>'خطة الإمداد'!F48</f>
        <v>15</v>
      </c>
      <c r="K23" s="261">
        <v>1</v>
      </c>
      <c r="L23" s="203">
        <f t="shared" si="6"/>
        <v>45</v>
      </c>
      <c r="M23" s="263"/>
      <c r="N23" s="263"/>
      <c r="O23" s="263"/>
      <c r="P23" s="263"/>
      <c r="Q23" s="205"/>
      <c r="R23" s="262">
        <v>120</v>
      </c>
      <c r="S23" s="221">
        <f t="shared" si="4"/>
        <v>96</v>
      </c>
      <c r="T23" s="261">
        <f>'خطة الإمداد'!H48</f>
        <v>24</v>
      </c>
      <c r="U23" s="261">
        <v>7</v>
      </c>
      <c r="V23" s="203">
        <f t="shared" si="7"/>
        <v>13.714285714285714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54</v>
      </c>
      <c r="J24" s="221">
        <f>'خطة الإمداد'!F49</f>
        <v>36</v>
      </c>
      <c r="K24" s="261">
        <v>11</v>
      </c>
      <c r="L24" s="203">
        <f t="shared" si="6"/>
        <v>4.9090909090909092</v>
      </c>
      <c r="M24" s="262">
        <v>30</v>
      </c>
      <c r="N24" s="261">
        <f t="shared" si="3"/>
        <v>10.5</v>
      </c>
      <c r="O24" s="221">
        <f>'خطة الإمداد'!G49</f>
        <v>19.5</v>
      </c>
      <c r="P24" s="261">
        <v>1</v>
      </c>
      <c r="Q24" s="203">
        <f>N24/P24</f>
        <v>10.5</v>
      </c>
      <c r="R24" s="262">
        <v>180</v>
      </c>
      <c r="S24" s="221">
        <f t="shared" si="4"/>
        <v>114</v>
      </c>
      <c r="T24" s="261">
        <f>'خطة الإمداد'!H49</f>
        <v>66</v>
      </c>
      <c r="U24" s="261">
        <v>42</v>
      </c>
      <c r="V24" s="203">
        <f t="shared" si="7"/>
        <v>2.7142857142857144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48</v>
      </c>
      <c r="J25" s="221">
        <f>'خطة الإمداد'!F50</f>
        <v>42</v>
      </c>
      <c r="K25" s="261">
        <v>14</v>
      </c>
      <c r="L25" s="203">
        <f t="shared" si="6"/>
        <v>3.4285714285714284</v>
      </c>
      <c r="M25" s="262">
        <v>30</v>
      </c>
      <c r="N25" s="261">
        <f t="shared" si="3"/>
        <v>14</v>
      </c>
      <c r="O25" s="221">
        <f>'خطة الإمداد'!G50</f>
        <v>16</v>
      </c>
      <c r="P25" s="261">
        <v>2</v>
      </c>
      <c r="Q25" s="203">
        <f>N25/P25</f>
        <v>7</v>
      </c>
      <c r="R25" s="262">
        <v>180</v>
      </c>
      <c r="S25" s="221">
        <f t="shared" si="4"/>
        <v>89</v>
      </c>
      <c r="T25" s="261">
        <f>'خطة الإمداد'!H50</f>
        <v>91</v>
      </c>
      <c r="U25" s="261">
        <v>35</v>
      </c>
      <c r="V25" s="203">
        <f t="shared" si="7"/>
        <v>2.5428571428571427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-12</v>
      </c>
      <c r="J26" s="221">
        <f>'خطة الإمداد'!F51</f>
        <v>102</v>
      </c>
      <c r="K26" s="261">
        <v>6</v>
      </c>
      <c r="L26" s="203">
        <f t="shared" si="6"/>
        <v>-2</v>
      </c>
      <c r="M26" s="262">
        <v>30</v>
      </c>
      <c r="N26" s="261">
        <f t="shared" si="3"/>
        <v>-2</v>
      </c>
      <c r="O26" s="221">
        <f>'خطة الإمداد'!G51</f>
        <v>32</v>
      </c>
      <c r="P26" s="261">
        <v>1</v>
      </c>
      <c r="Q26" s="203">
        <f>N26/P26</f>
        <v>-2</v>
      </c>
      <c r="R26" s="262">
        <v>180</v>
      </c>
      <c r="S26" s="221">
        <f t="shared" si="4"/>
        <v>-22</v>
      </c>
      <c r="T26" s="261">
        <f>'خطة الإمداد'!H51</f>
        <v>202</v>
      </c>
      <c r="U26" s="261">
        <v>21</v>
      </c>
      <c r="V26" s="203">
        <f t="shared" si="7"/>
        <v>-1.0476190476190477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69</v>
      </c>
      <c r="J27" s="221">
        <f>'خطة الإمداد'!F52</f>
        <v>21</v>
      </c>
      <c r="K27" s="261">
        <v>7</v>
      </c>
      <c r="L27" s="203">
        <f t="shared" si="6"/>
        <v>9.8571428571428577</v>
      </c>
      <c r="M27" s="262">
        <v>30</v>
      </c>
      <c r="N27" s="261">
        <f t="shared" si="3"/>
        <v>12</v>
      </c>
      <c r="O27" s="221">
        <f>'خطة الإمداد'!G52</f>
        <v>18</v>
      </c>
      <c r="P27" s="261">
        <v>1</v>
      </c>
      <c r="Q27" s="203">
        <f>N27/P27</f>
        <v>12</v>
      </c>
      <c r="R27" s="262">
        <v>180</v>
      </c>
      <c r="S27" s="221">
        <f t="shared" si="4"/>
        <v>114</v>
      </c>
      <c r="T27" s="261">
        <f>'خطة الإمداد'!H52</f>
        <v>66</v>
      </c>
      <c r="U27" s="261">
        <v>22</v>
      </c>
      <c r="V27" s="203">
        <f t="shared" si="7"/>
        <v>5.1818181818181817</v>
      </c>
    </row>
    <row r="28" spans="1:23" ht="24.75" customHeight="1" thickBot="1" x14ac:dyDescent="0.25">
      <c r="A28" s="391" t="s">
        <v>34</v>
      </c>
      <c r="B28" s="391"/>
      <c r="C28" s="206">
        <f>SUM(C8:C27)</f>
        <v>150</v>
      </c>
      <c r="D28" s="206">
        <f>SUM(D8:D27)</f>
        <v>104.4</v>
      </c>
      <c r="E28" s="206">
        <f t="shared" ref="E28:V28" si="8">SUM(E8:E27)</f>
        <v>45.6</v>
      </c>
      <c r="F28" s="206">
        <f t="shared" si="8"/>
        <v>21.2</v>
      </c>
      <c r="G28" s="206">
        <f t="shared" si="8"/>
        <v>156.83333333333331</v>
      </c>
      <c r="H28" s="262">
        <f t="shared" si="8"/>
        <v>1740</v>
      </c>
      <c r="I28" s="206">
        <f t="shared" si="8"/>
        <v>988</v>
      </c>
      <c r="J28" s="206">
        <f t="shared" si="8"/>
        <v>752</v>
      </c>
      <c r="K28" s="206">
        <f t="shared" si="8"/>
        <v>255</v>
      </c>
      <c r="L28" s="207">
        <f t="shared" si="8"/>
        <v>202.59405671727652</v>
      </c>
      <c r="M28" s="262">
        <f t="shared" si="8"/>
        <v>495</v>
      </c>
      <c r="N28" s="206">
        <f t="shared" si="8"/>
        <v>170</v>
      </c>
      <c r="O28" s="206">
        <f t="shared" si="8"/>
        <v>325</v>
      </c>
      <c r="P28" s="206">
        <f t="shared" si="8"/>
        <v>50</v>
      </c>
      <c r="Q28" s="207">
        <f t="shared" si="8"/>
        <v>87.135714285714286</v>
      </c>
      <c r="R28" s="262">
        <f t="shared" si="8"/>
        <v>2220</v>
      </c>
      <c r="S28" s="206">
        <f t="shared" si="8"/>
        <v>1352</v>
      </c>
      <c r="T28" s="206">
        <f t="shared" si="8"/>
        <v>868</v>
      </c>
      <c r="U28" s="206">
        <f t="shared" si="8"/>
        <v>289</v>
      </c>
      <c r="V28" s="207">
        <f t="shared" si="8"/>
        <v>147.3183871683872</v>
      </c>
    </row>
    <row r="29" spans="1:23" ht="20.100000000000001" customHeight="1" thickBot="1" x14ac:dyDescent="0.25">
      <c r="A29" s="392" t="s">
        <v>35</v>
      </c>
      <c r="B29" s="392"/>
      <c r="C29" s="393">
        <f>C28+H28+M28+R28</f>
        <v>4605</v>
      </c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5"/>
    </row>
    <row r="30" spans="1:23" ht="20.100000000000001" customHeight="1" thickBot="1" x14ac:dyDescent="0.25">
      <c r="A30" s="392" t="s">
        <v>36</v>
      </c>
      <c r="B30" s="392"/>
      <c r="C30" s="393">
        <f>D28+I28+N28+S28</f>
        <v>2614.4</v>
      </c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5"/>
    </row>
    <row r="31" spans="1:23" ht="20.100000000000001" customHeight="1" thickBot="1" x14ac:dyDescent="0.25">
      <c r="A31" s="392" t="s">
        <v>37</v>
      </c>
      <c r="B31" s="392"/>
      <c r="C31" s="393">
        <f>E28+J28+O28+T28</f>
        <v>1990.6</v>
      </c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  <c r="V31" s="395"/>
    </row>
    <row r="32" spans="1:23" ht="20.100000000000001" customHeight="1" thickBot="1" x14ac:dyDescent="0.25">
      <c r="A32" s="392" t="s">
        <v>38</v>
      </c>
      <c r="B32" s="392"/>
      <c r="C32" s="396">
        <f>C30/C29</f>
        <v>0.56773072747014119</v>
      </c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  <c r="T32" s="397"/>
      <c r="U32" s="397"/>
      <c r="V32" s="398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7" t="s">
        <v>94</v>
      </c>
      <c r="R5" s="417"/>
      <c r="S5" s="417"/>
      <c r="T5" s="417"/>
      <c r="U5" s="417"/>
    </row>
    <row r="6" spans="1:21" ht="15.75" customHeight="1" thickBot="1" x14ac:dyDescent="0.25">
      <c r="A6" s="502" t="s">
        <v>3</v>
      </c>
      <c r="B6" s="541">
        <v>80</v>
      </c>
      <c r="C6" s="542"/>
      <c r="D6" s="541">
        <v>92</v>
      </c>
      <c r="E6" s="542"/>
      <c r="F6" s="541">
        <v>95</v>
      </c>
      <c r="G6" s="542"/>
      <c r="H6" s="541" t="s">
        <v>50</v>
      </c>
      <c r="I6" s="542"/>
      <c r="K6" s="502" t="s">
        <v>3</v>
      </c>
      <c r="L6" s="73">
        <v>80</v>
      </c>
      <c r="M6" s="73">
        <v>92</v>
      </c>
      <c r="N6" s="73">
        <v>95</v>
      </c>
      <c r="O6" s="73" t="s">
        <v>50</v>
      </c>
      <c r="Q6" s="543" t="s">
        <v>3</v>
      </c>
      <c r="R6" s="544" t="s">
        <v>95</v>
      </c>
      <c r="S6" s="544" t="s">
        <v>96</v>
      </c>
      <c r="T6" s="544" t="s">
        <v>97</v>
      </c>
      <c r="U6" s="546" t="s">
        <v>98</v>
      </c>
    </row>
    <row r="7" spans="1:21" ht="15.75" thickBot="1" x14ac:dyDescent="0.25">
      <c r="A7" s="504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4"/>
      <c r="L7" s="74" t="s">
        <v>7</v>
      </c>
      <c r="M7" s="74" t="s">
        <v>7</v>
      </c>
      <c r="N7" s="74" t="s">
        <v>7</v>
      </c>
      <c r="O7" s="74" t="s">
        <v>7</v>
      </c>
      <c r="Q7" s="543"/>
      <c r="R7" s="545"/>
      <c r="S7" s="545"/>
      <c r="T7" s="545"/>
      <c r="U7" s="546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27</v>
      </c>
      <c r="E8" s="10">
        <f>'التمام الصباحي'!N8</f>
        <v>2.52</v>
      </c>
      <c r="F8" s="72">
        <f>'التمام الصباحي'!Q8</f>
        <v>18</v>
      </c>
      <c r="G8" s="10">
        <f>'التمام الصباحي'!T8</f>
        <v>1.5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4</v>
      </c>
      <c r="C9" s="9">
        <f>'التمام الصباحي'!H11</f>
        <v>5.2</v>
      </c>
      <c r="D9" s="72">
        <f>'التمام الصباحي'!K11</f>
        <v>24</v>
      </c>
      <c r="E9" s="10">
        <f>'التمام الصباحي'!N11</f>
        <v>1.44</v>
      </c>
      <c r="F9" s="72">
        <f>'التمام الصباحي'!Q11</f>
        <v>13</v>
      </c>
      <c r="G9" s="10">
        <f>'التمام الصباحي'!T11</f>
        <v>2.125</v>
      </c>
      <c r="H9" s="5">
        <f>'التمام الصباحي'!W11</f>
        <v>20</v>
      </c>
      <c r="I9" s="10">
        <f>'التمام الصباحي'!Z11</f>
        <v>26.666666666666668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17</v>
      </c>
      <c r="P9" s="81"/>
      <c r="Q9" s="86" t="s">
        <v>16</v>
      </c>
      <c r="R9" s="87">
        <f t="shared" si="0"/>
        <v>0</v>
      </c>
      <c r="S9" s="547">
        <f>IF((ROUNDDOWN((SUM(M9:M10)/51)-(R9+R10),0.9))&lt;0,0,(ROUNDDOWN((SUM(M9:M10)/51)-(R9+R10),0.9)))</f>
        <v>0</v>
      </c>
      <c r="T9" s="547">
        <f>IF((ROUNDDOWN((SUM(O9:O10)/51)-(R9+R10),0.9))&lt;0,0,(ROUNDDOWN((SUM(O9:O10)/51)-(R9+R10),0.9)))</f>
        <v>0</v>
      </c>
      <c r="U9" s="547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16</v>
      </c>
      <c r="E10" s="10">
        <f>'التمام الصباحي'!N12</f>
        <v>1.7619047619047619</v>
      </c>
      <c r="F10" s="72">
        <f>'التمام الصباحي'!Q12</f>
        <v>14</v>
      </c>
      <c r="G10" s="10">
        <f>'التمام الصباحي'!T12</f>
        <v>1.3333333333333333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8"/>
      <c r="T10" s="548"/>
      <c r="U10" s="548"/>
    </row>
    <row r="11" spans="1:21" ht="17.25" thickTop="1" thickBot="1" x14ac:dyDescent="0.3">
      <c r="A11" s="77" t="s">
        <v>18</v>
      </c>
      <c r="B11" s="5">
        <f>'التمام الصباحي'!E13</f>
        <v>17</v>
      </c>
      <c r="C11" s="9">
        <f>'التمام الصباحي'!H13</f>
        <v>3.25</v>
      </c>
      <c r="D11" s="72">
        <f>'التمام الصباحي'!K13</f>
        <v>23</v>
      </c>
      <c r="E11" s="10">
        <f>'التمام الصباحي'!N13</f>
        <v>2.4814814814814814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7</v>
      </c>
      <c r="I11" s="10">
        <f>'التمام الصباحي'!Z13</f>
        <v>21.625</v>
      </c>
      <c r="K11" s="91" t="s">
        <v>18</v>
      </c>
      <c r="L11" s="41">
        <f t="shared" si="3"/>
        <v>17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9">
        <f>IF((ROUNDDOWN((SUM(M11:M12)/51)-(R11+R12),0.9))&lt;0,0,(ROUNDDOWN((SUM(M11:M12)/51)-(R11+R12),0.9)))</f>
        <v>0</v>
      </c>
      <c r="T11" s="549">
        <f t="shared" ref="T11" si="5">IF((ROUNDDOWN((SUM(O11:O12)/51)-(R11+R12),0.9))&lt;0,0,(ROUNDDOWN((SUM(O11:O12)/51)-(R11+R12),0.9)))</f>
        <v>0</v>
      </c>
      <c r="U11" s="549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7</v>
      </c>
      <c r="C12" s="9">
        <f>'التمام الصباحي'!H14</f>
        <v>3.2857142857142856</v>
      </c>
      <c r="D12" s="72">
        <f>'التمام الصباحي'!K14</f>
        <v>12</v>
      </c>
      <c r="E12" s="10">
        <f>'التمام الصباحي'!N14</f>
        <v>3.5454545454545454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27</v>
      </c>
      <c r="I12" s="10">
        <f>'التمام الصباحي'!Z14</f>
        <v>7.65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49"/>
      <c r="T12" s="549"/>
      <c r="U12" s="549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10</v>
      </c>
      <c r="E13" s="10">
        <f>'التمام الصباحي'!N15</f>
        <v>3.2692307692307692</v>
      </c>
      <c r="F13" s="72">
        <f>'التمام الصباحي'!Q15</f>
        <v>8</v>
      </c>
      <c r="G13" s="10">
        <f>'التمام الصباحي'!T15</f>
        <v>3.4666666666666668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7">
        <f>IF((ROUNDDOWN((SUM(M13:M14)/51)-(R13+R14),0.9))&lt;0,0,(ROUNDDOWN((SUM(M13:M14)/51)-(R13+R14),0.9)))</f>
        <v>0</v>
      </c>
      <c r="T13" s="547">
        <f t="shared" ref="T13" si="7">IF((ROUNDDOWN((SUM(O13:O14)/51)-(R13+R14),0.9))&lt;0,0,(ROUNDDOWN((SUM(O13:O14)/51)-(R13+R14),0.9)))</f>
        <v>0</v>
      </c>
      <c r="U13" s="547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25</v>
      </c>
      <c r="E14" s="10">
        <f>'التمام الصباحي'!N16</f>
        <v>4.4285714285714288</v>
      </c>
      <c r="F14" s="72">
        <f>'التمام الصباحي'!Q16</f>
        <v>20</v>
      </c>
      <c r="G14" s="10">
        <f>'التمام الصباحي'!T16</f>
        <v>2.2727272727272729</v>
      </c>
      <c r="H14" s="5">
        <f>'التمام الصباحي'!W16</f>
        <v>45</v>
      </c>
      <c r="I14" s="10">
        <f>'التمام الصباحي'!Z16</f>
        <v>3</v>
      </c>
      <c r="K14" s="88" t="s">
        <v>21</v>
      </c>
      <c r="L14" s="80"/>
      <c r="M14" s="41">
        <f t="shared" si="1"/>
        <v>17</v>
      </c>
      <c r="N14" s="41">
        <f t="shared" si="2"/>
        <v>17</v>
      </c>
      <c r="O14" s="41">
        <f t="shared" si="4"/>
        <v>34</v>
      </c>
      <c r="P14" s="81"/>
      <c r="Q14" s="89" t="s">
        <v>21</v>
      </c>
      <c r="R14" s="90">
        <f t="shared" si="0"/>
        <v>1</v>
      </c>
      <c r="S14" s="548"/>
      <c r="T14" s="548"/>
      <c r="U14" s="548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15</v>
      </c>
      <c r="E15" s="10">
        <f>'التمام الصباحي'!N17</f>
        <v>6.25</v>
      </c>
      <c r="F15" s="72">
        <f>'التمام الصباحي'!Q17</f>
        <v>16</v>
      </c>
      <c r="G15" s="10">
        <f>'التمام الصباحي'!T17</f>
        <v>2.3333333333333335</v>
      </c>
      <c r="H15" s="5">
        <f>'التمام الصباحي'!W17</f>
        <v>65</v>
      </c>
      <c r="I15" s="10">
        <f>'التمام الصباحي'!Z17</f>
        <v>3.7096774193548385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11</v>
      </c>
      <c r="E16" s="10">
        <f>'التمام الصباحي'!N18</f>
        <v>6.583333333333333</v>
      </c>
      <c r="F16" s="72">
        <f>'التمام الصباحي'!Q18</f>
        <v>17</v>
      </c>
      <c r="G16" s="10">
        <f>'التمام الصباحي'!T18</f>
        <v>3.25</v>
      </c>
      <c r="H16" s="5">
        <f>'التمام الصباحي'!W18</f>
        <v>13</v>
      </c>
      <c r="I16" s="10">
        <f>'التمام الصباحي'!Z18</f>
        <v>9.4</v>
      </c>
      <c r="K16" s="85" t="s">
        <v>23</v>
      </c>
      <c r="L16" s="80"/>
      <c r="M16" s="41">
        <f t="shared" si="1"/>
        <v>0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50">
        <f>IF((ROUNDDOWN((SUM(M16:M17)/51)-(R16+R17),0.9))&lt;0,0,(ROUNDDOWN((SUM(M16:M17)/51)-(R16+R17),0.9)))</f>
        <v>0</v>
      </c>
      <c r="T16" s="550">
        <f>IF((ROUNDDOWN((SUM(O16:O17)/51)-(R16+R17),0.9))&lt;0,0,(ROUNDDOWN((SUM(O16:O17)/51)-(R16+R17),0.9)))</f>
        <v>0</v>
      </c>
      <c r="U16" s="550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6</v>
      </c>
      <c r="E17" s="10">
        <f>'التمام الصباحي'!N19</f>
        <v>10.8</v>
      </c>
      <c r="F17" s="72">
        <f>'التمام الصباحي'!Q19</f>
        <v>18</v>
      </c>
      <c r="G17" s="10">
        <f>'التمام الصباحي'!T19</f>
        <v>6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17</v>
      </c>
      <c r="O17" s="80"/>
      <c r="P17" s="81"/>
      <c r="Q17" s="94" t="s">
        <v>24</v>
      </c>
      <c r="R17" s="95">
        <f t="shared" si="0"/>
        <v>0</v>
      </c>
      <c r="S17" s="551"/>
      <c r="T17" s="551"/>
      <c r="U17" s="551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19</v>
      </c>
      <c r="E18" s="10">
        <f>'التمام الصباحي'!N20</f>
        <v>17.75</v>
      </c>
      <c r="F18" s="72">
        <f>'التمام الصباحي'!Q20</f>
        <v>16</v>
      </c>
      <c r="G18" s="10">
        <f>'التمام الصباحي'!T20</f>
        <v>7</v>
      </c>
      <c r="H18" s="5">
        <f>'التمام الصباحي'!W20</f>
        <v>43</v>
      </c>
      <c r="I18" s="10">
        <f>'التمام الصباحي'!Z20</f>
        <v>19.571428571428573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34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12</v>
      </c>
      <c r="E19" s="10">
        <f>'التمام الصباحي'!N21</f>
        <v>2.2941176470588234</v>
      </c>
      <c r="F19" s="72">
        <f>'التمام الصباحي'!Q21</f>
        <v>2</v>
      </c>
      <c r="G19" s="10">
        <f>'التمام الصباحي'!T21</f>
        <v>2.1538461538461537</v>
      </c>
      <c r="H19" s="5">
        <f>'التمام الصباحي'!W21</f>
        <v>45</v>
      </c>
      <c r="I19" s="10">
        <f>'التمام الصباحي'!Z21</f>
        <v>6.1363636363636367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0</v>
      </c>
      <c r="S19" s="547">
        <f>IF((ROUNDDOWN((SUM(M19:M20)/51)-(R19+R20),0.9))&lt;0,0,(ROUNDDOWN((SUM(M19:M20)/51)-(R19+R20),0.9)))</f>
        <v>0</v>
      </c>
      <c r="T19" s="547">
        <f>IF((ROUNDDOWN((SUM(O19:O20)/51)-(R19+R20),0.9))&lt;0,0,(ROUNDDOWN((SUM(O19:O20)/51)-(R19+R20),0.9)))</f>
        <v>0</v>
      </c>
      <c r="U19" s="547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22</v>
      </c>
      <c r="E20" s="10">
        <f>'التمام الصباحي'!N22</f>
        <v>8.5</v>
      </c>
      <c r="F20" s="72">
        <f>'التمام الصباحي'!Q22</f>
        <v>14.5</v>
      </c>
      <c r="G20" s="10">
        <f>'التمام الصباحي'!T22</f>
        <v>7.75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8"/>
      <c r="T20" s="548"/>
      <c r="U20" s="548"/>
    </row>
    <row r="21" spans="1:21" ht="17.25" thickTop="1" thickBot="1" x14ac:dyDescent="0.3">
      <c r="A21" s="77" t="s">
        <v>28</v>
      </c>
      <c r="B21" s="5">
        <f>'التمام الصباحي'!E23</f>
        <v>1</v>
      </c>
      <c r="C21" s="9">
        <f>'التمام الصباحي'!H23</f>
        <v>48.333333333333336</v>
      </c>
      <c r="D21" s="72">
        <f>'التمام الصباحي'!K23</f>
        <v>8</v>
      </c>
      <c r="E21" s="10">
        <f>'التمام الصباحي'!N23</f>
        <v>17.333333333333332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23</v>
      </c>
      <c r="I21" s="10">
        <f>'التمام الصباحي'!Z23</f>
        <v>13.857142857142858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9">
        <f>IF((ROUNDDOWN((SUM(M21:M22)/51)-(R21+R22),0.9))&lt;0,0,(ROUNDDOWN((SUM(M21:M22)/51)-(R21+R22),0.9)))</f>
        <v>0</v>
      </c>
      <c r="T21" s="550">
        <f>IF((ROUNDDOWN((SUM(O21:O22)/51)-(R21+R22),0.9))&lt;0,0,(ROUNDDOWN((SUM(O21:O22)/51)-(R21+R22),0.9)))</f>
        <v>0</v>
      </c>
      <c r="U21" s="550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9</v>
      </c>
      <c r="E22" s="10">
        <f>'التمام الصباحي'!N24</f>
        <v>8.5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19</v>
      </c>
      <c r="I22" s="10">
        <f>'التمام الصباحي'!Z24</f>
        <v>20.2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49"/>
      <c r="T22" s="551"/>
      <c r="U22" s="551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21</v>
      </c>
      <c r="E23" s="10">
        <f>'التمام الصباحي'!N25</f>
        <v>4.5999999999999996</v>
      </c>
      <c r="F23" s="72">
        <f>'التمام الصباحي'!Q25</f>
        <v>16.5</v>
      </c>
      <c r="G23" s="10">
        <f>'التمام الصباحي'!T25</f>
        <v>4.5</v>
      </c>
      <c r="H23" s="5">
        <f>'التمام الصباحي'!W25</f>
        <v>23</v>
      </c>
      <c r="I23" s="10">
        <f>'التمام الصباحي'!Z25</f>
        <v>3.6511627906976742</v>
      </c>
      <c r="K23" s="85" t="s">
        <v>30</v>
      </c>
      <c r="L23" s="80"/>
      <c r="M23" s="41">
        <f t="shared" si="1"/>
        <v>17</v>
      </c>
      <c r="N23" s="41">
        <f t="shared" si="2"/>
        <v>17</v>
      </c>
      <c r="O23" s="41">
        <f t="shared" si="4"/>
        <v>17</v>
      </c>
      <c r="P23" s="81"/>
      <c r="Q23" s="86" t="s">
        <v>30</v>
      </c>
      <c r="R23" s="87">
        <f t="shared" si="0"/>
        <v>1</v>
      </c>
      <c r="S23" s="547">
        <f>IF((ROUNDDOWN((SUM(M23:M24)/51)-(R23+R24),0.9))&lt;0,0,(ROUNDDOWN((SUM(M23:M24)/51)-(R23+R24),0.9)))</f>
        <v>0</v>
      </c>
      <c r="T23" s="547">
        <f>IF((ROUNDDOWN((SUM(O23:O24)/51)-(R23+R24),0.9))&lt;0,0,(ROUNDDOWN((SUM(O23:O24)/51)-(R23+R24),0.9)))</f>
        <v>0</v>
      </c>
      <c r="U23" s="547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25</v>
      </c>
      <c r="E24" s="10">
        <f>'التمام الصباحي'!N26</f>
        <v>3.8235294117647061</v>
      </c>
      <c r="F24" s="72">
        <f>'التمام الصباحي'!Q26</f>
        <v>12</v>
      </c>
      <c r="G24" s="10">
        <f>'التمام الصباحي'!T26</f>
        <v>4.5</v>
      </c>
      <c r="H24" s="5">
        <f>'التمام الصباحي'!W26</f>
        <v>51</v>
      </c>
      <c r="I24" s="10">
        <f>'التمام الصباحي'!Z26</f>
        <v>3.2250000000000001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8"/>
      <c r="T24" s="548"/>
      <c r="U24" s="548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90</v>
      </c>
      <c r="E25" s="10">
        <f>'التمام الصباحي'!N27</f>
        <v>0</v>
      </c>
      <c r="F25" s="72">
        <f>'التمام الصباحي'!Q27</f>
        <v>30</v>
      </c>
      <c r="G25" s="10">
        <f>'التمام الصباحي'!T27</f>
        <v>0</v>
      </c>
      <c r="H25" s="5">
        <f>'التمام الصباحي'!W27</f>
        <v>180</v>
      </c>
      <c r="I25" s="10">
        <f>'التمام الصباحي'!Z27</f>
        <v>0</v>
      </c>
      <c r="K25" s="91" t="s">
        <v>32</v>
      </c>
      <c r="L25" s="80"/>
      <c r="M25" s="41">
        <f t="shared" si="1"/>
        <v>85</v>
      </c>
      <c r="N25" s="41">
        <f t="shared" si="2"/>
        <v>17</v>
      </c>
      <c r="O25" s="41">
        <f t="shared" si="4"/>
        <v>102</v>
      </c>
      <c r="P25" s="81"/>
      <c r="Q25" s="92" t="s">
        <v>32</v>
      </c>
      <c r="R25" s="93">
        <f t="shared" si="0"/>
        <v>4</v>
      </c>
      <c r="S25" s="549">
        <f>IF((ROUNDDOWN((SUM(M25:M26)/51)-(R25+R26),0.9))&lt;0,0,(ROUNDDOWN((SUM(M25:M26)/51)-(R25+R26),0.9)))</f>
        <v>0</v>
      </c>
      <c r="T25" s="549">
        <f>IF((ROUNDDOWN((SUM(O25:O26)/51)-(R25+R26),0.9))&lt;0,0,(ROUNDDOWN((SUM(O25:O26)/51)-(R25+R26),0.9)))</f>
        <v>0</v>
      </c>
      <c r="U25" s="549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12</v>
      </c>
      <c r="E26" s="10">
        <f>'التمام الصباحي'!N28</f>
        <v>8.6666666666666661</v>
      </c>
      <c r="F26" s="72">
        <f>'التمام الصباحي'!Q28</f>
        <v>16</v>
      </c>
      <c r="G26" s="10">
        <f>'التمام الصباحي'!T28</f>
        <v>7</v>
      </c>
      <c r="H26" s="5">
        <f>'التمام الصباحي'!W28</f>
        <v>47</v>
      </c>
      <c r="I26" s="10">
        <f>'التمام الصباحي'!Z28</f>
        <v>7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0</v>
      </c>
      <c r="S26" s="552"/>
      <c r="T26" s="552"/>
      <c r="U26" s="552"/>
    </row>
    <row r="29" spans="1:21" ht="15.75" x14ac:dyDescent="0.2">
      <c r="K29" s="159" t="s">
        <v>117</v>
      </c>
      <c r="M29">
        <f>SUM(L8:O26)</f>
        <v>765</v>
      </c>
      <c r="U29" s="138">
        <f>SUM(R8:U26)</f>
        <v>11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54" t="s">
        <v>123</v>
      </c>
      <c r="C3" s="554"/>
      <c r="D3" s="554"/>
      <c r="F3" s="554" t="s">
        <v>124</v>
      </c>
      <c r="G3" s="554"/>
      <c r="H3" s="554"/>
      <c r="J3" s="453" t="s">
        <v>125</v>
      </c>
      <c r="K3" s="453"/>
      <c r="M3" s="453" t="s">
        <v>127</v>
      </c>
      <c r="N3" s="453"/>
      <c r="P3" s="453" t="s">
        <v>126</v>
      </c>
      <c r="Q3" s="453"/>
    </row>
    <row r="4" spans="2:20" ht="15.75" thickBot="1" x14ac:dyDescent="0.25">
      <c r="B4" s="502" t="s">
        <v>3</v>
      </c>
      <c r="C4" s="415" t="s">
        <v>84</v>
      </c>
      <c r="D4" s="415" t="s">
        <v>88</v>
      </c>
      <c r="F4" s="502" t="s">
        <v>3</v>
      </c>
      <c r="G4" s="415" t="s">
        <v>84</v>
      </c>
      <c r="H4" s="415" t="s">
        <v>88</v>
      </c>
      <c r="J4" s="502" t="s">
        <v>3</v>
      </c>
      <c r="K4" s="415" t="s">
        <v>85</v>
      </c>
      <c r="L4" s="553"/>
      <c r="M4" s="502" t="s">
        <v>3</v>
      </c>
      <c r="N4" s="415" t="s">
        <v>109</v>
      </c>
      <c r="P4" s="502" t="s">
        <v>3</v>
      </c>
      <c r="Q4" s="415" t="s">
        <v>90</v>
      </c>
    </row>
    <row r="5" spans="2:20" ht="15.75" thickBot="1" x14ac:dyDescent="0.25">
      <c r="B5" s="504"/>
      <c r="C5" s="415"/>
      <c r="D5" s="415"/>
      <c r="F5" s="504"/>
      <c r="G5" s="415"/>
      <c r="H5" s="415"/>
      <c r="J5" s="504"/>
      <c r="K5" s="415"/>
      <c r="L5" s="553"/>
      <c r="M5" s="504"/>
      <c r="N5" s="415"/>
      <c r="P5" s="504"/>
      <c r="Q5" s="415"/>
    </row>
    <row r="6" spans="2:20" ht="16.5" thickBot="1" x14ac:dyDescent="0.25">
      <c r="B6" s="165" t="s">
        <v>120</v>
      </c>
      <c r="C6" s="544">
        <f>IF(G20&gt;H20,$C$21*2*$K$21,IF(G20=H20,$C$21*2*$K$21,0))</f>
        <v>0</v>
      </c>
      <c r="D6" s="544">
        <f>IF(G20&gt;H20,$D$21*2*$L$21,IF(G20=H20,$D$21*2*$L$21,0))</f>
        <v>80</v>
      </c>
      <c r="F6" s="165" t="s">
        <v>120</v>
      </c>
      <c r="G6" s="544">
        <f>IF(H20&gt;G20,$C$21*2*$K$21,0)</f>
        <v>0</v>
      </c>
      <c r="H6" s="544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4">
        <f>C36*2*P25</f>
        <v>0</v>
      </c>
      <c r="P6" s="165" t="s">
        <v>30</v>
      </c>
      <c r="Q6" s="544">
        <f>C42*2*O28</f>
        <v>0</v>
      </c>
    </row>
    <row r="7" spans="2:20" ht="16.5" thickBot="1" x14ac:dyDescent="0.25">
      <c r="B7" s="165" t="s">
        <v>121</v>
      </c>
      <c r="C7" s="545"/>
      <c r="D7" s="545"/>
      <c r="F7" s="165" t="s">
        <v>121</v>
      </c>
      <c r="G7" s="545"/>
      <c r="H7" s="545"/>
      <c r="J7" s="165" t="s">
        <v>23</v>
      </c>
      <c r="K7" s="544">
        <f>C32*2*N23</f>
        <v>0</v>
      </c>
      <c r="M7" s="165" t="s">
        <v>27</v>
      </c>
      <c r="N7" s="545"/>
      <c r="P7" s="165" t="s">
        <v>31</v>
      </c>
      <c r="Q7" s="545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5"/>
      <c r="M8" s="165" t="s">
        <v>112</v>
      </c>
      <c r="N8" s="164"/>
      <c r="P8" s="165" t="s">
        <v>32</v>
      </c>
      <c r="Q8" s="544">
        <f>C44*2*O29</f>
        <v>0</v>
      </c>
    </row>
    <row r="9" spans="2:20" ht="16.5" thickBot="1" x14ac:dyDescent="0.25">
      <c r="B9" s="165" t="s">
        <v>16</v>
      </c>
      <c r="C9" s="544">
        <f>IF(G20&gt;H20,$C$24*2*$K$18,IF(G20=H20,$C$24*2*$K$18,0))</f>
        <v>64</v>
      </c>
      <c r="D9" s="544">
        <f>IF(G20&gt;H20,$D$24*2*$L$18,IF(G20=H20,$D$24*2*$L$18,0))</f>
        <v>0</v>
      </c>
      <c r="F9" s="165" t="s">
        <v>16</v>
      </c>
      <c r="G9" s="544">
        <f>IF(H20&gt;G20,$C$24*2*$K$18,0)</f>
        <v>0</v>
      </c>
      <c r="H9" s="544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4">
        <f>C39*2*P27</f>
        <v>304</v>
      </c>
      <c r="P9" s="165" t="s">
        <v>33</v>
      </c>
      <c r="Q9" s="545"/>
    </row>
    <row r="10" spans="2:20" ht="16.5" thickBot="1" x14ac:dyDescent="0.25">
      <c r="B10" s="165" t="s">
        <v>17</v>
      </c>
      <c r="C10" s="545"/>
      <c r="D10" s="545"/>
      <c r="F10" s="165" t="s">
        <v>17</v>
      </c>
      <c r="G10" s="545"/>
      <c r="H10" s="545"/>
      <c r="M10" s="165" t="s">
        <v>29</v>
      </c>
      <c r="N10" s="545"/>
    </row>
    <row r="11" spans="2:20" ht="16.5" thickBot="1" x14ac:dyDescent="0.25">
      <c r="B11" s="165" t="s">
        <v>18</v>
      </c>
      <c r="C11" s="544">
        <f>IF(G20&gt;H20,$C$26*2*$K$19,IF(G20=H20,$C$26*2*$K$19,0))</f>
        <v>64</v>
      </c>
      <c r="D11" s="544">
        <f>IF(G20&gt;H20,$D$26*2*$L$19,IF(G20=H20,$D$26*2*$L$19,0))</f>
        <v>96</v>
      </c>
      <c r="F11" s="165" t="s">
        <v>18</v>
      </c>
      <c r="G11" s="544">
        <f>IF(H20&gt;G20,$C$26*2*$K$19,0)</f>
        <v>0</v>
      </c>
      <c r="H11" s="544">
        <f>IF(H20&gt;G20,$D$26*2*$L$19,0)</f>
        <v>0</v>
      </c>
    </row>
    <row r="12" spans="2:20" ht="16.5" thickBot="1" x14ac:dyDescent="0.25">
      <c r="B12" s="165" t="s">
        <v>19</v>
      </c>
      <c r="C12" s="545"/>
      <c r="D12" s="545"/>
      <c r="F12" s="165" t="s">
        <v>19</v>
      </c>
      <c r="G12" s="545"/>
      <c r="H12" s="545"/>
      <c r="J12" s="567" t="s">
        <v>154</v>
      </c>
      <c r="K12" s="182">
        <f>K6+K7+K9</f>
        <v>0</v>
      </c>
      <c r="M12" s="567" t="s">
        <v>154</v>
      </c>
      <c r="N12" s="182">
        <f>SUM(N6:N10)</f>
        <v>304</v>
      </c>
      <c r="P12" s="567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44">
        <f>IF(G20&gt;H20,$C$28*2*$K$20,IF(G20=H20,$C$28*2*$K$20,0))</f>
        <v>156</v>
      </c>
      <c r="D13" s="544">
        <f>IF(G20&gt;H20,$D$28*2*$L$20,IF(G20=H20,$D$28*2*$L$20,0))</f>
        <v>0</v>
      </c>
      <c r="F13" s="165" t="s">
        <v>20</v>
      </c>
      <c r="G13" s="544">
        <f>IF(H20&gt;G20,$C$28*2*$K$20,0)</f>
        <v>0</v>
      </c>
      <c r="H13" s="544">
        <f>IF(H20&gt;G20,$D$28*2*$L$20,0)</f>
        <v>0</v>
      </c>
      <c r="J13" s="567"/>
      <c r="K13" s="182"/>
      <c r="M13" s="567"/>
      <c r="N13" s="182"/>
      <c r="P13" s="567"/>
      <c r="Q13" s="182"/>
    </row>
    <row r="14" spans="2:20" ht="16.5" thickBot="1" x14ac:dyDescent="0.25">
      <c r="B14" s="165" t="s">
        <v>21</v>
      </c>
      <c r="C14" s="545"/>
      <c r="D14" s="545"/>
      <c r="F14" s="165" t="s">
        <v>21</v>
      </c>
      <c r="G14" s="545"/>
      <c r="H14" s="545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460</v>
      </c>
      <c r="H16" s="166">
        <f>SUM(G6:H14)</f>
        <v>0</v>
      </c>
      <c r="J16" s="561" t="s">
        <v>130</v>
      </c>
      <c r="K16" s="559" t="s">
        <v>131</v>
      </c>
      <c r="L16" s="559"/>
      <c r="M16" s="559"/>
      <c r="N16" s="559" t="s">
        <v>85</v>
      </c>
      <c r="O16" s="559" t="s">
        <v>132</v>
      </c>
      <c r="P16" s="559" t="s">
        <v>86</v>
      </c>
      <c r="Q16" s="559" t="s">
        <v>119</v>
      </c>
      <c r="R16" s="565" t="s">
        <v>133</v>
      </c>
      <c r="S16" s="565" t="s">
        <v>134</v>
      </c>
      <c r="T16" s="565" t="s">
        <v>135</v>
      </c>
    </row>
    <row r="17" spans="2:20" ht="18" x14ac:dyDescent="0.2">
      <c r="B17" s="181"/>
      <c r="J17" s="562"/>
      <c r="K17" s="169" t="s">
        <v>136</v>
      </c>
      <c r="L17" s="169" t="s">
        <v>137</v>
      </c>
      <c r="M17" s="169" t="s">
        <v>138</v>
      </c>
      <c r="N17" s="560"/>
      <c r="O17" s="560"/>
      <c r="P17" s="560"/>
      <c r="Q17" s="560"/>
      <c r="R17" s="566"/>
      <c r="S17" s="566"/>
      <c r="T17" s="566"/>
    </row>
    <row r="18" spans="2:20" ht="16.5" thickBot="1" x14ac:dyDescent="0.25">
      <c r="B18" s="554" t="s">
        <v>129</v>
      </c>
      <c r="C18" s="554"/>
      <c r="D18" s="554"/>
      <c r="F18" s="554"/>
      <c r="G18" s="554"/>
      <c r="H18" s="554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2" t="s">
        <v>3</v>
      </c>
      <c r="C19" s="505" t="s">
        <v>84</v>
      </c>
      <c r="D19" s="505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4"/>
      <c r="C20" s="505"/>
      <c r="D20" s="505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4">
        <f>ROUNDDOWN(SUM(المستودعات!C5:F5)/51,0.9)</f>
        <v>0</v>
      </c>
      <c r="D21" s="544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5"/>
      <c r="D22" s="545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4">
        <f>ROUNDDOWN(SUM(المستودعات!C9:F10)/51,0.9)</f>
        <v>2</v>
      </c>
      <c r="D24" s="544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5"/>
      <c r="D25" s="545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4">
        <f>ROUNDDOWN(SUM(المستودعات!C11:F12)/51,0.9)</f>
        <v>1</v>
      </c>
      <c r="D26" s="544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5"/>
      <c r="D27" s="545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4">
        <f>ROUNDDOWN(SUM(المستودعات!C13:F14)/51,0.9)</f>
        <v>2</v>
      </c>
      <c r="D28" s="544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5"/>
      <c r="D29" s="545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14" t="s">
        <v>85</v>
      </c>
      <c r="C30" s="515"/>
      <c r="D30" s="516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63">
        <f>ROUNDDOWN(SUM(المستودعات!O5:Q5)/51,0.9)</f>
        <v>0</v>
      </c>
      <c r="D31" s="564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5">
        <f>ROUNDDOWN(SUM(المستودعات!O6:Q7)/51,0.9)</f>
        <v>0</v>
      </c>
      <c r="D32" s="556"/>
    </row>
    <row r="33" spans="2:4" ht="16.5" thickBot="1" x14ac:dyDescent="0.25">
      <c r="B33" s="165" t="s">
        <v>24</v>
      </c>
      <c r="C33" s="557"/>
      <c r="D33" s="558"/>
    </row>
    <row r="34" spans="2:4" ht="16.5" thickBot="1" x14ac:dyDescent="0.25">
      <c r="B34" s="165" t="s">
        <v>26</v>
      </c>
      <c r="C34" s="563">
        <f>ROUNDDOWN(SUM(المستودعات!O8:Q8)/51,0.9)</f>
        <v>0</v>
      </c>
      <c r="D34" s="564"/>
    </row>
    <row r="35" spans="2:4" ht="22.5" customHeight="1" thickBot="1" x14ac:dyDescent="0.25">
      <c r="B35" s="514" t="s">
        <v>128</v>
      </c>
      <c r="C35" s="515"/>
      <c r="D35" s="516"/>
    </row>
    <row r="36" spans="2:4" ht="16.5" thickBot="1" x14ac:dyDescent="0.25">
      <c r="B36" s="165" t="s">
        <v>25</v>
      </c>
      <c r="C36" s="555">
        <f>ROUNDDOWN(SUM(المستودعات!J23:K24)/51,0.9)</f>
        <v>0</v>
      </c>
      <c r="D36" s="556"/>
    </row>
    <row r="37" spans="2:4" ht="16.5" thickBot="1" x14ac:dyDescent="0.25">
      <c r="B37" s="165" t="s">
        <v>27</v>
      </c>
      <c r="C37" s="557"/>
      <c r="D37" s="558"/>
    </row>
    <row r="38" spans="2:4" ht="16.5" thickBot="1" x14ac:dyDescent="0.25">
      <c r="B38" s="96" t="s">
        <v>112</v>
      </c>
      <c r="C38" s="563"/>
      <c r="D38" s="564"/>
    </row>
    <row r="39" spans="2:4" ht="16.5" thickBot="1" x14ac:dyDescent="0.25">
      <c r="B39" s="165" t="s">
        <v>28</v>
      </c>
      <c r="C39" s="555">
        <f>ROUNDDOWN(SUM(المستودعات!C28:I29)/51,0.9)</f>
        <v>1</v>
      </c>
      <c r="D39" s="556"/>
    </row>
    <row r="40" spans="2:4" ht="16.5" thickBot="1" x14ac:dyDescent="0.25">
      <c r="B40" s="165" t="s">
        <v>29</v>
      </c>
      <c r="C40" s="557"/>
      <c r="D40" s="558"/>
    </row>
    <row r="41" spans="2:4" ht="21.75" customHeight="1" thickBot="1" x14ac:dyDescent="0.25">
      <c r="B41" s="514" t="s">
        <v>90</v>
      </c>
      <c r="C41" s="515"/>
      <c r="D41" s="516"/>
    </row>
    <row r="42" spans="2:4" ht="16.5" thickBot="1" x14ac:dyDescent="0.25">
      <c r="B42" s="165" t="s">
        <v>30</v>
      </c>
      <c r="C42" s="555">
        <f>ROUNDDOWN(SUM(المستودعات!Q15:Q16)/51,0.9)</f>
        <v>0</v>
      </c>
      <c r="D42" s="556"/>
    </row>
    <row r="43" spans="2:4" ht="16.5" thickBot="1" x14ac:dyDescent="0.25">
      <c r="B43" s="165" t="s">
        <v>31</v>
      </c>
      <c r="C43" s="557"/>
      <c r="D43" s="558"/>
    </row>
    <row r="44" spans="2:4" ht="16.5" thickBot="1" x14ac:dyDescent="0.25">
      <c r="B44" s="165" t="s">
        <v>32</v>
      </c>
      <c r="C44" s="555">
        <f>ROUNDDOWN(SUM(المستودعات!Q17:Q18)/51,0.9)</f>
        <v>0</v>
      </c>
      <c r="D44" s="556"/>
    </row>
    <row r="45" spans="2:4" ht="16.5" thickBot="1" x14ac:dyDescent="0.25">
      <c r="B45" s="165" t="s">
        <v>33</v>
      </c>
      <c r="C45" s="557"/>
      <c r="D45" s="558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8" t="s">
        <v>103</v>
      </c>
      <c r="D2" s="568"/>
      <c r="E2" s="568"/>
      <c r="F2" s="568"/>
    </row>
    <row r="3" spans="1:15" ht="15" thickBot="1" x14ac:dyDescent="0.25"/>
    <row r="4" spans="1:15" ht="15.75" thickBot="1" x14ac:dyDescent="0.25">
      <c r="A4" s="456" t="s">
        <v>3</v>
      </c>
      <c r="B4" s="416" t="s">
        <v>104</v>
      </c>
      <c r="C4" s="416"/>
      <c r="D4" s="457"/>
      <c r="E4" s="569" t="s">
        <v>84</v>
      </c>
      <c r="F4" s="570"/>
      <c r="G4" s="570"/>
      <c r="H4" s="425"/>
    </row>
    <row r="5" spans="1:15" ht="15.75" thickBot="1" x14ac:dyDescent="0.25">
      <c r="A5" s="456"/>
      <c r="B5" s="424" t="s">
        <v>81</v>
      </c>
      <c r="C5" s="570"/>
      <c r="D5" s="571"/>
      <c r="E5" s="112" t="s">
        <v>81</v>
      </c>
      <c r="F5" s="424" t="s">
        <v>87</v>
      </c>
      <c r="G5" s="570"/>
      <c r="H5" s="425"/>
      <c r="K5" s="502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6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4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51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34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34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0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202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414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1464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F17" sqref="F17:F24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34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8" t="s">
        <v>105</v>
      </c>
      <c r="D2" s="568"/>
      <c r="E2" s="568"/>
      <c r="F2" s="568"/>
    </row>
    <row r="3" spans="1:15" ht="15" thickBot="1" x14ac:dyDescent="0.25"/>
    <row r="4" spans="1:15" ht="15.75" thickBot="1" x14ac:dyDescent="0.25">
      <c r="A4" s="456" t="s">
        <v>3</v>
      </c>
      <c r="B4" s="424" t="s">
        <v>85</v>
      </c>
      <c r="C4" s="570"/>
      <c r="D4" s="570"/>
      <c r="E4" s="570"/>
      <c r="F4" s="570"/>
      <c r="G4" s="570"/>
      <c r="H4" s="425"/>
      <c r="I4" s="278" t="s">
        <v>119</v>
      </c>
    </row>
    <row r="5" spans="1:15" ht="15.75" thickBot="1" x14ac:dyDescent="0.25">
      <c r="A5" s="456"/>
      <c r="B5" s="120" t="s">
        <v>81</v>
      </c>
      <c r="C5" s="577" t="s">
        <v>87</v>
      </c>
      <c r="D5" s="541"/>
      <c r="E5" s="578"/>
      <c r="F5" s="541" t="s">
        <v>83</v>
      </c>
      <c r="G5" s="541"/>
      <c r="H5" s="542"/>
      <c r="I5" s="279" t="s">
        <v>83</v>
      </c>
      <c r="K5" s="502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6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4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51</v>
      </c>
      <c r="N7" s="41">
        <f>'خطة الإمداد'!N40</f>
        <v>17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5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6"/>
      <c r="C16" s="52" t="s">
        <v>93</v>
      </c>
      <c r="D16" s="53">
        <f>[1]التعاون.ملخص!$D$6</f>
        <v>0</v>
      </c>
    </row>
    <row r="17" spans="2:4" ht="16.5" thickBot="1" x14ac:dyDescent="0.25">
      <c r="B17" s="576"/>
      <c r="C17" s="59" t="s">
        <v>87</v>
      </c>
      <c r="D17" s="60" t="e">
        <f>[1]موبيل.ملخص!$D$5</f>
        <v>#REF!</v>
      </c>
    </row>
    <row r="18" spans="2:4" ht="16.5" thickBot="1" x14ac:dyDescent="0.25">
      <c r="B18" s="573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72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73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72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74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D15" sqref="D15:D22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8" t="s">
        <v>106</v>
      </c>
      <c r="D2" s="568"/>
      <c r="E2" s="568"/>
      <c r="F2" s="568"/>
    </row>
    <row r="3" spans="1:15" ht="15" thickBot="1" x14ac:dyDescent="0.25"/>
    <row r="4" spans="1:15" ht="15.75" thickBot="1" x14ac:dyDescent="0.25">
      <c r="A4" s="456" t="s">
        <v>3</v>
      </c>
      <c r="B4" s="424" t="s">
        <v>91</v>
      </c>
      <c r="C4" s="570"/>
      <c r="D4" s="570"/>
      <c r="E4" s="570"/>
      <c r="F4" s="570"/>
      <c r="G4" s="570"/>
      <c r="H4" s="570"/>
      <c r="I4" s="425"/>
    </row>
    <row r="5" spans="1:15" ht="15.75" thickBot="1" x14ac:dyDescent="0.25">
      <c r="A5" s="456"/>
      <c r="B5" s="543" t="s">
        <v>81</v>
      </c>
      <c r="C5" s="543"/>
      <c r="D5" s="563"/>
      <c r="E5" s="582" t="s">
        <v>83</v>
      </c>
      <c r="F5" s="583"/>
      <c r="G5" s="564" t="s">
        <v>87</v>
      </c>
      <c r="H5" s="543"/>
      <c r="I5" s="543"/>
      <c r="K5" s="502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6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4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0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0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9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80"/>
      <c r="C15" s="52" t="s">
        <v>93</v>
      </c>
      <c r="D15" s="57">
        <f>[1]التعاون.ملخص!$D$7</f>
        <v>81</v>
      </c>
    </row>
    <row r="16" spans="1:15" ht="16.5" thickBot="1" x14ac:dyDescent="0.3">
      <c r="B16" s="581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9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80"/>
      <c r="C20" s="70" t="s">
        <v>93</v>
      </c>
      <c r="D20" s="71">
        <f>[1]التعاون.ملخص!$D$9</f>
        <v>79</v>
      </c>
    </row>
    <row r="21" spans="2:4" ht="16.5" thickBot="1" x14ac:dyDescent="0.3">
      <c r="B21" s="581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D14" sqref="D14:D21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0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8" t="s">
        <v>0</v>
      </c>
      <c r="B1" s="408"/>
      <c r="C1" s="408"/>
      <c r="D1" s="408"/>
      <c r="E1" s="408"/>
      <c r="Q1" s="406"/>
      <c r="R1" s="406"/>
    </row>
    <row r="2" spans="1:18" ht="15.75" x14ac:dyDescent="0.25">
      <c r="A2" s="408" t="s">
        <v>1</v>
      </c>
      <c r="B2" s="408"/>
      <c r="C2" s="408"/>
      <c r="D2" s="408"/>
      <c r="E2" s="408"/>
    </row>
    <row r="3" spans="1:18" ht="15.75" x14ac:dyDescent="0.25">
      <c r="A3" s="408" t="s">
        <v>2</v>
      </c>
      <c r="B3" s="408"/>
      <c r="C3" s="408"/>
      <c r="D3" s="408"/>
      <c r="E3" s="408"/>
    </row>
    <row r="4" spans="1:18" ht="48.75" customHeight="1" thickBot="1" x14ac:dyDescent="0.3">
      <c r="F4" s="417" t="s">
        <v>194</v>
      </c>
      <c r="G4" s="417"/>
      <c r="H4" s="417"/>
      <c r="I4" s="417"/>
      <c r="J4" s="417"/>
      <c r="K4" s="417"/>
      <c r="L4" s="417"/>
      <c r="M4" s="417"/>
      <c r="P4" s="417" t="s">
        <v>51</v>
      </c>
      <c r="Q4" s="417"/>
      <c r="R4" s="30"/>
    </row>
    <row r="5" spans="1:18" ht="20.100000000000001" customHeight="1" thickBot="1" x14ac:dyDescent="0.25">
      <c r="A5" s="415" t="s">
        <v>14</v>
      </c>
      <c r="B5" s="415" t="s">
        <v>3</v>
      </c>
      <c r="C5" s="416" t="s">
        <v>5</v>
      </c>
      <c r="D5" s="416"/>
      <c r="E5" s="416"/>
      <c r="F5" s="416" t="s">
        <v>11</v>
      </c>
      <c r="G5" s="416"/>
      <c r="H5" s="416"/>
      <c r="I5" s="416" t="s">
        <v>12</v>
      </c>
      <c r="J5" s="416"/>
      <c r="K5" s="416"/>
      <c r="L5" s="416" t="s">
        <v>50</v>
      </c>
      <c r="M5" s="416"/>
      <c r="N5" s="416"/>
      <c r="O5" s="424" t="s">
        <v>45</v>
      </c>
      <c r="P5" s="425"/>
      <c r="Q5" s="412" t="s">
        <v>49</v>
      </c>
    </row>
    <row r="6" spans="1:18" ht="20.100000000000001" customHeight="1" thickBot="1" x14ac:dyDescent="0.25">
      <c r="A6" s="415"/>
      <c r="B6" s="415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3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20371</v>
      </c>
      <c r="G7" s="2">
        <f>F7*6.75</f>
        <v>137504.25</v>
      </c>
      <c r="H7" s="2">
        <f>F7*0.33</f>
        <v>6722.43</v>
      </c>
      <c r="I7" s="2">
        <f>'أخذ التمام الصباحي'!K5</f>
        <v>6251</v>
      </c>
      <c r="J7" s="2">
        <f>I7*7.75</f>
        <v>48445.25</v>
      </c>
      <c r="K7" s="2">
        <f>I7*0.45</f>
        <v>2812.9500000000003</v>
      </c>
      <c r="L7" s="6"/>
      <c r="M7" s="6"/>
      <c r="N7" s="6"/>
      <c r="O7" s="7">
        <f>SUM(D7,G7,J7,M7)/100</f>
        <v>1859.4949999999999</v>
      </c>
      <c r="P7" s="10">
        <f>'أخذ التمام الصباحي'!Q5</f>
        <v>1690</v>
      </c>
      <c r="Q7" s="7">
        <f t="shared" ref="Q7:Q27" si="0">P7-O7</f>
        <v>-169.49499999999989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27025</v>
      </c>
      <c r="G8" s="287">
        <f>F8*6.75</f>
        <v>182418.75</v>
      </c>
      <c r="H8" s="287">
        <f>F8*0.33</f>
        <v>8918.25</v>
      </c>
      <c r="I8" s="287">
        <f>'أخذ التمام الصباحي'!K6</f>
        <v>9582</v>
      </c>
      <c r="J8" s="287">
        <f>I8*7.75</f>
        <v>74260.5</v>
      </c>
      <c r="K8" s="287">
        <f>I8*0.45</f>
        <v>4311.9000000000005</v>
      </c>
      <c r="L8" s="6"/>
      <c r="M8" s="6"/>
      <c r="N8" s="6"/>
      <c r="O8" s="7">
        <f>SUM(D8,G8,J8,M8)/100</f>
        <v>2566.7925</v>
      </c>
      <c r="P8" s="10">
        <f>'أخذ التمام الصباحي'!Q6</f>
        <v>2420</v>
      </c>
      <c r="Q8" s="7">
        <f t="shared" si="0"/>
        <v>-146.79250000000002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41087</v>
      </c>
      <c r="D9" s="5">
        <f t="shared" ref="D9" si="1">C9*5.5</f>
        <v>225978.5</v>
      </c>
      <c r="E9" s="5">
        <f>C9*0.25</f>
        <v>10271.75</v>
      </c>
      <c r="F9" s="292">
        <f>'أخذ التمام الصباحي'!H7</f>
        <v>20714</v>
      </c>
      <c r="G9" s="292">
        <f t="shared" ref="G9:G27" si="2">F9*6.75</f>
        <v>139819.5</v>
      </c>
      <c r="H9" s="292">
        <f t="shared" ref="H9:H27" si="3">F9*0.33</f>
        <v>6835.62</v>
      </c>
      <c r="I9" s="292">
        <f>'أخذ التمام الصباحي'!K7</f>
        <v>3190</v>
      </c>
      <c r="J9" s="292">
        <f t="shared" ref="J9:J27" si="4">I9*7.75</f>
        <v>24722.5</v>
      </c>
      <c r="K9" s="292">
        <f t="shared" ref="K9:K27" si="5">I9*0.45</f>
        <v>1435.5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3905.2049999999999</v>
      </c>
      <c r="P9" s="10">
        <f>'أخذ التمام الصباحي'!Q7</f>
        <v>3690</v>
      </c>
      <c r="Q9" s="7">
        <f t="shared" si="0"/>
        <v>-215.20499999999993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3392</v>
      </c>
      <c r="D10" s="5">
        <f t="shared" ref="D10:D22" si="7">C10*5.5</f>
        <v>18656</v>
      </c>
      <c r="E10" s="5">
        <f>C10*0.25</f>
        <v>848</v>
      </c>
      <c r="F10" s="292">
        <f>'أخذ التمام الصباحي'!H8</f>
        <v>24872</v>
      </c>
      <c r="G10" s="292">
        <f t="shared" si="2"/>
        <v>167886</v>
      </c>
      <c r="H10" s="292">
        <f t="shared" si="3"/>
        <v>8207.76</v>
      </c>
      <c r="I10" s="292">
        <f>'أخذ التمام الصباحي'!K8</f>
        <v>7803</v>
      </c>
      <c r="J10" s="292">
        <f t="shared" si="4"/>
        <v>60473.25</v>
      </c>
      <c r="K10" s="292">
        <f t="shared" si="5"/>
        <v>3511.35</v>
      </c>
      <c r="L10" s="2">
        <f>'أخذ التمام الصباحي'!N8</f>
        <v>4886</v>
      </c>
      <c r="M10" s="2">
        <f t="shared" ref="M10:M27" si="8">L10*5.5</f>
        <v>26873</v>
      </c>
      <c r="N10" s="2">
        <f>L10*0.26</f>
        <v>1270.3600000000001</v>
      </c>
      <c r="O10" s="7">
        <f t="shared" ref="O10:O27" si="9">SUM(D10,G10,J10,M10)/100</f>
        <v>2738.8825000000002</v>
      </c>
      <c r="P10" s="10">
        <f>'أخذ التمام الصباحي'!Q8</f>
        <v>3440</v>
      </c>
      <c r="Q10" s="7">
        <f t="shared" si="0"/>
        <v>701.11749999999984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31729</v>
      </c>
      <c r="G11" s="292">
        <f t="shared" si="2"/>
        <v>214170.75</v>
      </c>
      <c r="H11" s="292">
        <f t="shared" si="3"/>
        <v>10470.57</v>
      </c>
      <c r="I11" s="292">
        <f>'أخذ التمام الصباحي'!K9</f>
        <v>9188</v>
      </c>
      <c r="J11" s="292">
        <f t="shared" si="4"/>
        <v>71207</v>
      </c>
      <c r="K11" s="292">
        <f t="shared" si="5"/>
        <v>4134.6000000000004</v>
      </c>
      <c r="L11" s="6"/>
      <c r="M11" s="6"/>
      <c r="N11" s="6"/>
      <c r="O11" s="7">
        <f t="shared" si="9"/>
        <v>2853.7775000000001</v>
      </c>
      <c r="P11" s="10">
        <f>'أخذ التمام الصباحي'!Q9</f>
        <v>2790</v>
      </c>
      <c r="Q11" s="7">
        <f t="shared" si="0"/>
        <v>-63.777500000000146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4556</v>
      </c>
      <c r="D12" s="5">
        <f t="shared" si="7"/>
        <v>25058</v>
      </c>
      <c r="E12" s="5">
        <f t="shared" si="10"/>
        <v>1139</v>
      </c>
      <c r="F12" s="292">
        <f>'أخذ التمام الصباحي'!H10</f>
        <v>25290</v>
      </c>
      <c r="G12" s="292">
        <f t="shared" si="2"/>
        <v>170707.5</v>
      </c>
      <c r="H12" s="292">
        <f t="shared" si="3"/>
        <v>8345.7000000000007</v>
      </c>
      <c r="I12" s="6"/>
      <c r="J12" s="6"/>
      <c r="K12" s="6"/>
      <c r="L12" s="20">
        <f>'أخذ التمام الصباحي'!N10</f>
        <v>7671</v>
      </c>
      <c r="M12" s="2">
        <f t="shared" si="8"/>
        <v>42190.5</v>
      </c>
      <c r="N12" s="2">
        <f>L12*0.26</f>
        <v>1994.46</v>
      </c>
      <c r="O12" s="7">
        <f t="shared" si="9"/>
        <v>2379.56</v>
      </c>
      <c r="P12" s="10">
        <f>'أخذ التمام الصباحي'!Q10</f>
        <v>2616</v>
      </c>
      <c r="Q12" s="7">
        <f t="shared" si="0"/>
        <v>236.44000000000005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6315</v>
      </c>
      <c r="D13" s="5">
        <f t="shared" si="7"/>
        <v>34732.5</v>
      </c>
      <c r="E13" s="5">
        <f t="shared" si="10"/>
        <v>1578.75</v>
      </c>
      <c r="F13" s="292">
        <f>'أخذ التمام الصباحي'!H11</f>
        <v>14958</v>
      </c>
      <c r="G13" s="292">
        <f t="shared" si="2"/>
        <v>100966.5</v>
      </c>
      <c r="H13" s="292">
        <f t="shared" si="3"/>
        <v>4936.1400000000003</v>
      </c>
      <c r="I13" s="6"/>
      <c r="J13" s="6"/>
      <c r="K13" s="6"/>
      <c r="L13" s="20">
        <f>'أخذ التمام الصباحي'!N11</f>
        <v>21203</v>
      </c>
      <c r="M13" s="2">
        <f t="shared" si="8"/>
        <v>116616.5</v>
      </c>
      <c r="N13" s="2">
        <f>L13*0.26</f>
        <v>5512.78</v>
      </c>
      <c r="O13" s="7">
        <f t="shared" si="9"/>
        <v>2523.1550000000002</v>
      </c>
      <c r="P13" s="10">
        <f>'أخذ التمام الصباحي'!Q11</f>
        <v>2900</v>
      </c>
      <c r="Q13" s="7">
        <f t="shared" si="0"/>
        <v>376.8449999999998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32931</v>
      </c>
      <c r="G14" s="292">
        <f t="shared" si="2"/>
        <v>222284.25</v>
      </c>
      <c r="H14" s="292">
        <f t="shared" si="3"/>
        <v>10867.230000000001</v>
      </c>
      <c r="I14" s="292">
        <f>'أخذ التمام الصباحي'!K12</f>
        <v>8193</v>
      </c>
      <c r="J14" s="292">
        <f t="shared" si="4"/>
        <v>63495.75</v>
      </c>
      <c r="K14" s="292">
        <f t="shared" si="5"/>
        <v>3686.85</v>
      </c>
      <c r="L14" s="6"/>
      <c r="M14" s="6"/>
      <c r="N14" s="6"/>
      <c r="O14" s="7">
        <f t="shared" si="9"/>
        <v>2857.8</v>
      </c>
      <c r="P14" s="10">
        <f>'أخذ التمام الصباحي'!Q12</f>
        <v>2500</v>
      </c>
      <c r="Q14" s="7">
        <f t="shared" si="0"/>
        <v>-357.80000000000018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26570</v>
      </c>
      <c r="G15" s="292">
        <f t="shared" si="2"/>
        <v>179347.5</v>
      </c>
      <c r="H15" s="292">
        <f t="shared" si="3"/>
        <v>8768.1</v>
      </c>
      <c r="I15" s="292">
        <f>'أخذ التمام الصباحي'!K13</f>
        <v>9421</v>
      </c>
      <c r="J15" s="292">
        <f t="shared" si="4"/>
        <v>73012.75</v>
      </c>
      <c r="K15" s="292">
        <f t="shared" si="5"/>
        <v>4239.45</v>
      </c>
      <c r="L15" s="20">
        <f>'أخذ التمام الصباحي'!N13</f>
        <v>29417</v>
      </c>
      <c r="M15" s="2">
        <f t="shared" si="8"/>
        <v>161793.5</v>
      </c>
      <c r="N15" s="2">
        <f>L15*0.26</f>
        <v>7648.42</v>
      </c>
      <c r="O15" s="7">
        <f t="shared" si="9"/>
        <v>4141.5375000000004</v>
      </c>
      <c r="P15" s="10">
        <f>'أخذ التمام الصباحي'!Q13</f>
        <v>0</v>
      </c>
      <c r="Q15" s="7">
        <f t="shared" si="0"/>
        <v>-4141.5375000000004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10255</v>
      </c>
      <c r="G16" s="292">
        <f t="shared" si="2"/>
        <v>69221.25</v>
      </c>
      <c r="H16" s="292">
        <f t="shared" si="3"/>
        <v>3384.15</v>
      </c>
      <c r="I16" s="292">
        <f>'أخذ التمام الصباحي'!K14</f>
        <v>9140</v>
      </c>
      <c r="J16" s="292">
        <f t="shared" si="4"/>
        <v>70835</v>
      </c>
      <c r="K16" s="292">
        <f t="shared" si="5"/>
        <v>4113</v>
      </c>
      <c r="L16" s="20">
        <f>'أخذ التمام الصباحي'!N14</f>
        <v>74770</v>
      </c>
      <c r="M16" s="2">
        <f t="shared" si="8"/>
        <v>411235</v>
      </c>
      <c r="N16" s="139">
        <f>L16*0.26</f>
        <v>19440.2</v>
      </c>
      <c r="O16" s="7">
        <f t="shared" si="9"/>
        <v>5512.9125000000004</v>
      </c>
      <c r="P16" s="10">
        <f>'أخذ التمام الصباحي'!Q14</f>
        <v>9930</v>
      </c>
      <c r="Q16" s="7">
        <f t="shared" si="0"/>
        <v>4417.0874999999996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6946</v>
      </c>
      <c r="G17" s="292">
        <f t="shared" si="2"/>
        <v>46885.5</v>
      </c>
      <c r="H17" s="292">
        <f t="shared" si="3"/>
        <v>2292.1800000000003</v>
      </c>
      <c r="I17" s="292">
        <f>'أخذ التمام الصباحي'!K15</f>
        <v>1933</v>
      </c>
      <c r="J17" s="292">
        <f t="shared" si="4"/>
        <v>14980.75</v>
      </c>
      <c r="K17" s="292">
        <f t="shared" si="5"/>
        <v>869.85</v>
      </c>
      <c r="L17" s="20">
        <f>'أخذ التمام الصباحي'!N15</f>
        <v>1917</v>
      </c>
      <c r="M17" s="2">
        <f t="shared" si="8"/>
        <v>10543.5</v>
      </c>
      <c r="N17" s="139">
        <f>L17*0.26</f>
        <v>498.42</v>
      </c>
      <c r="O17" s="7">
        <f t="shared" si="9"/>
        <v>724.09749999999997</v>
      </c>
      <c r="P17" s="10">
        <f>'أخذ التمام الصباحي'!Q15</f>
        <v>808</v>
      </c>
      <c r="Q17" s="7">
        <f t="shared" si="0"/>
        <v>83.902500000000032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4320</v>
      </c>
      <c r="G18" s="292">
        <f t="shared" si="2"/>
        <v>29160</v>
      </c>
      <c r="H18" s="292">
        <f t="shared" si="3"/>
        <v>1425.6000000000001</v>
      </c>
      <c r="I18" s="292">
        <f>'أخذ التمام الصباحي'!K16</f>
        <v>2579</v>
      </c>
      <c r="J18" s="292">
        <f t="shared" si="4"/>
        <v>19987.25</v>
      </c>
      <c r="K18" s="292">
        <f t="shared" si="5"/>
        <v>1160.55</v>
      </c>
      <c r="L18" s="6"/>
      <c r="M18" s="6"/>
      <c r="N18" s="6"/>
      <c r="O18" s="7">
        <f t="shared" si="9"/>
        <v>491.47250000000003</v>
      </c>
      <c r="P18" s="10">
        <f>'أخذ التمام الصباحي'!Q16</f>
        <v>674</v>
      </c>
      <c r="Q18" s="7">
        <f t="shared" si="0"/>
        <v>182.52749999999997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3606</v>
      </c>
      <c r="G19" s="292">
        <f t="shared" si="2"/>
        <v>24340.5</v>
      </c>
      <c r="H19" s="292">
        <f t="shared" si="3"/>
        <v>1189.98</v>
      </c>
      <c r="I19" s="292">
        <f>'أخذ التمام الصباحي'!K17</f>
        <v>731</v>
      </c>
      <c r="J19" s="292">
        <f t="shared" si="4"/>
        <v>5665.25</v>
      </c>
      <c r="K19" s="292">
        <f t="shared" si="5"/>
        <v>328.95</v>
      </c>
      <c r="L19" s="20">
        <f>'أخذ التمام الصباحي'!N17</f>
        <v>6680</v>
      </c>
      <c r="M19" s="2">
        <f t="shared" si="8"/>
        <v>36740</v>
      </c>
      <c r="N19" s="2">
        <f>L19*0.26</f>
        <v>1736.8</v>
      </c>
      <c r="O19" s="7">
        <f t="shared" si="9"/>
        <v>667.45749999999998</v>
      </c>
      <c r="P19" s="10">
        <f>'أخذ التمام الصباحي'!Q17</f>
        <v>1220</v>
      </c>
      <c r="Q19" s="7">
        <f t="shared" si="0"/>
        <v>552.54250000000002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8845</v>
      </c>
      <c r="G20" s="292">
        <f t="shared" si="2"/>
        <v>59703.75</v>
      </c>
      <c r="H20" s="292">
        <f t="shared" si="3"/>
        <v>2918.8500000000004</v>
      </c>
      <c r="I20" s="292">
        <f>'أخذ التمام الصباحي'!K18</f>
        <v>2066</v>
      </c>
      <c r="J20" s="292">
        <f t="shared" si="4"/>
        <v>16011.5</v>
      </c>
      <c r="K20" s="292">
        <f t="shared" si="5"/>
        <v>929.7</v>
      </c>
      <c r="L20" s="20">
        <f>'أخذ التمام الصباحي'!N18</f>
        <v>25788</v>
      </c>
      <c r="M20" s="2">
        <f t="shared" si="8"/>
        <v>141834</v>
      </c>
      <c r="N20" s="139">
        <f>L20*0.26</f>
        <v>6704.88</v>
      </c>
      <c r="O20" s="7">
        <f t="shared" si="9"/>
        <v>2175.4924999999998</v>
      </c>
      <c r="P20" s="10">
        <f>'أخذ التمام الصباحي'!Q18</f>
        <v>2720</v>
      </c>
      <c r="Q20" s="7">
        <f t="shared" si="0"/>
        <v>544.50750000000016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7154</v>
      </c>
      <c r="G21" s="292">
        <f t="shared" si="2"/>
        <v>48289.5</v>
      </c>
      <c r="H21" s="292">
        <f t="shared" si="3"/>
        <v>2360.8200000000002</v>
      </c>
      <c r="I21" s="292">
        <f>'أخذ التمام الصباحي'!K19</f>
        <v>1305</v>
      </c>
      <c r="J21" s="292">
        <f t="shared" si="4"/>
        <v>10113.75</v>
      </c>
      <c r="K21" s="292">
        <f t="shared" si="5"/>
        <v>587.25</v>
      </c>
      <c r="L21" s="6"/>
      <c r="M21" s="6"/>
      <c r="N21" s="6"/>
      <c r="O21" s="7">
        <f t="shared" si="9"/>
        <v>584.03250000000003</v>
      </c>
      <c r="P21" s="10">
        <f>'أخذ التمام الصباحي'!Q19</f>
        <v>650</v>
      </c>
      <c r="Q21" s="7">
        <f t="shared" si="0"/>
        <v>65.967499999999973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211</v>
      </c>
      <c r="D22" s="5">
        <f t="shared" si="7"/>
        <v>1160.5</v>
      </c>
      <c r="E22" s="5">
        <f>C22*0.25</f>
        <v>52.75</v>
      </c>
      <c r="F22" s="292">
        <f>'أخذ التمام الصباحي'!H20</f>
        <v>964</v>
      </c>
      <c r="G22" s="292">
        <f t="shared" si="2"/>
        <v>6507</v>
      </c>
      <c r="H22" s="292">
        <f t="shared" si="3"/>
        <v>318.12</v>
      </c>
      <c r="I22" s="6"/>
      <c r="J22" s="6"/>
      <c r="K22" s="6"/>
      <c r="L22" s="20">
        <f>'أخذ التمام الصباحي'!N20</f>
        <v>8205</v>
      </c>
      <c r="M22" s="2">
        <f t="shared" si="8"/>
        <v>45127.5</v>
      </c>
      <c r="N22" s="2">
        <f t="shared" ref="N22:N27" si="11">L22*0.26</f>
        <v>2133.3000000000002</v>
      </c>
      <c r="O22" s="7">
        <f t="shared" si="9"/>
        <v>527.95000000000005</v>
      </c>
      <c r="P22" s="10">
        <f>'أخذ التمام الصباحي'!Q20</f>
        <v>740</v>
      </c>
      <c r="Q22" s="7">
        <f t="shared" si="0"/>
        <v>212.04999999999995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1306</v>
      </c>
      <c r="G23" s="292">
        <f t="shared" si="2"/>
        <v>8815.5</v>
      </c>
      <c r="H23" s="292">
        <f t="shared" si="3"/>
        <v>430.98</v>
      </c>
      <c r="I23" s="6"/>
      <c r="J23" s="6"/>
      <c r="K23" s="6"/>
      <c r="L23" s="20">
        <f>'أخذ التمام الصباحي'!N21</f>
        <v>6470</v>
      </c>
      <c r="M23" s="2">
        <f t="shared" si="8"/>
        <v>35585</v>
      </c>
      <c r="N23" s="183">
        <f t="shared" si="11"/>
        <v>1682.2</v>
      </c>
      <c r="O23" s="7">
        <f t="shared" si="9"/>
        <v>444.005</v>
      </c>
      <c r="P23" s="10">
        <f>'أخذ التمام الصباحي'!Q21</f>
        <v>480</v>
      </c>
      <c r="Q23" s="7">
        <f t="shared" si="0"/>
        <v>35.995000000000005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16861</v>
      </c>
      <c r="G24" s="292">
        <f t="shared" si="2"/>
        <v>113811.75</v>
      </c>
      <c r="H24" s="292">
        <f t="shared" si="3"/>
        <v>5564.13</v>
      </c>
      <c r="I24" s="292">
        <f>'أخذ التمام الصباحي'!K22</f>
        <v>2572</v>
      </c>
      <c r="J24" s="292">
        <f t="shared" si="4"/>
        <v>19933</v>
      </c>
      <c r="K24" s="292">
        <f t="shared" si="5"/>
        <v>1157.4000000000001</v>
      </c>
      <c r="L24" s="20">
        <f>'أخذ التمام الصباحي'!N22</f>
        <v>71767</v>
      </c>
      <c r="M24" s="2">
        <f t="shared" si="8"/>
        <v>394718.5</v>
      </c>
      <c r="N24" s="183">
        <f t="shared" si="11"/>
        <v>18659.420000000002</v>
      </c>
      <c r="O24" s="7">
        <f t="shared" si="9"/>
        <v>5284.6324999999997</v>
      </c>
      <c r="P24" s="10">
        <f>'أخذ التمام الصباحي'!Q22</f>
        <v>7350</v>
      </c>
      <c r="Q24" s="7">
        <f t="shared" si="0"/>
        <v>2065.3675000000003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13810</v>
      </c>
      <c r="G25" s="292">
        <f t="shared" si="2"/>
        <v>93217.5</v>
      </c>
      <c r="H25" s="292">
        <f t="shared" si="3"/>
        <v>4557.3</v>
      </c>
      <c r="I25" s="292">
        <f>'أخذ التمام الصباحي'!K23</f>
        <v>2629</v>
      </c>
      <c r="J25" s="292">
        <f t="shared" si="4"/>
        <v>20374.75</v>
      </c>
      <c r="K25" s="292">
        <f t="shared" si="5"/>
        <v>1183.05</v>
      </c>
      <c r="L25" s="20">
        <f>'أخذ التمام الصباحي'!N23</f>
        <v>52187</v>
      </c>
      <c r="M25" s="2">
        <f t="shared" si="8"/>
        <v>287028.5</v>
      </c>
      <c r="N25" s="183">
        <f t="shared" si="11"/>
        <v>13568.62</v>
      </c>
      <c r="O25" s="7">
        <f t="shared" si="9"/>
        <v>4006.2075</v>
      </c>
      <c r="P25" s="10">
        <f>'أخذ التمام الصباحي'!Q23</f>
        <v>5385</v>
      </c>
      <c r="Q25" s="7">
        <f t="shared" si="0"/>
        <v>1378.7925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12700</v>
      </c>
      <c r="G26" s="292">
        <f t="shared" si="2"/>
        <v>85725</v>
      </c>
      <c r="H26" s="292">
        <f t="shared" si="3"/>
        <v>4191</v>
      </c>
      <c r="I26" s="292">
        <f>'أخذ التمام الصباحي'!K24</f>
        <v>1898</v>
      </c>
      <c r="J26" s="292">
        <f t="shared" si="4"/>
        <v>14709.5</v>
      </c>
      <c r="K26" s="292">
        <f t="shared" si="5"/>
        <v>854.1</v>
      </c>
      <c r="L26" s="20">
        <f>'أخذ التمام الصباحي'!N24</f>
        <v>22453</v>
      </c>
      <c r="M26" s="2">
        <f t="shared" si="8"/>
        <v>123491.5</v>
      </c>
      <c r="N26" s="183">
        <f t="shared" si="11"/>
        <v>5837.78</v>
      </c>
      <c r="O26" s="7">
        <f t="shared" si="9"/>
        <v>2239.2600000000002</v>
      </c>
      <c r="P26" s="10">
        <f>'أخذ التمام الصباحي'!Q24</f>
        <v>2872</v>
      </c>
      <c r="Q26" s="7">
        <f t="shared" si="0"/>
        <v>632.73999999999978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7717</v>
      </c>
      <c r="G27" s="292">
        <f t="shared" si="2"/>
        <v>52089.75</v>
      </c>
      <c r="H27" s="292">
        <f t="shared" si="3"/>
        <v>2546.61</v>
      </c>
      <c r="I27" s="292">
        <f>'أخذ التمام الصباحي'!K25</f>
        <v>1807</v>
      </c>
      <c r="J27" s="292">
        <f t="shared" si="4"/>
        <v>14004.25</v>
      </c>
      <c r="K27" s="292">
        <f t="shared" si="5"/>
        <v>813.15</v>
      </c>
      <c r="L27" s="20">
        <f>'أخذ التمام الصباحي'!N25</f>
        <v>24374</v>
      </c>
      <c r="M27" s="2">
        <f t="shared" si="8"/>
        <v>134057</v>
      </c>
      <c r="N27" s="183">
        <f t="shared" si="11"/>
        <v>6337.24</v>
      </c>
      <c r="O27" s="7">
        <f t="shared" si="9"/>
        <v>2001.51</v>
      </c>
      <c r="P27" s="10">
        <f>'أخذ التمام الصباحي'!Q25</f>
        <v>2865</v>
      </c>
      <c r="Q27" s="7">
        <f t="shared" si="0"/>
        <v>863.49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3992</v>
      </c>
      <c r="D28" s="5">
        <f t="shared" ref="D28" si="12">C28*5.5</f>
        <v>21956</v>
      </c>
      <c r="E28" s="5">
        <f t="shared" ref="E28" si="13">C28*0.25</f>
        <v>998</v>
      </c>
      <c r="F28" s="301">
        <f>'أخذ التمام الصباحي'!H26</f>
        <v>7517</v>
      </c>
      <c r="G28" s="301">
        <f t="shared" ref="G28" si="14">F28*6.75</f>
        <v>50739.75</v>
      </c>
      <c r="H28" s="301">
        <f t="shared" ref="H28" si="15">F28*0.33</f>
        <v>2480.61</v>
      </c>
      <c r="I28" s="301">
        <f>'أخذ التمام الصباحي'!K26</f>
        <v>1740</v>
      </c>
      <c r="J28" s="301">
        <f t="shared" ref="J28" si="16">I28*7.75</f>
        <v>13485</v>
      </c>
      <c r="K28" s="301">
        <f t="shared" ref="K28" si="17">I28*0.45</f>
        <v>783</v>
      </c>
      <c r="L28" s="301">
        <f>'أخذ التمام الصباحي'!N26</f>
        <v>16989</v>
      </c>
      <c r="M28" s="301">
        <f t="shared" ref="M28" si="18">L28*5.5</f>
        <v>93439.5</v>
      </c>
      <c r="N28" s="301">
        <f t="shared" ref="N28" si="19">L28*0.26</f>
        <v>4417.1400000000003</v>
      </c>
      <c r="O28" s="7">
        <f t="shared" ref="O28" si="20">SUM(D28,G28,J28,M28)/100</f>
        <v>1796.2025000000001</v>
      </c>
      <c r="P28" s="10">
        <f>'أخذ التمام الصباحي'!Q26</f>
        <v>1100</v>
      </c>
      <c r="Q28" s="7">
        <f t="shared" ref="Q28" si="21">P28-O28</f>
        <v>-696.2025000000001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7705</v>
      </c>
      <c r="G29" s="321">
        <f t="shared" ref="G29:G33" si="24">F29*6.75</f>
        <v>52008.75</v>
      </c>
      <c r="H29" s="321">
        <f t="shared" ref="H29:H33" si="25">F29*0.33</f>
        <v>2542.65</v>
      </c>
      <c r="I29" s="5">
        <f>'أخذ التمام الصباحي'!K27</f>
        <v>1744</v>
      </c>
      <c r="J29" s="321">
        <f t="shared" ref="J29:J33" si="26">I29*7.75</f>
        <v>13516</v>
      </c>
      <c r="K29" s="321">
        <f t="shared" ref="K29:K33" si="27">I29*0.45</f>
        <v>784.80000000000007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655.24749999999995</v>
      </c>
      <c r="P29" s="10">
        <f>'أخذ التمام الصباحي'!Q27</f>
        <v>229</v>
      </c>
      <c r="Q29" s="7">
        <f t="shared" ref="Q29:Q33" si="31">P29-O29</f>
        <v>-426.24749999999995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27195</v>
      </c>
      <c r="G30" s="321">
        <f t="shared" si="24"/>
        <v>183566.25</v>
      </c>
      <c r="H30" s="321">
        <f t="shared" si="25"/>
        <v>8974.35</v>
      </c>
      <c r="I30" s="5">
        <f>'أخذ التمام الصباحي'!K28</f>
        <v>9485</v>
      </c>
      <c r="J30" s="321">
        <f t="shared" si="26"/>
        <v>73508.75</v>
      </c>
      <c r="K30" s="321">
        <f t="shared" si="27"/>
        <v>4268.25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2570.75</v>
      </c>
      <c r="P30" s="10">
        <f>'أخذ التمام الصباحي'!Q28</f>
        <v>1200</v>
      </c>
      <c r="Q30" s="7">
        <f t="shared" si="31"/>
        <v>-1370.75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34978</v>
      </c>
      <c r="G31" s="321">
        <f t="shared" si="24"/>
        <v>236101.5</v>
      </c>
      <c r="H31" s="321">
        <f t="shared" si="25"/>
        <v>11542.74</v>
      </c>
      <c r="I31" s="5">
        <f>'أخذ التمام الصباحي'!K29</f>
        <v>12216</v>
      </c>
      <c r="J31" s="321">
        <f t="shared" si="26"/>
        <v>94674</v>
      </c>
      <c r="K31" s="321">
        <f t="shared" si="27"/>
        <v>5497.2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3307.7550000000001</v>
      </c>
      <c r="P31" s="10">
        <f>'أخذ التمام الصباحي'!Q29</f>
        <v>3890</v>
      </c>
      <c r="Q31" s="7">
        <f t="shared" si="31"/>
        <v>582.24499999999989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39917</v>
      </c>
      <c r="G32" s="321">
        <f t="shared" si="24"/>
        <v>269439.75</v>
      </c>
      <c r="H32" s="321">
        <f t="shared" si="25"/>
        <v>13172.61</v>
      </c>
      <c r="I32" s="5">
        <f>'أخذ التمام الصباحي'!K30</f>
        <v>11363</v>
      </c>
      <c r="J32" s="321">
        <f t="shared" si="26"/>
        <v>88063.25</v>
      </c>
      <c r="K32" s="321">
        <f t="shared" si="27"/>
        <v>5113.3500000000004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3575.03</v>
      </c>
      <c r="P32" s="10">
        <f>'أخذ التمام الصباحي'!Q30</f>
        <v>624</v>
      </c>
      <c r="Q32" s="7">
        <f t="shared" si="31"/>
        <v>-2951.03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63587</v>
      </c>
      <c r="G33" s="321">
        <f t="shared" si="24"/>
        <v>429212.25</v>
      </c>
      <c r="H33" s="321">
        <f t="shared" si="25"/>
        <v>20983.710000000003</v>
      </c>
      <c r="I33" s="5">
        <f>'أخذ التمام الصباحي'!K31</f>
        <v>15953</v>
      </c>
      <c r="J33" s="321">
        <f t="shared" si="26"/>
        <v>123635.75</v>
      </c>
      <c r="K33" s="321">
        <f t="shared" si="27"/>
        <v>7178.85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5528.48</v>
      </c>
      <c r="P33" s="10">
        <f>'أخذ التمام الصباحي'!Q31</f>
        <v>3520</v>
      </c>
      <c r="Q33" s="7">
        <f t="shared" si="31"/>
        <v>-2008.4799999999996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19000</v>
      </c>
      <c r="D34" s="5">
        <f t="shared" ref="D34:D37" si="32">C34*5.5</f>
        <v>104500</v>
      </c>
      <c r="E34" s="5">
        <f t="shared" ref="E34:E37" si="33">C34*0.25</f>
        <v>4750</v>
      </c>
      <c r="F34" s="5">
        <f>'أخذ التمام الصباحي'!H32</f>
        <v>19000</v>
      </c>
      <c r="G34" s="361">
        <f t="shared" ref="G34:G37" si="34">F34*6.75</f>
        <v>128250</v>
      </c>
      <c r="H34" s="361">
        <f t="shared" ref="H34:H37" si="35">F34*0.33</f>
        <v>6270</v>
      </c>
      <c r="I34" s="5">
        <f>'أخذ التمام الصباحي'!K32</f>
        <v>1800</v>
      </c>
      <c r="J34" s="361">
        <f t="shared" ref="J34:J37" si="36">I34*7.75</f>
        <v>13950</v>
      </c>
      <c r="K34" s="361">
        <f t="shared" ref="K34:K37" si="37">I34*0.45</f>
        <v>810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2467</v>
      </c>
      <c r="P34" s="10">
        <f>'أخذ التمام الصباحي'!Q32</f>
        <v>4180</v>
      </c>
      <c r="Q34" s="7">
        <f t="shared" ref="Q34:Q37" si="41">P34-O34</f>
        <v>1713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4" t="s">
        <v>34</v>
      </c>
      <c r="B38" s="414"/>
      <c r="C38" s="43">
        <f>SUM(C7:C37)</f>
        <v>78553</v>
      </c>
      <c r="D38" s="43">
        <f t="shared" ref="D38:Q38" si="42">SUM(D7:D37)</f>
        <v>432041.5</v>
      </c>
      <c r="E38" s="43">
        <f t="shared" si="42"/>
        <v>19638.25</v>
      </c>
      <c r="F38" s="43">
        <f t="shared" si="42"/>
        <v>518843</v>
      </c>
      <c r="G38" s="43">
        <f t="shared" si="42"/>
        <v>3502190.25</v>
      </c>
      <c r="H38" s="43">
        <f t="shared" si="42"/>
        <v>171218.19000000003</v>
      </c>
      <c r="I38" s="43">
        <f t="shared" si="42"/>
        <v>134589</v>
      </c>
      <c r="J38" s="43">
        <f t="shared" si="42"/>
        <v>1043064.75</v>
      </c>
      <c r="K38" s="43">
        <f t="shared" si="42"/>
        <v>60565.05</v>
      </c>
      <c r="L38" s="43">
        <f t="shared" si="42"/>
        <v>374777</v>
      </c>
      <c r="M38" s="43">
        <f t="shared" si="42"/>
        <v>2061273.5</v>
      </c>
      <c r="N38" s="43">
        <f t="shared" si="42"/>
        <v>97442.02</v>
      </c>
      <c r="O38" s="43">
        <f t="shared" si="42"/>
        <v>70385.699999999983</v>
      </c>
      <c r="P38" s="43">
        <f t="shared" si="42"/>
        <v>72483</v>
      </c>
      <c r="Q38" s="43">
        <f t="shared" si="42"/>
        <v>2097.2999999999988</v>
      </c>
    </row>
    <row r="39" spans="1:17" ht="32.25" customHeight="1" thickBot="1" x14ac:dyDescent="0.25">
      <c r="A39" s="407" t="s">
        <v>75</v>
      </c>
      <c r="B39" s="407"/>
      <c r="C39" s="418">
        <f>C38+F38+I38+L38</f>
        <v>1106762</v>
      </c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20"/>
    </row>
    <row r="40" spans="1:17" ht="30.75" customHeight="1" thickBot="1" x14ac:dyDescent="0.25">
      <c r="A40" s="407" t="s">
        <v>47</v>
      </c>
      <c r="B40" s="407"/>
      <c r="C40" s="421">
        <f>D38+G38+J38+M38</f>
        <v>7038570</v>
      </c>
      <c r="D40" s="422"/>
      <c r="E40" s="422"/>
      <c r="F40" s="422"/>
      <c r="G40" s="422"/>
      <c r="H40" s="422"/>
      <c r="I40" s="422"/>
      <c r="J40" s="422"/>
      <c r="K40" s="422"/>
      <c r="L40" s="422"/>
      <c r="M40" s="422"/>
      <c r="N40" s="422"/>
      <c r="O40" s="422"/>
      <c r="P40" s="422"/>
      <c r="Q40" s="423"/>
    </row>
    <row r="41" spans="1:17" ht="30.75" customHeight="1" thickBot="1" x14ac:dyDescent="0.25">
      <c r="A41" s="407" t="s">
        <v>48</v>
      </c>
      <c r="B41" s="407"/>
      <c r="C41" s="409">
        <f>E38+H38+K38+N38</f>
        <v>348863.51000000007</v>
      </c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1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8" t="s">
        <v>108</v>
      </c>
      <c r="C2" s="568"/>
      <c r="D2" s="568"/>
      <c r="E2" s="568"/>
    </row>
    <row r="3" spans="1:13" ht="15" thickBot="1" x14ac:dyDescent="0.25"/>
    <row r="4" spans="1:13" ht="15.75" thickBot="1" x14ac:dyDescent="0.25">
      <c r="A4" s="502" t="s">
        <v>3</v>
      </c>
      <c r="B4" s="424" t="s">
        <v>90</v>
      </c>
      <c r="C4" s="570"/>
      <c r="D4" s="570"/>
      <c r="E4" s="570"/>
      <c r="F4" s="425"/>
    </row>
    <row r="5" spans="1:13" ht="15.75" thickBot="1" x14ac:dyDescent="0.25">
      <c r="A5" s="503"/>
      <c r="B5" s="424" t="s">
        <v>83</v>
      </c>
      <c r="C5" s="570"/>
      <c r="D5" s="569" t="s">
        <v>81</v>
      </c>
      <c r="E5" s="571"/>
      <c r="F5" s="109" t="s">
        <v>107</v>
      </c>
      <c r="I5" s="502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4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4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17</v>
      </c>
      <c r="M8" s="41">
        <f>'خطة الإمداد'!O49</f>
        <v>51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102</v>
      </c>
      <c r="L10" s="41">
        <f>'خطة الإمداد'!N51</f>
        <v>17</v>
      </c>
      <c r="M10" s="41">
        <f>'خطة الإمداد'!O51</f>
        <v>102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5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4"/>
      <c r="C16" s="52" t="s">
        <v>93</v>
      </c>
      <c r="D16" s="53">
        <f>[1]التعاون.ملخص!$D$10</f>
        <v>0</v>
      </c>
    </row>
    <row r="17" spans="2:4" ht="16.5" thickBot="1" x14ac:dyDescent="0.25">
      <c r="B17" s="575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4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sqref="A1:N20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8" t="s">
        <v>108</v>
      </c>
      <c r="C2" s="568"/>
      <c r="D2" s="568"/>
      <c r="E2" s="568"/>
    </row>
    <row r="3" spans="1:13" ht="15" thickBot="1" x14ac:dyDescent="0.25"/>
    <row r="4" spans="1:13" ht="15.75" thickBot="1" x14ac:dyDescent="0.25">
      <c r="A4" s="502" t="s">
        <v>3</v>
      </c>
      <c r="B4" s="424" t="s">
        <v>165</v>
      </c>
      <c r="C4" s="570"/>
      <c r="D4" s="570"/>
      <c r="E4" s="570"/>
      <c r="F4" s="425"/>
    </row>
    <row r="5" spans="1:13" ht="15.75" thickBot="1" x14ac:dyDescent="0.25">
      <c r="A5" s="503"/>
      <c r="B5" s="424" t="s">
        <v>83</v>
      </c>
      <c r="C5" s="570"/>
      <c r="D5" s="569" t="s">
        <v>81</v>
      </c>
      <c r="E5" s="571"/>
      <c r="F5" s="308" t="s">
        <v>107</v>
      </c>
      <c r="I5" s="502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4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4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17</v>
      </c>
      <c r="M8" s="41">
        <f>'خطة الإمداد'!O49</f>
        <v>51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102</v>
      </c>
      <c r="L10" s="41">
        <f>'خطة الإمداد'!N51</f>
        <v>17</v>
      </c>
      <c r="M10" s="41">
        <f>'خطة الإمداد'!O51</f>
        <v>102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5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4"/>
      <c r="C16" s="52" t="s">
        <v>93</v>
      </c>
      <c r="D16" s="53">
        <f>[1]التعاون.ملخص!$D$10</f>
        <v>0</v>
      </c>
    </row>
    <row r="17" spans="2:4" ht="16.5" thickBot="1" x14ac:dyDescent="0.25">
      <c r="B17" s="575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4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  <customSheetView guid="{8317B6D8-8A99-4EB0-9DBC-8E9AE0170A4B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6" t="str">
        <f>'منطقة القاهرة'!A4</f>
        <v>المحطة</v>
      </c>
      <c r="B1" s="416" t="str">
        <f>'منطقة القاهرة'!B4</f>
        <v xml:space="preserve">الهايكستب </v>
      </c>
      <c r="C1" s="416">
        <f>'منطقة القاهرة'!C4</f>
        <v>0</v>
      </c>
      <c r="D1" s="457">
        <f>'منطقة القاهرة'!D4</f>
        <v>0</v>
      </c>
      <c r="E1" s="569" t="str">
        <f>'منطقة القاهرة'!E4</f>
        <v>مسطرد</v>
      </c>
      <c r="F1" s="570">
        <f>'منطقة القاهرة'!F4</f>
        <v>0</v>
      </c>
      <c r="G1" s="570">
        <f>'منطقة القاهرة'!G4</f>
        <v>0</v>
      </c>
      <c r="H1" s="425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6">
        <f>'منطقة القاهرة'!A5</f>
        <v>0</v>
      </c>
      <c r="B2" s="424" t="str">
        <f>'منطقة القاهرة'!B5</f>
        <v>تعاون</v>
      </c>
      <c r="C2" s="570">
        <f>'منطقة القاهرة'!C5</f>
        <v>0</v>
      </c>
      <c r="D2" s="571">
        <f>'منطقة القاهرة'!D5</f>
        <v>0</v>
      </c>
      <c r="E2" s="269" t="str">
        <f>'منطقة القاهرة'!E5</f>
        <v>تعاون</v>
      </c>
      <c r="F2" s="424" t="str">
        <f>'منطقة القاهرة'!F5</f>
        <v>موبيل</v>
      </c>
      <c r="G2" s="570">
        <f>'منطقة القاهرة'!G5</f>
        <v>0</v>
      </c>
      <c r="H2" s="425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202</v>
      </c>
    </row>
    <row r="3" spans="1:13" ht="16.5" thickBot="1" x14ac:dyDescent="0.3">
      <c r="A3" s="456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414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1464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5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34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74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5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6" t="str">
        <f>'منطقة السويس'!A4</f>
        <v>المحطة</v>
      </c>
      <c r="B13" s="424" t="str">
        <f>'منطقة السويس'!B4</f>
        <v>السويس</v>
      </c>
      <c r="C13" s="570">
        <f>'منطقة السويس'!C4</f>
        <v>0</v>
      </c>
      <c r="D13" s="570">
        <f>'منطقة السويس'!D4</f>
        <v>0</v>
      </c>
      <c r="E13" s="570">
        <f>'منطقة السويس'!E4</f>
        <v>0</v>
      </c>
      <c r="F13" s="570">
        <f>'منطقة السويس'!F4</f>
        <v>0</v>
      </c>
      <c r="G13" s="570">
        <f>'منطقة السويس'!G4</f>
        <v>0</v>
      </c>
      <c r="H13" s="425">
        <f>'منطقة السويس'!H4</f>
        <v>0</v>
      </c>
      <c r="I13" s="276" t="s">
        <v>119</v>
      </c>
      <c r="K13" s="576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6">
        <f>'منطقة السويس'!A5</f>
        <v>0</v>
      </c>
      <c r="B14" s="120" t="str">
        <f>'منطقة السويس'!B5</f>
        <v>تعاون</v>
      </c>
      <c r="C14" s="577" t="str">
        <f>'منطقة السويس'!C5</f>
        <v>موبيل</v>
      </c>
      <c r="D14" s="541">
        <f>'منطقة السويس'!D5</f>
        <v>0</v>
      </c>
      <c r="E14" s="578">
        <f>'منطقة السويس'!E5</f>
        <v>0</v>
      </c>
      <c r="F14" s="541" t="str">
        <f>'منطقة السويس'!F5</f>
        <v>مصر</v>
      </c>
      <c r="G14" s="541">
        <f>'منطقة السويس'!G5</f>
        <v>0</v>
      </c>
      <c r="H14" s="542">
        <f>'منطقة السويس'!H5</f>
        <v>0</v>
      </c>
      <c r="I14" s="275" t="s">
        <v>83</v>
      </c>
      <c r="K14" s="576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6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73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72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73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72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74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9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6" t="str">
        <f>'منطقة الاسكندرية'!A4</f>
        <v>المحطة</v>
      </c>
      <c r="B22" s="424" t="str">
        <f>'منطقة الاسكندرية'!B4</f>
        <v>الماكس</v>
      </c>
      <c r="C22" s="570">
        <f>'منطقة الاسكندرية'!C4</f>
        <v>0</v>
      </c>
      <c r="D22" s="570">
        <f>'منطقة الاسكندرية'!D4</f>
        <v>0</v>
      </c>
      <c r="E22" s="570">
        <f>'منطقة الاسكندرية'!E4</f>
        <v>0</v>
      </c>
      <c r="F22" s="570">
        <f>'منطقة الاسكندرية'!F4</f>
        <v>0</v>
      </c>
      <c r="G22" s="570">
        <f>'منطقة الاسكندرية'!G4</f>
        <v>0</v>
      </c>
      <c r="H22" s="570">
        <f>'منطقة الاسكندرية'!H4</f>
        <v>0</v>
      </c>
      <c r="I22" s="425">
        <f>'منطقة الاسكندرية'!I4</f>
        <v>0</v>
      </c>
      <c r="K22" s="580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56">
        <f>'منطقة الاسكندرية'!A5</f>
        <v>0</v>
      </c>
      <c r="B23" s="543" t="str">
        <f>'منطقة الاسكندرية'!B5</f>
        <v>تعاون</v>
      </c>
      <c r="C23" s="543">
        <f>'منطقة الاسكندرية'!C5</f>
        <v>0</v>
      </c>
      <c r="D23" s="563">
        <f>'منطقة الاسكندرية'!D5</f>
        <v>0</v>
      </c>
      <c r="E23" s="582" t="str">
        <f>'منطقة الاسكندرية'!E5</f>
        <v>مصر</v>
      </c>
      <c r="F23" s="583">
        <f>'منطقة الاسكندرية'!F5</f>
        <v>0</v>
      </c>
      <c r="G23" s="564" t="str">
        <f>'منطقة الاسكندرية'!G5</f>
        <v>موبيل</v>
      </c>
      <c r="H23" s="543">
        <f>'منطقة الاسكندرية'!H5</f>
        <v>0</v>
      </c>
      <c r="I23" s="543">
        <f>'منطقة الاسكندرية'!I5</f>
        <v>0</v>
      </c>
      <c r="K23" s="581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6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0</v>
      </c>
      <c r="I26" s="80"/>
      <c r="K26" s="579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80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81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84"/>
      <c r="D30" s="584"/>
    </row>
    <row r="31" spans="1:13" ht="16.5" thickBot="1" x14ac:dyDescent="0.3">
      <c r="A31" s="502" t="str">
        <f>'منطقة طنطا'!A4</f>
        <v>المحطة</v>
      </c>
      <c r="B31" s="424" t="str">
        <f>'منطقة طنطا'!B4</f>
        <v>طنطا</v>
      </c>
      <c r="C31" s="570">
        <f>'منطقة طنطا'!C4</f>
        <v>0</v>
      </c>
      <c r="D31" s="570">
        <f>'منطقة طنطا'!D4</f>
        <v>0</v>
      </c>
      <c r="E31" s="570">
        <f>'منطقة طنطا'!E4</f>
        <v>0</v>
      </c>
      <c r="F31" s="425">
        <f>'منطقة طنطا'!F4</f>
        <v>0</v>
      </c>
      <c r="H31" s="78"/>
      <c r="I31" s="78"/>
      <c r="J31" s="78"/>
      <c r="K31" s="575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3">
        <f>'منطقة طنطا'!A5</f>
        <v>0</v>
      </c>
      <c r="B32" s="424" t="str">
        <f>'منطقة طنطا'!B5</f>
        <v>مصر</v>
      </c>
      <c r="C32" s="570">
        <f>'منطقة طنطا'!C5</f>
        <v>0</v>
      </c>
      <c r="D32" s="569" t="str">
        <f>'منطقة طنطا'!D5</f>
        <v>تعاون</v>
      </c>
      <c r="E32" s="571">
        <f>'منطقة طنطا'!E5</f>
        <v>0</v>
      </c>
      <c r="F32" s="266" t="str">
        <f>'منطقة طنطا'!F5</f>
        <v>تعاون هايكستب</v>
      </c>
      <c r="K32" s="574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4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5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74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  <customSheetView guid="{8317B6D8-8A99-4EB0-9DBC-8E9AE0170A4B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53" t="s">
        <v>0</v>
      </c>
      <c r="B1" s="453"/>
      <c r="C1" s="453"/>
      <c r="D1" s="453"/>
      <c r="O1" s="452"/>
      <c r="P1" s="452"/>
    </row>
    <row r="2" spans="1:17" ht="15" x14ac:dyDescent="0.2">
      <c r="A2" s="453" t="s">
        <v>1</v>
      </c>
      <c r="B2" s="453"/>
      <c r="C2" s="453"/>
      <c r="D2" s="453"/>
    </row>
    <row r="3" spans="1:17" ht="15" x14ac:dyDescent="0.2">
      <c r="A3" s="453" t="s">
        <v>2</v>
      </c>
      <c r="B3" s="453"/>
      <c r="C3" s="453"/>
      <c r="D3" s="453"/>
    </row>
    <row r="4" spans="1:17" ht="15" x14ac:dyDescent="0.2">
      <c r="A4" s="453" t="s">
        <v>53</v>
      </c>
      <c r="B4" s="453"/>
      <c r="C4" s="453"/>
      <c r="D4" s="453"/>
    </row>
    <row r="5" spans="1:17" ht="15" x14ac:dyDescent="0.2">
      <c r="A5" s="454" t="s">
        <v>195</v>
      </c>
      <c r="B5" s="454"/>
      <c r="C5" s="454"/>
      <c r="D5" s="454"/>
    </row>
    <row r="6" spans="1:17" ht="24" thickBot="1" x14ac:dyDescent="0.25">
      <c r="H6" s="448" t="s">
        <v>54</v>
      </c>
      <c r="I6" s="448"/>
      <c r="J6" s="448"/>
      <c r="K6" s="448"/>
    </row>
    <row r="7" spans="1:17" ht="20.25" customHeight="1" thickBot="1" x14ac:dyDescent="0.25">
      <c r="B7" s="431" t="s">
        <v>55</v>
      </c>
      <c r="C7" s="444"/>
      <c r="D7" s="444"/>
      <c r="E7" s="432"/>
      <c r="F7" s="17"/>
      <c r="G7" s="17"/>
      <c r="H7" s="17"/>
      <c r="I7" s="17"/>
      <c r="J7" s="17"/>
      <c r="K7" s="17"/>
      <c r="L7" s="17"/>
      <c r="M7" s="17"/>
      <c r="N7" s="17"/>
      <c r="O7" s="17"/>
      <c r="P7" s="431" t="s">
        <v>51</v>
      </c>
      <c r="Q7" s="432"/>
    </row>
    <row r="8" spans="1:17" ht="13.5" thickBot="1" x14ac:dyDescent="0.25">
      <c r="B8" s="449" t="s">
        <v>52</v>
      </c>
      <c r="C8" s="455" t="s">
        <v>5</v>
      </c>
      <c r="D8" s="455"/>
      <c r="E8" s="455"/>
      <c r="F8" s="455" t="s">
        <v>11</v>
      </c>
      <c r="G8" s="455"/>
      <c r="H8" s="455"/>
      <c r="I8" s="455" t="s">
        <v>12</v>
      </c>
      <c r="J8" s="455"/>
      <c r="K8" s="455"/>
      <c r="L8" s="455" t="s">
        <v>50</v>
      </c>
      <c r="M8" s="455"/>
      <c r="N8" s="455"/>
      <c r="O8" s="455" t="s">
        <v>56</v>
      </c>
      <c r="P8" s="455"/>
      <c r="Q8" s="455"/>
    </row>
    <row r="9" spans="1:17" ht="13.5" thickBot="1" x14ac:dyDescent="0.25">
      <c r="B9" s="449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455"/>
      <c r="N9" s="455"/>
      <c r="O9" s="455"/>
      <c r="P9" s="455"/>
      <c r="Q9" s="455"/>
    </row>
    <row r="10" spans="1:17" ht="20.100000000000001" customHeight="1" thickBot="1" x14ac:dyDescent="0.25">
      <c r="B10" s="449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102000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510000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391000</v>
      </c>
      <c r="N11" s="13" t="e">
        <f>M11/L11</f>
        <v>#DIV/0!</v>
      </c>
      <c r="O11" s="140">
        <f>C11+F11+I11+L11</f>
        <v>0</v>
      </c>
      <c r="P11" s="140">
        <f>D11+G11+J11+M11</f>
        <v>1122000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31" t="s">
        <v>61</v>
      </c>
      <c r="C15" s="444"/>
      <c r="D15" s="444"/>
      <c r="E15" s="432"/>
      <c r="P15" s="431" t="s">
        <v>51</v>
      </c>
      <c r="Q15" s="432"/>
    </row>
    <row r="16" spans="1:17" ht="13.5" thickBot="1" x14ac:dyDescent="0.25">
      <c r="B16" s="449" t="s">
        <v>52</v>
      </c>
      <c r="C16" s="455" t="s">
        <v>5</v>
      </c>
      <c r="D16" s="455"/>
      <c r="E16" s="455"/>
      <c r="F16" s="455" t="s">
        <v>11</v>
      </c>
      <c r="G16" s="455"/>
      <c r="H16" s="455"/>
      <c r="I16" s="455" t="s">
        <v>12</v>
      </c>
      <c r="J16" s="455"/>
      <c r="K16" s="455"/>
      <c r="L16" s="455" t="s">
        <v>50</v>
      </c>
      <c r="M16" s="455"/>
      <c r="N16" s="455"/>
      <c r="O16" s="455" t="s">
        <v>56</v>
      </c>
      <c r="P16" s="455"/>
      <c r="Q16" s="455"/>
    </row>
    <row r="17" spans="2:17" ht="13.5" thickBot="1" x14ac:dyDescent="0.25">
      <c r="B17" s="449"/>
      <c r="C17" s="455"/>
      <c r="D17" s="455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5"/>
      <c r="Q17" s="455"/>
    </row>
    <row r="18" spans="2:17" ht="20.100000000000001" customHeight="1" thickBot="1" x14ac:dyDescent="0.25">
      <c r="B18" s="449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78553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518843</v>
      </c>
      <c r="G19" s="209">
        <f>'موقف المحطات'!$G$20</f>
        <v>510000</v>
      </c>
      <c r="H19" s="13">
        <f>G19/F19</f>
        <v>0.98295630855576732</v>
      </c>
      <c r="I19" s="209">
        <f>'موقف المحطات'!$I$20</f>
        <v>134589</v>
      </c>
      <c r="J19" s="209">
        <f>'موقف المحطات'!$J$20</f>
        <v>119000</v>
      </c>
      <c r="K19" s="13">
        <f>J19/I19</f>
        <v>0.88417329796640143</v>
      </c>
      <c r="L19" s="209">
        <f>'موقف المحطات'!$L$20</f>
        <v>374777</v>
      </c>
      <c r="M19" s="209">
        <f>'موقف المحطات'!$M$20</f>
        <v>391000</v>
      </c>
      <c r="N19" s="13">
        <f>M19/L19</f>
        <v>1.043287074713763</v>
      </c>
      <c r="O19" s="140">
        <f>C19+F19+I19+L19</f>
        <v>1106762</v>
      </c>
      <c r="P19" s="140">
        <f>D19+G19+J19+M19</f>
        <v>1020000</v>
      </c>
      <c r="Q19" s="13">
        <f>P19/O19</f>
        <v>0.92160735551094097</v>
      </c>
    </row>
    <row r="20" spans="2:17" ht="22.5" customHeight="1" thickBot="1" x14ac:dyDescent="0.25">
      <c r="B20" s="145" t="s">
        <v>64</v>
      </c>
      <c r="C20" s="140">
        <f>المبيعات!C38</f>
        <v>78553</v>
      </c>
      <c r="D20" s="140">
        <f>D11</f>
        <v>102000</v>
      </c>
      <c r="E20" s="13">
        <f>IFERROR(D20/C20,0)</f>
        <v>1.2984863722582205</v>
      </c>
      <c r="F20" s="140">
        <f>المبيعات!F38</f>
        <v>518843</v>
      </c>
      <c r="G20" s="140">
        <f>G11</f>
        <v>510000</v>
      </c>
      <c r="H20" s="13">
        <f>IFERROR(G20/F20,0)</f>
        <v>0.98295630855576732</v>
      </c>
      <c r="I20" s="140">
        <f>المبيعات!I38</f>
        <v>134589</v>
      </c>
      <c r="J20" s="140">
        <f>J11</f>
        <v>119000</v>
      </c>
      <c r="K20" s="13">
        <f>IFERROR(J20/I20,0)</f>
        <v>0.88417329796640143</v>
      </c>
      <c r="L20" s="140">
        <f>المبيعات!L38</f>
        <v>374777</v>
      </c>
      <c r="M20" s="140">
        <f>M11</f>
        <v>391000</v>
      </c>
      <c r="N20" s="13">
        <f>IFERROR(M20/L20,0)</f>
        <v>1.043287074713763</v>
      </c>
      <c r="O20" s="140">
        <f>C20+F20+I20+L20</f>
        <v>1106762</v>
      </c>
      <c r="P20" s="140">
        <f>P11</f>
        <v>1122000</v>
      </c>
      <c r="Q20" s="13">
        <f>IFERROR(P20/O20,0)</f>
        <v>1.013768091062035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31" t="s">
        <v>72</v>
      </c>
      <c r="C24" s="444"/>
      <c r="D24" s="444"/>
      <c r="E24" s="432"/>
      <c r="P24" s="450" t="s">
        <v>51</v>
      </c>
      <c r="Q24" s="451"/>
    </row>
    <row r="25" spans="2:17" ht="18" customHeight="1" thickBot="1" x14ac:dyDescent="0.25">
      <c r="B25" s="440" t="s">
        <v>52</v>
      </c>
      <c r="C25" s="429" t="s">
        <v>163</v>
      </c>
      <c r="D25" s="434"/>
      <c r="E25" s="430"/>
      <c r="F25" s="429" t="s">
        <v>158</v>
      </c>
      <c r="G25" s="434"/>
      <c r="H25" s="430"/>
      <c r="I25" s="429" t="s">
        <v>121</v>
      </c>
      <c r="J25" s="434"/>
      <c r="K25" s="430"/>
      <c r="L25" s="429" t="s">
        <v>112</v>
      </c>
      <c r="M25" s="434"/>
      <c r="N25" s="430"/>
      <c r="O25" s="429" t="s">
        <v>113</v>
      </c>
      <c r="P25" s="434"/>
      <c r="Q25" s="430"/>
    </row>
    <row r="26" spans="2:17" ht="16.5" customHeight="1" thickBot="1" x14ac:dyDescent="0.25">
      <c r="B26" s="441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27025</v>
      </c>
      <c r="D28" s="147">
        <f>'أخذ التمام الصباحي'!K6</f>
        <v>9582</v>
      </c>
      <c r="E28" s="224"/>
      <c r="F28" s="147">
        <f>'أخذ التمام الصباحي'!H7</f>
        <v>20714</v>
      </c>
      <c r="G28" s="147">
        <f>'أخذ التمام الصباحي'!K7</f>
        <v>3190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7" t="s">
        <v>173</v>
      </c>
      <c r="C32" s="438"/>
      <c r="D32" s="438"/>
      <c r="E32" s="438"/>
      <c r="F32" s="442" t="s">
        <v>60</v>
      </c>
      <c r="G32" s="443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3435</v>
      </c>
      <c r="E34" s="143">
        <f>'التمام الصباحي'!O39</f>
        <v>1380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299</v>
      </c>
      <c r="D35" s="147">
        <f>'التمام الصباحي'!J39</f>
        <v>2316</v>
      </c>
      <c r="E35" s="143">
        <f>'التمام الصباحي'!P39</f>
        <v>765</v>
      </c>
      <c r="F35" s="147">
        <f>'التمام الصباحي'!V39</f>
        <v>1760</v>
      </c>
      <c r="G35" s="147">
        <f>SUM(C35:F35)</f>
        <v>5140</v>
      </c>
    </row>
    <row r="36" spans="2:8" ht="20.25" customHeight="1" thickBot="1" x14ac:dyDescent="0.25">
      <c r="B36" s="39" t="s">
        <v>37</v>
      </c>
      <c r="C36" s="431">
        <f>'التمام الصباحي'!C42:Z42</f>
        <v>2585</v>
      </c>
      <c r="D36" s="444"/>
      <c r="E36" s="444"/>
      <c r="F36" s="444"/>
      <c r="G36" s="432"/>
      <c r="H36" s="157"/>
    </row>
    <row r="37" spans="2:8" ht="18.75" customHeight="1" thickBot="1" x14ac:dyDescent="0.25">
      <c r="B37" s="39" t="s">
        <v>68</v>
      </c>
      <c r="C37" s="431">
        <f>'احتياجات المحطات'!M29</f>
        <v>765</v>
      </c>
      <c r="D37" s="444"/>
      <c r="E37" s="444"/>
      <c r="F37" s="444"/>
      <c r="G37" s="432"/>
      <c r="H37" s="157"/>
    </row>
    <row r="38" spans="2:8" ht="21" customHeight="1" thickBot="1" x14ac:dyDescent="0.25">
      <c r="B38" s="39" t="s">
        <v>69</v>
      </c>
      <c r="C38" s="431">
        <f>G35+C37</f>
        <v>5905</v>
      </c>
      <c r="D38" s="444"/>
      <c r="E38" s="444"/>
      <c r="F38" s="444"/>
      <c r="G38" s="432"/>
      <c r="H38" s="157"/>
    </row>
    <row r="39" spans="2:8" ht="19.5" customHeight="1" thickBot="1" x14ac:dyDescent="0.25">
      <c r="B39" s="141" t="s">
        <v>70</v>
      </c>
      <c r="C39" s="431">
        <f>C36-C37</f>
        <v>1820</v>
      </c>
      <c r="D39" s="444"/>
      <c r="E39" s="444"/>
      <c r="F39" s="444"/>
      <c r="G39" s="432"/>
      <c r="H39" s="157"/>
    </row>
    <row r="40" spans="2:8" ht="20.100000000000001" customHeight="1" thickBot="1" x14ac:dyDescent="0.25">
      <c r="B40" s="141" t="s">
        <v>71</v>
      </c>
      <c r="C40" s="431">
        <f>P19/1000</f>
        <v>1020</v>
      </c>
      <c r="D40" s="444"/>
      <c r="E40" s="444"/>
      <c r="F40" s="444"/>
      <c r="G40" s="432"/>
      <c r="H40" s="157"/>
    </row>
    <row r="41" spans="2:8" ht="20.100000000000001" customHeight="1" thickBot="1" x14ac:dyDescent="0.25">
      <c r="B41" s="141" t="s">
        <v>110</v>
      </c>
      <c r="C41" s="445">
        <f>C37/C36</f>
        <v>0.29593810444874274</v>
      </c>
      <c r="D41" s="446"/>
      <c r="E41" s="446"/>
      <c r="F41" s="446"/>
      <c r="G41" s="447"/>
      <c r="H41" s="158"/>
    </row>
    <row r="42" spans="2:8" ht="20.100000000000001" customHeight="1" thickBot="1" x14ac:dyDescent="0.25">
      <c r="B42" s="147" t="s">
        <v>111</v>
      </c>
      <c r="C42" s="445">
        <f>'التمام الصباحي'!C45:Z45</f>
        <v>0.21828793774319066</v>
      </c>
      <c r="D42" s="446"/>
      <c r="E42" s="446"/>
      <c r="F42" s="446"/>
      <c r="G42" s="447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7" t="s">
        <v>174</v>
      </c>
      <c r="C46" s="438"/>
      <c r="D46" s="439"/>
      <c r="F46" s="443" t="s">
        <v>116</v>
      </c>
      <c r="G46" s="443"/>
    </row>
    <row r="47" spans="2:8" ht="18.75" customHeight="1" thickBot="1" x14ac:dyDescent="0.25">
      <c r="B47" s="144" t="s">
        <v>52</v>
      </c>
      <c r="C47" s="429" t="s">
        <v>114</v>
      </c>
      <c r="D47" s="430"/>
      <c r="E47" s="429" t="s">
        <v>115</v>
      </c>
      <c r="F47" s="430"/>
      <c r="G47" s="145" t="s">
        <v>34</v>
      </c>
    </row>
    <row r="48" spans="2:8" ht="18.75" customHeight="1" thickBot="1" x14ac:dyDescent="0.25">
      <c r="B48" s="210">
        <v>43647</v>
      </c>
      <c r="C48" s="433" t="e">
        <f>المستودعات!#REF!/51</f>
        <v>#REF!</v>
      </c>
      <c r="D48" s="432"/>
      <c r="E48" s="431"/>
      <c r="F48" s="432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7" t="s">
        <v>175</v>
      </c>
      <c r="C52" s="438"/>
      <c r="D52" s="438"/>
      <c r="E52" s="438"/>
      <c r="F52" s="438"/>
      <c r="G52" s="439"/>
    </row>
    <row r="53" spans="2:7" ht="20.100000000000001" customHeight="1" thickBot="1" x14ac:dyDescent="0.25">
      <c r="B53" s="440" t="s">
        <v>65</v>
      </c>
      <c r="C53" s="429" t="s">
        <v>73</v>
      </c>
      <c r="D53" s="434"/>
      <c r="E53" s="430"/>
      <c r="F53" s="435" t="s">
        <v>50</v>
      </c>
      <c r="G53" s="435" t="s">
        <v>74</v>
      </c>
    </row>
    <row r="54" spans="2:7" ht="20.100000000000001" customHeight="1" thickBot="1" x14ac:dyDescent="0.25">
      <c r="B54" s="441"/>
      <c r="C54" s="145">
        <v>80</v>
      </c>
      <c r="D54" s="145">
        <v>92</v>
      </c>
      <c r="E54" s="145">
        <v>95</v>
      </c>
      <c r="F54" s="436"/>
      <c r="G54" s="436"/>
    </row>
    <row r="55" spans="2:7" ht="19.5" customHeight="1" thickBot="1" x14ac:dyDescent="0.25">
      <c r="B55" s="29" t="s">
        <v>77</v>
      </c>
      <c r="C55" s="140">
        <f>المبيعات!D38</f>
        <v>432041.5</v>
      </c>
      <c r="D55" s="140">
        <f>المبيعات!G38</f>
        <v>3502190.25</v>
      </c>
      <c r="E55" s="149">
        <f>المبيعات!J38</f>
        <v>1043064.75</v>
      </c>
      <c r="F55" s="140">
        <f>المبيعات!M38</f>
        <v>2061273.5</v>
      </c>
      <c r="G55" s="35">
        <f>C55+D55+E55+F55</f>
        <v>7038570</v>
      </c>
    </row>
    <row r="56" spans="2:7" ht="17.25" customHeight="1" thickBot="1" x14ac:dyDescent="0.25">
      <c r="B56" s="145" t="s">
        <v>78</v>
      </c>
      <c r="C56" s="140">
        <f>المبيعات!E38</f>
        <v>19638.25</v>
      </c>
      <c r="D56" s="140">
        <f>المبيعات!H38</f>
        <v>171218.19000000003</v>
      </c>
      <c r="E56" s="140">
        <f>المبيعات!K38</f>
        <v>60565.05</v>
      </c>
      <c r="F56" s="140">
        <f>المبيعات!N38</f>
        <v>97442.02</v>
      </c>
      <c r="G56" s="35">
        <f>F56+E56+D56+C56</f>
        <v>348863.51</v>
      </c>
    </row>
    <row r="57" spans="2:7" ht="17.25" customHeight="1" thickBot="1" x14ac:dyDescent="0.25">
      <c r="B57" s="145" t="s">
        <v>79</v>
      </c>
      <c r="C57" s="426">
        <f>المبيعات!P38</f>
        <v>72483</v>
      </c>
      <c r="D57" s="427"/>
      <c r="E57" s="427"/>
      <c r="F57" s="428"/>
      <c r="G57" s="36">
        <f>C57</f>
        <v>72483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topLeftCell="A7" zoomScale="85" zoomScaleNormal="85" workbookViewId="0">
      <selection activeCell="K32" sqref="K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6" t="s">
        <v>14</v>
      </c>
      <c r="B3" s="456" t="s">
        <v>3</v>
      </c>
      <c r="C3" s="416" t="s">
        <v>5</v>
      </c>
      <c r="D3" s="416"/>
      <c r="E3" s="457"/>
      <c r="F3" s="458" t="s">
        <v>11</v>
      </c>
      <c r="G3" s="416"/>
      <c r="H3" s="457"/>
      <c r="I3" s="425" t="s">
        <v>12</v>
      </c>
      <c r="J3" s="416"/>
      <c r="K3" s="424"/>
      <c r="L3" s="458" t="s">
        <v>50</v>
      </c>
      <c r="M3" s="416"/>
      <c r="N3" s="457"/>
      <c r="O3" s="425" t="s">
        <v>45</v>
      </c>
      <c r="P3" s="416"/>
      <c r="Q3" s="416"/>
      <c r="R3" s="412" t="s">
        <v>160</v>
      </c>
    </row>
    <row r="4" spans="1:20" ht="15.75" thickBot="1" x14ac:dyDescent="0.25">
      <c r="A4" s="456"/>
      <c r="B4" s="456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3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63</v>
      </c>
      <c r="G5" s="194">
        <v>34</v>
      </c>
      <c r="H5" s="213">
        <v>20371</v>
      </c>
      <c r="I5" s="211">
        <v>12</v>
      </c>
      <c r="J5" s="5">
        <v>17</v>
      </c>
      <c r="K5" s="213">
        <v>6251</v>
      </c>
      <c r="L5" s="214"/>
      <c r="M5" s="192"/>
      <c r="N5" s="215"/>
      <c r="O5" s="217">
        <v>1690</v>
      </c>
      <c r="P5" s="218"/>
      <c r="Q5" s="294">
        <f t="shared" ref="Q5:Q26" si="0">P5+O5</f>
        <v>1690</v>
      </c>
      <c r="R5" s="220" t="s">
        <v>223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83</v>
      </c>
      <c r="G6" s="194">
        <v>51</v>
      </c>
      <c r="H6" s="213">
        <v>27025</v>
      </c>
      <c r="I6" s="211">
        <v>21</v>
      </c>
      <c r="J6" s="5"/>
      <c r="K6" s="213">
        <v>9582</v>
      </c>
      <c r="L6" s="214"/>
      <c r="M6" s="192"/>
      <c r="N6" s="215"/>
      <c r="O6" s="217">
        <v>2420</v>
      </c>
      <c r="P6" s="218"/>
      <c r="Q6" s="294">
        <f t="shared" si="0"/>
        <v>2420</v>
      </c>
      <c r="R6" s="220"/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88</v>
      </c>
      <c r="D7" s="5">
        <v>34</v>
      </c>
      <c r="E7" s="213">
        <v>41087</v>
      </c>
      <c r="F7" s="211">
        <v>34</v>
      </c>
      <c r="G7" s="194">
        <v>17</v>
      </c>
      <c r="H7" s="213">
        <v>20714</v>
      </c>
      <c r="I7" s="211">
        <v>39</v>
      </c>
      <c r="J7" s="5"/>
      <c r="K7" s="213">
        <v>3190</v>
      </c>
      <c r="L7" s="214"/>
      <c r="M7" s="192"/>
      <c r="N7" s="215"/>
      <c r="O7" s="217">
        <v>3690</v>
      </c>
      <c r="P7" s="218"/>
      <c r="Q7" s="294">
        <f t="shared" si="0"/>
        <v>3690</v>
      </c>
      <c r="R7" s="220" t="s">
        <v>237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26</v>
      </c>
      <c r="D8" s="5"/>
      <c r="E8" s="213">
        <v>3392</v>
      </c>
      <c r="F8" s="211">
        <v>36</v>
      </c>
      <c r="G8" s="194">
        <v>34</v>
      </c>
      <c r="H8" s="213">
        <v>24872</v>
      </c>
      <c r="I8" s="211">
        <v>17</v>
      </c>
      <c r="J8" s="5"/>
      <c r="K8" s="213">
        <v>7803</v>
      </c>
      <c r="L8" s="211">
        <v>160</v>
      </c>
      <c r="M8" s="5">
        <v>17</v>
      </c>
      <c r="N8" s="216">
        <v>4886</v>
      </c>
      <c r="O8" s="217">
        <v>3440</v>
      </c>
      <c r="P8" s="219"/>
      <c r="Q8" s="294">
        <f t="shared" si="0"/>
        <v>3440</v>
      </c>
      <c r="R8" s="220" t="s">
        <v>241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74</v>
      </c>
      <c r="G9" s="194">
        <v>34</v>
      </c>
      <c r="H9" s="213">
        <v>31729</v>
      </c>
      <c r="I9" s="211">
        <v>16</v>
      </c>
      <c r="J9" s="5">
        <v>17</v>
      </c>
      <c r="K9" s="213">
        <v>9188</v>
      </c>
      <c r="L9" s="214"/>
      <c r="M9" s="192"/>
      <c r="N9" s="215"/>
      <c r="O9" s="217">
        <v>2790</v>
      </c>
      <c r="P9" s="218"/>
      <c r="Q9" s="294">
        <f t="shared" si="0"/>
        <v>2790</v>
      </c>
      <c r="R9" s="220" t="s">
        <v>221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13</v>
      </c>
      <c r="D10" s="5">
        <v>17</v>
      </c>
      <c r="E10" s="213">
        <v>4556</v>
      </c>
      <c r="F10" s="211">
        <v>67</v>
      </c>
      <c r="G10" s="194">
        <v>34</v>
      </c>
      <c r="H10" s="213">
        <v>25290</v>
      </c>
      <c r="I10" s="214"/>
      <c r="J10" s="192"/>
      <c r="K10" s="212"/>
      <c r="L10" s="211">
        <v>173</v>
      </c>
      <c r="M10" s="5"/>
      <c r="N10" s="216">
        <v>7671</v>
      </c>
      <c r="O10" s="217">
        <v>2616</v>
      </c>
      <c r="P10" s="219"/>
      <c r="Q10" s="294">
        <f t="shared" si="0"/>
        <v>2616</v>
      </c>
      <c r="R10" s="220" t="s">
        <v>233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23</v>
      </c>
      <c r="D11" s="5"/>
      <c r="E11" s="213">
        <v>6315</v>
      </c>
      <c r="F11" s="211">
        <v>78</v>
      </c>
      <c r="G11" s="194">
        <v>17</v>
      </c>
      <c r="H11" s="213">
        <v>14958</v>
      </c>
      <c r="I11" s="214"/>
      <c r="J11" s="192"/>
      <c r="K11" s="212"/>
      <c r="L11" s="211">
        <v>153</v>
      </c>
      <c r="M11" s="5">
        <v>34</v>
      </c>
      <c r="N11" s="216">
        <v>21203</v>
      </c>
      <c r="O11" s="217">
        <v>2900</v>
      </c>
      <c r="P11" s="219"/>
      <c r="Q11" s="294">
        <f t="shared" si="0"/>
        <v>2900</v>
      </c>
      <c r="R11" s="220" t="s">
        <v>236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170</v>
      </c>
      <c r="G12" s="194"/>
      <c r="H12" s="213">
        <v>32931</v>
      </c>
      <c r="I12" s="211">
        <v>52</v>
      </c>
      <c r="J12" s="5"/>
      <c r="K12" s="213">
        <v>8193</v>
      </c>
      <c r="L12" s="214"/>
      <c r="M12" s="192"/>
      <c r="N12" s="215"/>
      <c r="O12" s="217">
        <v>2500</v>
      </c>
      <c r="P12" s="218"/>
      <c r="Q12" s="294">
        <f t="shared" si="0"/>
        <v>2500</v>
      </c>
      <c r="R12" s="220" t="s">
        <v>240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155</v>
      </c>
      <c r="G13" s="194">
        <v>34</v>
      </c>
      <c r="H13" s="213">
        <v>26570</v>
      </c>
      <c r="I13" s="211">
        <v>25</v>
      </c>
      <c r="J13" s="5">
        <v>17</v>
      </c>
      <c r="K13" s="213">
        <v>9421</v>
      </c>
      <c r="L13" s="211">
        <v>75</v>
      </c>
      <c r="M13" s="5">
        <v>51</v>
      </c>
      <c r="N13" s="216">
        <v>29417</v>
      </c>
      <c r="O13" s="217"/>
      <c r="P13" s="219"/>
      <c r="Q13" s="294">
        <f t="shared" si="0"/>
        <v>0</v>
      </c>
      <c r="R13" s="220" t="s">
        <v>227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75</v>
      </c>
      <c r="G14" s="194">
        <v>17</v>
      </c>
      <c r="H14" s="213">
        <v>10255</v>
      </c>
      <c r="I14" s="211">
        <v>14</v>
      </c>
      <c r="J14" s="5">
        <v>17</v>
      </c>
      <c r="K14" s="213">
        <v>9140</v>
      </c>
      <c r="L14" s="211">
        <v>115</v>
      </c>
      <c r="M14" s="5">
        <v>68</v>
      </c>
      <c r="N14" s="216">
        <v>74770</v>
      </c>
      <c r="O14" s="217">
        <v>9930</v>
      </c>
      <c r="P14" s="219"/>
      <c r="Q14" s="294">
        <f t="shared" si="0"/>
        <v>9930</v>
      </c>
      <c r="R14" s="220" t="s">
        <v>233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79</v>
      </c>
      <c r="G15" s="194"/>
      <c r="H15" s="213">
        <v>6946</v>
      </c>
      <c r="I15" s="211">
        <v>13</v>
      </c>
      <c r="J15" s="5"/>
      <c r="K15" s="213">
        <v>1933</v>
      </c>
      <c r="L15" s="211">
        <v>47</v>
      </c>
      <c r="M15" s="5"/>
      <c r="N15" s="216">
        <v>1917</v>
      </c>
      <c r="O15" s="217">
        <v>808</v>
      </c>
      <c r="P15" s="219"/>
      <c r="Q15" s="294">
        <f t="shared" si="0"/>
        <v>808</v>
      </c>
      <c r="R15" s="220" t="s">
        <v>229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54</v>
      </c>
      <c r="G16" s="194"/>
      <c r="H16" s="213">
        <v>4320</v>
      </c>
      <c r="I16" s="211">
        <v>12</v>
      </c>
      <c r="J16" s="5"/>
      <c r="K16" s="213">
        <v>2579</v>
      </c>
      <c r="L16" s="214"/>
      <c r="M16" s="192"/>
      <c r="N16" s="215"/>
      <c r="O16" s="217">
        <v>674</v>
      </c>
      <c r="P16" s="218"/>
      <c r="Q16" s="294">
        <f t="shared" si="0"/>
        <v>674</v>
      </c>
      <c r="R16" s="220" t="s">
        <v>228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71</v>
      </c>
      <c r="G17" s="194"/>
      <c r="H17" s="213">
        <v>3606</v>
      </c>
      <c r="I17" s="211">
        <v>14</v>
      </c>
      <c r="J17" s="5"/>
      <c r="K17" s="213">
        <v>731</v>
      </c>
      <c r="L17" s="211">
        <v>137</v>
      </c>
      <c r="M17" s="5"/>
      <c r="N17" s="216">
        <v>6680</v>
      </c>
      <c r="O17" s="217">
        <v>1220</v>
      </c>
      <c r="P17" s="219"/>
      <c r="Q17" s="294">
        <f t="shared" si="0"/>
        <v>1220</v>
      </c>
      <c r="R17" s="220" t="s">
        <v>224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78</v>
      </c>
      <c r="G18" s="194"/>
      <c r="H18" s="213">
        <v>8845</v>
      </c>
      <c r="I18" s="211">
        <v>28</v>
      </c>
      <c r="J18" s="5"/>
      <c r="K18" s="213">
        <v>2066</v>
      </c>
      <c r="L18" s="211">
        <v>135</v>
      </c>
      <c r="M18" s="5">
        <v>51</v>
      </c>
      <c r="N18" s="216">
        <v>25788</v>
      </c>
      <c r="O18" s="217">
        <v>731</v>
      </c>
      <c r="P18" s="219">
        <v>1989</v>
      </c>
      <c r="Q18" s="294">
        <f t="shared" si="0"/>
        <v>2720</v>
      </c>
      <c r="R18" s="220" t="s">
        <v>220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68</v>
      </c>
      <c r="G19" s="194"/>
      <c r="H19" s="213">
        <v>7154</v>
      </c>
      <c r="I19" s="211">
        <v>15.5</v>
      </c>
      <c r="J19" s="5"/>
      <c r="K19" s="213">
        <v>1305</v>
      </c>
      <c r="L19" s="214"/>
      <c r="M19" s="192"/>
      <c r="N19" s="215"/>
      <c r="O19" s="217">
        <v>650</v>
      </c>
      <c r="P19" s="218"/>
      <c r="Q19" s="294">
        <f t="shared" si="0"/>
        <v>650</v>
      </c>
      <c r="R19" s="220" t="s">
        <v>219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29</v>
      </c>
      <c r="D20" s="5"/>
      <c r="E20" s="213">
        <v>211</v>
      </c>
      <c r="F20" s="211">
        <v>52</v>
      </c>
      <c r="G20" s="194"/>
      <c r="H20" s="213">
        <v>964</v>
      </c>
      <c r="I20" s="214"/>
      <c r="J20" s="192"/>
      <c r="K20" s="212"/>
      <c r="L20" s="211">
        <v>97</v>
      </c>
      <c r="M20" s="5"/>
      <c r="N20" s="216">
        <v>8205</v>
      </c>
      <c r="O20" s="217">
        <v>107</v>
      </c>
      <c r="P20" s="219">
        <v>633</v>
      </c>
      <c r="Q20" s="294">
        <f t="shared" si="0"/>
        <v>740</v>
      </c>
      <c r="R20" s="220" t="s">
        <v>222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51</v>
      </c>
      <c r="G21" s="194"/>
      <c r="H21" s="213">
        <v>1306</v>
      </c>
      <c r="I21" s="214"/>
      <c r="J21" s="192"/>
      <c r="K21" s="212"/>
      <c r="L21" s="211">
        <v>101</v>
      </c>
      <c r="M21" s="5"/>
      <c r="N21" s="216">
        <v>6470</v>
      </c>
      <c r="O21" s="217">
        <v>107</v>
      </c>
      <c r="P21" s="219">
        <v>373</v>
      </c>
      <c r="Q21" s="294">
        <f t="shared" si="0"/>
        <v>480</v>
      </c>
      <c r="R21" s="220" t="s">
        <v>242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69</v>
      </c>
      <c r="G22" s="194">
        <v>17</v>
      </c>
      <c r="H22" s="213">
        <v>16861</v>
      </c>
      <c r="I22" s="211">
        <v>13.5</v>
      </c>
      <c r="J22" s="5">
        <v>17</v>
      </c>
      <c r="K22" s="213">
        <v>2572</v>
      </c>
      <c r="L22" s="211">
        <v>157</v>
      </c>
      <c r="M22" s="5">
        <v>68</v>
      </c>
      <c r="N22" s="216">
        <v>71767</v>
      </c>
      <c r="O22" s="217">
        <v>1850</v>
      </c>
      <c r="P22" s="219">
        <v>5500</v>
      </c>
      <c r="Q22" s="294">
        <f t="shared" si="0"/>
        <v>7350</v>
      </c>
      <c r="R22" s="220" t="s">
        <v>232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65</v>
      </c>
      <c r="G23" s="194">
        <v>34</v>
      </c>
      <c r="H23" s="213">
        <v>13810</v>
      </c>
      <c r="I23" s="211">
        <v>18</v>
      </c>
      <c r="J23" s="5"/>
      <c r="K23" s="213">
        <v>2629</v>
      </c>
      <c r="L23" s="211">
        <v>129</v>
      </c>
      <c r="M23" s="5">
        <v>68</v>
      </c>
      <c r="N23" s="216">
        <v>52187</v>
      </c>
      <c r="O23" s="217">
        <v>1425</v>
      </c>
      <c r="P23" s="219">
        <v>3960</v>
      </c>
      <c r="Q23" s="294">
        <f t="shared" si="0"/>
        <v>5385</v>
      </c>
      <c r="R23" s="220" t="s">
        <v>220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/>
      <c r="G24" s="194"/>
      <c r="H24" s="213">
        <v>12700</v>
      </c>
      <c r="I24" s="211"/>
      <c r="J24" s="5"/>
      <c r="K24" s="213">
        <v>1898</v>
      </c>
      <c r="L24" s="211"/>
      <c r="M24" s="5"/>
      <c r="N24" s="216">
        <v>22453</v>
      </c>
      <c r="O24" s="217">
        <v>1185</v>
      </c>
      <c r="P24" s="219">
        <v>1687</v>
      </c>
      <c r="Q24" s="294">
        <f t="shared" si="0"/>
        <v>2872</v>
      </c>
      <c r="R24" s="220"/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78</v>
      </c>
      <c r="G25" s="194"/>
      <c r="H25" s="213">
        <v>7717</v>
      </c>
      <c r="I25" s="211">
        <v>14</v>
      </c>
      <c r="J25" s="5"/>
      <c r="K25" s="213">
        <v>1807</v>
      </c>
      <c r="L25" s="211">
        <v>133</v>
      </c>
      <c r="M25" s="5"/>
      <c r="N25" s="216">
        <v>24374</v>
      </c>
      <c r="O25" s="217">
        <v>900</v>
      </c>
      <c r="P25" s="219">
        <v>1965</v>
      </c>
      <c r="Q25" s="294">
        <f t="shared" si="0"/>
        <v>2865</v>
      </c>
      <c r="R25" s="220" t="s">
        <v>226</v>
      </c>
    </row>
    <row r="26" spans="1:20" ht="16.5" thickBot="1" x14ac:dyDescent="0.3">
      <c r="A26" s="299">
        <v>22</v>
      </c>
      <c r="B26" s="297" t="s">
        <v>112</v>
      </c>
      <c r="C26" s="197">
        <v>68</v>
      </c>
      <c r="D26" s="194">
        <v>17</v>
      </c>
      <c r="E26" s="213">
        <v>3992</v>
      </c>
      <c r="F26" s="211">
        <v>32</v>
      </c>
      <c r="G26" s="194"/>
      <c r="H26" s="213">
        <v>7517</v>
      </c>
      <c r="I26" s="211">
        <v>38</v>
      </c>
      <c r="J26" s="5"/>
      <c r="K26" s="213">
        <v>1740</v>
      </c>
      <c r="L26" s="211">
        <v>148</v>
      </c>
      <c r="M26" s="5">
        <v>34</v>
      </c>
      <c r="N26" s="216">
        <v>16989</v>
      </c>
      <c r="O26" s="217">
        <v>1100</v>
      </c>
      <c r="P26" s="219"/>
      <c r="Q26" s="294">
        <f t="shared" si="0"/>
        <v>1100</v>
      </c>
      <c r="R26" s="220" t="s">
        <v>234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122</v>
      </c>
      <c r="G27" s="194"/>
      <c r="H27" s="213">
        <v>7705</v>
      </c>
      <c r="I27" s="211">
        <v>34</v>
      </c>
      <c r="J27" s="5"/>
      <c r="K27" s="213">
        <v>1744</v>
      </c>
      <c r="L27" s="214"/>
      <c r="M27" s="192"/>
      <c r="N27" s="215"/>
      <c r="O27" s="217">
        <v>229</v>
      </c>
      <c r="P27" s="218"/>
      <c r="Q27" s="294">
        <f t="shared" ref="Q27:Q30" si="1">P27+O27</f>
        <v>229</v>
      </c>
      <c r="R27" s="220" t="s">
        <v>225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173</v>
      </c>
      <c r="G28" s="194"/>
      <c r="H28" s="213">
        <v>27195</v>
      </c>
      <c r="I28" s="211">
        <v>72</v>
      </c>
      <c r="J28" s="5"/>
      <c r="K28" s="213">
        <v>9485</v>
      </c>
      <c r="L28" s="214"/>
      <c r="M28" s="192"/>
      <c r="N28" s="215"/>
      <c r="O28" s="217">
        <v>1200</v>
      </c>
      <c r="P28" s="218"/>
      <c r="Q28" s="294">
        <f t="shared" si="1"/>
        <v>1200</v>
      </c>
      <c r="R28" s="220" t="s">
        <v>231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133</v>
      </c>
      <c r="G29" s="194">
        <v>34</v>
      </c>
      <c r="H29" s="213">
        <v>34978</v>
      </c>
      <c r="I29" s="211">
        <v>63</v>
      </c>
      <c r="J29" s="5">
        <v>17</v>
      </c>
      <c r="K29" s="213">
        <v>12216</v>
      </c>
      <c r="L29" s="214"/>
      <c r="M29" s="192"/>
      <c r="N29" s="215"/>
      <c r="O29" s="217">
        <v>3890</v>
      </c>
      <c r="P29" s="218"/>
      <c r="Q29" s="294">
        <f t="shared" si="1"/>
        <v>3890</v>
      </c>
      <c r="R29" s="220" t="s">
        <v>235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161</v>
      </c>
      <c r="G30" s="194">
        <v>51</v>
      </c>
      <c r="H30" s="213">
        <v>39917</v>
      </c>
      <c r="I30" s="211">
        <v>67</v>
      </c>
      <c r="J30" s="5"/>
      <c r="K30" s="213">
        <v>11363</v>
      </c>
      <c r="L30" s="214"/>
      <c r="M30" s="192"/>
      <c r="N30" s="215"/>
      <c r="O30" s="217">
        <v>624</v>
      </c>
      <c r="P30" s="218"/>
      <c r="Q30" s="294">
        <f t="shared" si="1"/>
        <v>624</v>
      </c>
      <c r="R30" s="220" t="s">
        <v>230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145</v>
      </c>
      <c r="G31" s="194">
        <v>68</v>
      </c>
      <c r="H31" s="213">
        <v>63587</v>
      </c>
      <c r="I31" s="211">
        <v>84</v>
      </c>
      <c r="J31" s="5">
        <v>17</v>
      </c>
      <c r="K31" s="213">
        <v>15953</v>
      </c>
      <c r="L31" s="214"/>
      <c r="M31" s="192"/>
      <c r="N31" s="215"/>
      <c r="O31" s="217">
        <v>3520</v>
      </c>
      <c r="P31" s="218"/>
      <c r="Q31" s="294">
        <f t="shared" ref="Q31:Q35" si="2">P31+O31</f>
        <v>3520</v>
      </c>
      <c r="R31" s="220" t="s">
        <v>239</v>
      </c>
    </row>
    <row r="32" spans="1:20" ht="16.5" thickBot="1" x14ac:dyDescent="0.3">
      <c r="A32" s="359">
        <v>28</v>
      </c>
      <c r="B32" s="332" t="s">
        <v>196</v>
      </c>
      <c r="C32" s="211">
        <v>52</v>
      </c>
      <c r="D32" s="194">
        <v>34</v>
      </c>
      <c r="E32" s="213">
        <v>19000</v>
      </c>
      <c r="F32" s="211">
        <v>50</v>
      </c>
      <c r="G32" s="194">
        <v>34</v>
      </c>
      <c r="H32" s="213">
        <v>19000</v>
      </c>
      <c r="I32" s="211">
        <v>83</v>
      </c>
      <c r="J32" s="5"/>
      <c r="K32" s="213">
        <v>1800</v>
      </c>
      <c r="L32" s="214"/>
      <c r="M32" s="192"/>
      <c r="N32" s="215"/>
      <c r="O32" s="217">
        <v>4180</v>
      </c>
      <c r="P32" s="218"/>
      <c r="Q32" s="294">
        <f t="shared" si="2"/>
        <v>4180</v>
      </c>
      <c r="R32" s="220" t="s">
        <v>238</v>
      </c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SUM(D5:D35)</f>
        <v>102</v>
      </c>
      <c r="G39" s="193">
        <f>SUM(G5:G35)</f>
        <v>510</v>
      </c>
      <c r="J39" s="193">
        <f>SUM(J5:J35)</f>
        <v>119</v>
      </c>
      <c r="M39" s="193">
        <f>SUM(M5:M35)</f>
        <v>391</v>
      </c>
    </row>
  </sheetData>
  <sheetProtection selectLockedCells="1"/>
  <customSheetViews>
    <customSheetView guid="{18C0F7AC-4BB1-46DE-8A01-8E31FE0585FC}" scale="85" fitToPage="1" topLeftCell="A7">
      <selection activeCell="K32" sqref="K3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4" zoomScale="73" zoomScaleNormal="70" zoomScaleSheetLayoutView="73" workbookViewId="0">
      <selection activeCell="H17" sqref="H17"/>
    </sheetView>
  </sheetViews>
  <sheetFormatPr defaultColWidth="9" defaultRowHeight="14.25" x14ac:dyDescent="0.2"/>
  <cols>
    <col min="1" max="1" width="4.375" style="348" customWidth="1"/>
    <col min="2" max="2" width="5.125" style="348" customWidth="1"/>
    <col min="3" max="3" width="39.125" style="348" customWidth="1"/>
    <col min="4" max="5" width="12.375" style="348" customWidth="1"/>
    <col min="6" max="6" width="11.375" style="348" customWidth="1"/>
    <col min="7" max="7" width="11.625" style="348" customWidth="1"/>
    <col min="8" max="8" width="20.375" style="348" customWidth="1"/>
    <col min="9" max="9" width="9.37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5" t="s">
        <v>193</v>
      </c>
      <c r="C7" s="465"/>
      <c r="D7" s="465"/>
      <c r="E7" s="465"/>
      <c r="F7" s="465"/>
      <c r="G7" s="465"/>
      <c r="H7" s="465"/>
      <c r="I7" s="345"/>
      <c r="J7" s="345"/>
    </row>
    <row r="8" spans="2:10" ht="17.25" thickTop="1" thickBot="1" x14ac:dyDescent="0.25">
      <c r="B8" s="466" t="s">
        <v>14</v>
      </c>
      <c r="C8" s="459" t="s">
        <v>180</v>
      </c>
      <c r="D8" s="468" t="s">
        <v>181</v>
      </c>
      <c r="E8" s="469"/>
      <c r="F8" s="470"/>
      <c r="G8" s="459" t="s">
        <v>182</v>
      </c>
      <c r="H8" s="461" t="s">
        <v>183</v>
      </c>
      <c r="I8" s="347"/>
      <c r="J8" s="347"/>
    </row>
    <row r="9" spans="2:10" ht="16.5" thickBot="1" x14ac:dyDescent="0.25">
      <c r="B9" s="467"/>
      <c r="C9" s="460"/>
      <c r="D9" s="340">
        <v>80</v>
      </c>
      <c r="E9" s="340">
        <v>92</v>
      </c>
      <c r="F9" s="340">
        <v>95</v>
      </c>
      <c r="G9" s="460"/>
      <c r="H9" s="462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27195</v>
      </c>
      <c r="F10" s="350">
        <f>'أخذ التمام الصباحي'!$K$28</f>
        <v>9485</v>
      </c>
      <c r="G10" s="342"/>
      <c r="H10" s="343">
        <f>SUM(D10:G10)</f>
        <v>36680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34978</v>
      </c>
      <c r="F11" s="350">
        <f>'أخذ التمام الصباحي'!$K$29</f>
        <v>12216</v>
      </c>
      <c r="G11" s="342"/>
      <c r="H11" s="343">
        <f t="shared" ref="H11" si="0">SUM(D11:G11)</f>
        <v>47194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39917</v>
      </c>
      <c r="F12" s="350">
        <f>'أخذ التمام الصباحي'!$K$30</f>
        <v>11363</v>
      </c>
      <c r="G12" s="342"/>
      <c r="H12" s="343">
        <f>SUM(D12:G12)</f>
        <v>51280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63587</v>
      </c>
      <c r="F13" s="350">
        <f>'أخذ التمام الصباحي'!$K$31</f>
        <v>15953</v>
      </c>
      <c r="G13" s="342"/>
      <c r="H13" s="343">
        <f>SUM(D13:G13)</f>
        <v>79540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27025</v>
      </c>
      <c r="F14" s="350">
        <f>'أخذ التمام الصباحي'!$K$6</f>
        <v>9582</v>
      </c>
      <c r="G14" s="342"/>
      <c r="H14" s="343">
        <f>SUM(D14:G14)</f>
        <v>36607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41087</v>
      </c>
      <c r="E15" s="350">
        <f>'أخذ التمام الصباحي'!$H$7</f>
        <v>20714</v>
      </c>
      <c r="F15" s="350">
        <f>'أخذ التمام الصباحي'!$K$7</f>
        <v>3190</v>
      </c>
      <c r="G15" s="342"/>
      <c r="H15" s="343">
        <f t="shared" ref="H15:H17" si="1">SUM(D15:G15)</f>
        <v>64991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3992</v>
      </c>
      <c r="E16" s="350">
        <f>'أخذ التمام الصباحي'!$H$26</f>
        <v>7517</v>
      </c>
      <c r="F16" s="350">
        <f>'أخذ التمام الصباحي'!$K$26</f>
        <v>1740</v>
      </c>
      <c r="G16" s="350">
        <f>'أخذ التمام الصباحي'!$N$26</f>
        <v>16989</v>
      </c>
      <c r="H16" s="343">
        <f t="shared" si="1"/>
        <v>30238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7705</v>
      </c>
      <c r="F17" s="350">
        <f>'أخذ التمام الصباحي'!$K$27</f>
        <v>1744</v>
      </c>
      <c r="G17" s="342"/>
      <c r="H17" s="343">
        <f t="shared" si="1"/>
        <v>9449</v>
      </c>
    </row>
    <row r="18" spans="2:8" ht="54.95" customHeight="1" thickTop="1" thickBot="1" x14ac:dyDescent="0.25">
      <c r="B18" s="463" t="s">
        <v>192</v>
      </c>
      <c r="C18" s="464"/>
      <c r="D18" s="351">
        <f t="shared" ref="D18:G18" si="2">SUM(D10:D17)</f>
        <v>45079</v>
      </c>
      <c r="E18" s="351">
        <f t="shared" si="2"/>
        <v>228638</v>
      </c>
      <c r="F18" s="351">
        <f t="shared" si="2"/>
        <v>65273</v>
      </c>
      <c r="G18" s="351">
        <f t="shared" si="2"/>
        <v>16989</v>
      </c>
      <c r="H18" s="351">
        <f>SUM(H10:H17)</f>
        <v>355979</v>
      </c>
    </row>
    <row r="19" spans="2:8" ht="15" thickTop="1" x14ac:dyDescent="0.2"/>
  </sheetData>
  <customSheetViews>
    <customSheetView guid="{18C0F7AC-4BB1-46DE-8A01-8E31FE0585FC}" scale="73" showPageBreaks="1" view="pageBreakPreview" topLeftCell="A4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  <customSheetView guid="{8317B6D8-8A99-4EB0-9DBC-8E9AE0170A4B}" scale="73" showPageBreaks="1" view="pageBreakPreview" topLeftCell="A4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2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6"/>
  <sheetViews>
    <sheetView rightToLeft="1" zoomScaleNormal="100" workbookViewId="0">
      <selection activeCell="I24" sqref="I24"/>
    </sheetView>
  </sheetViews>
  <sheetFormatPr defaultRowHeight="14.25" x14ac:dyDescent="0.2"/>
  <cols>
    <col min="2" max="2" width="3.375" customWidth="1"/>
    <col min="3" max="3" width="25.625" customWidth="1"/>
    <col min="4" max="4" width="19.75" customWidth="1"/>
    <col min="5" max="5" width="9.375" customWidth="1"/>
    <col min="6" max="6" width="12.125" customWidth="1"/>
    <col min="7" max="8" width="9.375" customWidth="1"/>
    <col min="9" max="9" width="14.625" customWidth="1"/>
    <col min="10" max="11" width="13.375" customWidth="1"/>
  </cols>
  <sheetData>
    <row r="6" spans="2:12" x14ac:dyDescent="0.2">
      <c r="B6" s="474" t="s">
        <v>244</v>
      </c>
      <c r="C6" s="474"/>
      <c r="D6" s="474"/>
      <c r="E6" s="474"/>
      <c r="F6" s="474"/>
      <c r="G6" s="474"/>
      <c r="H6" s="474"/>
      <c r="I6" s="474"/>
      <c r="J6" s="474"/>
      <c r="K6" s="474"/>
    </row>
    <row r="7" spans="2:12" ht="15.75" x14ac:dyDescent="0.25"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5" t="s">
        <v>14</v>
      </c>
      <c r="C11" s="477" t="s">
        <v>3</v>
      </c>
      <c r="D11" s="477" t="s">
        <v>201</v>
      </c>
      <c r="E11" s="479" t="s">
        <v>202</v>
      </c>
      <c r="F11" s="480"/>
      <c r="G11" s="480"/>
      <c r="H11" s="481" t="s">
        <v>50</v>
      </c>
      <c r="I11" s="483" t="s">
        <v>183</v>
      </c>
      <c r="J11" s="479" t="s">
        <v>205</v>
      </c>
      <c r="K11" s="485"/>
    </row>
    <row r="12" spans="2:12" ht="15.75" customHeight="1" thickBot="1" x14ac:dyDescent="0.25">
      <c r="B12" s="476"/>
      <c r="C12" s="478"/>
      <c r="D12" s="478"/>
      <c r="E12" s="368">
        <v>80</v>
      </c>
      <c r="F12" s="368">
        <v>92</v>
      </c>
      <c r="G12" s="369">
        <v>95</v>
      </c>
      <c r="H12" s="482"/>
      <c r="I12" s="484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86" t="s">
        <v>206</v>
      </c>
      <c r="E13" s="371" t="s">
        <v>207</v>
      </c>
      <c r="F13" s="371">
        <f>'تمام محطات الوكلاء'!E14</f>
        <v>27025</v>
      </c>
      <c r="G13" s="371">
        <f>'تمام محطات الوكلاء'!F14</f>
        <v>9582</v>
      </c>
      <c r="H13" s="371" t="s">
        <v>207</v>
      </c>
      <c r="I13" s="374">
        <f>SUM(E13:H13)</f>
        <v>36607</v>
      </c>
      <c r="J13" s="372">
        <f>F13*0.2525+G13*0.355</f>
        <v>10225.422500000001</v>
      </c>
      <c r="K13" s="372">
        <f>F13*0.09+G13*0.125</f>
        <v>3630</v>
      </c>
    </row>
    <row r="14" spans="2:12" ht="18.75" thickBot="1" x14ac:dyDescent="0.25">
      <c r="B14" s="370">
        <v>2</v>
      </c>
      <c r="C14" s="342" t="s">
        <v>112</v>
      </c>
      <c r="D14" s="487"/>
      <c r="E14" s="373">
        <f>'تمام محطات الوكلاء'!D16</f>
        <v>3992</v>
      </c>
      <c r="F14" s="371">
        <f>'تمام محطات الوكلاء'!E16</f>
        <v>7517</v>
      </c>
      <c r="G14" s="371">
        <f>'تمام محطات الوكلاء'!F16</f>
        <v>1740</v>
      </c>
      <c r="H14" s="371">
        <f>'تمام محطات الوكلاء'!G16</f>
        <v>16989</v>
      </c>
      <c r="I14" s="374">
        <f t="shared" ref="I14:I24" si="0">SUM(E14:H14)</f>
        <v>30238</v>
      </c>
      <c r="J14" s="372">
        <f>E14*0.2105+F14*0.2525+H14*0.195+G14*0.355</f>
        <v>6668.9134999999997</v>
      </c>
      <c r="K14" s="372">
        <f>E14*0.0695+F14*0.09+G14*0.125+H14*0.07</f>
        <v>2360.7039999999997</v>
      </c>
    </row>
    <row r="15" spans="2:12" ht="18.75" thickBot="1" x14ac:dyDescent="0.25">
      <c r="B15" s="370">
        <v>3</v>
      </c>
      <c r="C15" s="342" t="s">
        <v>158</v>
      </c>
      <c r="D15" s="488"/>
      <c r="E15" s="373">
        <f>'تمام محطات الوكلاء'!D15</f>
        <v>41087</v>
      </c>
      <c r="F15" s="373">
        <f>'تمام محطات الوكلاء'!E15</f>
        <v>20714</v>
      </c>
      <c r="G15" s="373">
        <f>'تمام محطات الوكلاء'!F15</f>
        <v>3190</v>
      </c>
      <c r="H15" s="371" t="s">
        <v>207</v>
      </c>
      <c r="I15" s="374">
        <f t="shared" si="0"/>
        <v>64991</v>
      </c>
      <c r="J15" s="372">
        <f>E15*0.2105+F15*0.2525+G15*0.355</f>
        <v>15011.548500000001</v>
      </c>
      <c r="K15" s="372">
        <f>E15*0.0695+F15*0.09+G15*0.125</f>
        <v>5118.5565000000006</v>
      </c>
    </row>
    <row r="16" spans="2:12" ht="21" thickBot="1" x14ac:dyDescent="0.25">
      <c r="B16" s="489" t="s">
        <v>208</v>
      </c>
      <c r="C16" s="490"/>
      <c r="D16" s="491"/>
      <c r="E16" s="375">
        <f>SUM(E13:E15)</f>
        <v>45079</v>
      </c>
      <c r="F16" s="375">
        <f t="shared" ref="F16:K16" si="1">SUM(F13:F15)</f>
        <v>55256</v>
      </c>
      <c r="G16" s="375">
        <f t="shared" si="1"/>
        <v>14512</v>
      </c>
      <c r="H16" s="375">
        <f t="shared" si="1"/>
        <v>16989</v>
      </c>
      <c r="I16" s="376">
        <f t="shared" si="1"/>
        <v>131836</v>
      </c>
      <c r="J16" s="375">
        <f t="shared" si="1"/>
        <v>31905.8845</v>
      </c>
      <c r="K16" s="377">
        <f t="shared" si="1"/>
        <v>11109.2605</v>
      </c>
    </row>
    <row r="17" spans="2:11" ht="18.75" thickBot="1" x14ac:dyDescent="0.25">
      <c r="B17" s="370">
        <v>4</v>
      </c>
      <c r="C17" s="342" t="s">
        <v>121</v>
      </c>
      <c r="D17" s="492" t="s">
        <v>209</v>
      </c>
      <c r="E17" s="371" t="s">
        <v>207</v>
      </c>
      <c r="F17" s="371">
        <f>'تمام محطات الوكلاء'!E17</f>
        <v>7705</v>
      </c>
      <c r="G17" s="371">
        <f>'تمام محطات الوكلاء'!F17</f>
        <v>1744</v>
      </c>
      <c r="H17" s="371" t="s">
        <v>207</v>
      </c>
      <c r="I17" s="374">
        <f t="shared" si="0"/>
        <v>9449</v>
      </c>
      <c r="J17" s="372">
        <f>F17*0.2525+G17*0.355</f>
        <v>2564.6325000000002</v>
      </c>
      <c r="K17" s="372">
        <f>F17*0.09+G17*0.125</f>
        <v>911.44999999999993</v>
      </c>
    </row>
    <row r="18" spans="2:11" ht="18.75" thickBot="1" x14ac:dyDescent="0.25">
      <c r="B18" s="370">
        <v>5</v>
      </c>
      <c r="C18" s="344" t="s">
        <v>210</v>
      </c>
      <c r="D18" s="493"/>
      <c r="E18" s="371" t="s">
        <v>207</v>
      </c>
      <c r="F18" s="371">
        <f>'تمام محطات الوكلاء'!E12</f>
        <v>39917</v>
      </c>
      <c r="G18" s="371">
        <f>'تمام محطات الوكلاء'!F12</f>
        <v>11363</v>
      </c>
      <c r="H18" s="371" t="s">
        <v>207</v>
      </c>
      <c r="I18" s="374">
        <f t="shared" si="0"/>
        <v>51280</v>
      </c>
      <c r="J18" s="372">
        <f>F18*0.2525+G18*0.355</f>
        <v>14112.907499999999</v>
      </c>
      <c r="K18" s="372">
        <f>F18*0.09+G18*0.125</f>
        <v>5012.9049999999997</v>
      </c>
    </row>
    <row r="19" spans="2:11" ht="35.25" customHeight="1" thickBot="1" x14ac:dyDescent="0.25">
      <c r="B19" s="370">
        <v>6</v>
      </c>
      <c r="C19" s="342" t="s">
        <v>211</v>
      </c>
      <c r="D19" s="494"/>
      <c r="E19" s="371" t="s">
        <v>207</v>
      </c>
      <c r="F19" s="371">
        <f>'تمام محطات الوكلاء'!E10</f>
        <v>27195</v>
      </c>
      <c r="G19" s="371">
        <f>'تمام محطات الوكلاء'!F10</f>
        <v>9485</v>
      </c>
      <c r="H19" s="371" t="s">
        <v>207</v>
      </c>
      <c r="I19" s="374">
        <f t="shared" si="0"/>
        <v>36680</v>
      </c>
      <c r="J19" s="372">
        <f>F19*0.2525+G19*0.355</f>
        <v>10233.9125</v>
      </c>
      <c r="K19" s="372">
        <f>F19*0.09+G19*0.125</f>
        <v>3633.1749999999997</v>
      </c>
    </row>
    <row r="20" spans="2:11" ht="21" thickBot="1" x14ac:dyDescent="0.25">
      <c r="B20" s="495" t="s">
        <v>212</v>
      </c>
      <c r="C20" s="496"/>
      <c r="D20" s="497"/>
      <c r="E20" s="378"/>
      <c r="F20" s="379">
        <f t="shared" ref="F20:K20" si="2">SUM(F17:F19)</f>
        <v>74817</v>
      </c>
      <c r="G20" s="379">
        <f t="shared" si="2"/>
        <v>22592</v>
      </c>
      <c r="H20" s="379"/>
      <c r="I20" s="380">
        <f t="shared" si="2"/>
        <v>97409</v>
      </c>
      <c r="J20" s="379">
        <f t="shared" si="2"/>
        <v>26911.452499999999</v>
      </c>
      <c r="K20" s="379">
        <f t="shared" si="2"/>
        <v>9557.5299999999988</v>
      </c>
    </row>
    <row r="21" spans="2:11" ht="18.75" thickBot="1" x14ac:dyDescent="0.25">
      <c r="B21" s="370">
        <v>7</v>
      </c>
      <c r="C21" s="342" t="s">
        <v>213</v>
      </c>
      <c r="D21" s="492" t="s">
        <v>214</v>
      </c>
      <c r="E21" s="371" t="s">
        <v>207</v>
      </c>
      <c r="F21" s="371">
        <f>'تمام محطات الوكلاء'!E13</f>
        <v>63587</v>
      </c>
      <c r="G21" s="371">
        <f>'تمام محطات الوكلاء'!F13</f>
        <v>15953</v>
      </c>
      <c r="H21" s="371" t="s">
        <v>207</v>
      </c>
      <c r="I21" s="374">
        <f t="shared" si="0"/>
        <v>79540</v>
      </c>
      <c r="J21" s="372">
        <f>F21*0.2525+G21*0.355</f>
        <v>21719.032500000001</v>
      </c>
      <c r="K21" s="372">
        <f>F21*0.09+G21*0.125</f>
        <v>7716.9549999999999</v>
      </c>
    </row>
    <row r="22" spans="2:11" ht="18.75" thickBot="1" x14ac:dyDescent="0.25">
      <c r="B22" s="370">
        <v>8</v>
      </c>
      <c r="C22" s="342" t="s">
        <v>215</v>
      </c>
      <c r="D22" s="493"/>
      <c r="E22" s="371" t="s">
        <v>207</v>
      </c>
      <c r="F22" s="371">
        <f>'تمام محطات الوكلاء'!E11</f>
        <v>34978</v>
      </c>
      <c r="G22" s="371">
        <f>'تمام محطات الوكلاء'!F11</f>
        <v>12216</v>
      </c>
      <c r="H22" s="371" t="s">
        <v>207</v>
      </c>
      <c r="I22" s="374">
        <f t="shared" si="0"/>
        <v>47194</v>
      </c>
      <c r="J22" s="372">
        <f>F22*0.2525+G22*0.355</f>
        <v>13168.625</v>
      </c>
      <c r="K22" s="372">
        <f>F22*0.09+G22*0.125</f>
        <v>4675.0200000000004</v>
      </c>
    </row>
    <row r="23" spans="2:11" ht="21" thickBot="1" x14ac:dyDescent="0.25">
      <c r="B23" s="471" t="s">
        <v>216</v>
      </c>
      <c r="C23" s="472"/>
      <c r="D23" s="473"/>
      <c r="E23" s="381"/>
      <c r="F23" s="381">
        <f t="shared" ref="F23:K23" si="3">SUM(F21:F22)</f>
        <v>98565</v>
      </c>
      <c r="G23" s="381">
        <f t="shared" si="3"/>
        <v>28169</v>
      </c>
      <c r="H23" s="381"/>
      <c r="I23" s="382">
        <f t="shared" si="3"/>
        <v>126734</v>
      </c>
      <c r="J23" s="381">
        <f t="shared" si="3"/>
        <v>34887.657500000001</v>
      </c>
      <c r="K23" s="383">
        <f t="shared" si="3"/>
        <v>12391.975</v>
      </c>
    </row>
    <row r="24" spans="2:11" ht="18.75" customHeight="1" thickBot="1" x14ac:dyDescent="0.25">
      <c r="B24" s="370">
        <v>9</v>
      </c>
      <c r="C24" s="342" t="s">
        <v>217</v>
      </c>
      <c r="D24" s="389" t="s">
        <v>218</v>
      </c>
      <c r="E24" s="387">
        <f>'أخذ التمام الصباحي'!$E$32</f>
        <v>19000</v>
      </c>
      <c r="F24" s="386">
        <f>'أخذ التمام الصباحي'!$H$32</f>
        <v>19000</v>
      </c>
      <c r="G24" s="386">
        <f>'أخذ التمام الصباحي'!$K$32</f>
        <v>1800</v>
      </c>
      <c r="H24" s="371" t="s">
        <v>207</v>
      </c>
      <c r="I24" s="374">
        <f t="shared" si="0"/>
        <v>39800</v>
      </c>
      <c r="J24" s="386">
        <f>E24*0.2105+F24*0.2525+G24*0.355</f>
        <v>9436</v>
      </c>
      <c r="K24" s="388">
        <f>E24*0.0695+F24*0.09+G24*0.125</f>
        <v>3255.5</v>
      </c>
    </row>
    <row r="25" spans="2:11" ht="14.25" customHeight="1" x14ac:dyDescent="0.2">
      <c r="B25" s="500" t="s">
        <v>204</v>
      </c>
      <c r="C25" s="500"/>
      <c r="D25" s="500"/>
      <c r="E25" s="498">
        <f t="shared" ref="E25:H25" si="4">SUM(E16,E20,E23,E24)</f>
        <v>64079</v>
      </c>
      <c r="F25" s="498">
        <f t="shared" si="4"/>
        <v>247638</v>
      </c>
      <c r="G25" s="498">
        <f t="shared" si="4"/>
        <v>67073</v>
      </c>
      <c r="H25" s="498">
        <f t="shared" si="4"/>
        <v>16989</v>
      </c>
      <c r="I25" s="498">
        <f>SUM(I16,I20,I23,I24)</f>
        <v>395779</v>
      </c>
      <c r="J25" s="498">
        <f t="shared" ref="J25:K25" si="5">SUM(J16,J20,J23,J24)</f>
        <v>103140.9945</v>
      </c>
      <c r="K25" s="498">
        <f t="shared" si="5"/>
        <v>36314.265500000001</v>
      </c>
    </row>
    <row r="26" spans="2:11" ht="15" customHeight="1" thickBot="1" x14ac:dyDescent="0.25">
      <c r="B26" s="501"/>
      <c r="C26" s="501"/>
      <c r="D26" s="501"/>
      <c r="E26" s="499"/>
      <c r="F26" s="499"/>
      <c r="G26" s="499"/>
      <c r="H26" s="499"/>
      <c r="I26" s="499"/>
      <c r="J26" s="499"/>
      <c r="K26" s="499"/>
    </row>
  </sheetData>
  <customSheetViews>
    <customSheetView guid="{18C0F7AC-4BB1-46DE-8A01-8E31FE0585FC}" hiddenRows="1">
      <selection activeCell="I24" sqref="I24"/>
      <pageMargins left="0.7" right="0.7" top="0.75" bottom="0.75" header="0.3" footer="0.3"/>
      <pageSetup paperSize="9" scale="81" orientation="landscape" r:id="rId1"/>
    </customSheetView>
    <customSheetView guid="{8317B6D8-8A99-4EB0-9DBC-8E9AE0170A4B}" scale="60" hiddenRows="1" view="pageBreakPreview">
      <selection activeCell="B10" sqref="B10"/>
      <pageMargins left="0.7" right="0.7" top="0.75" bottom="0.75" header="0.3" footer="0.3"/>
      <pageSetup paperSize="9" scale="81" orientation="landscape" r:id="rId2"/>
    </customSheetView>
  </customSheetViews>
  <mergeCells count="22">
    <mergeCell ref="J25:J26"/>
    <mergeCell ref="K25:K26"/>
    <mergeCell ref="B25:D26"/>
    <mergeCell ref="E25:E26"/>
    <mergeCell ref="F25:F26"/>
    <mergeCell ref="G25:G26"/>
    <mergeCell ref="H25:H26"/>
    <mergeCell ref="I25:I26"/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</mergeCells>
  <pageMargins left="0.7" right="0.7" top="0.75" bottom="0.75" header="0.3" footer="0.3"/>
  <pageSetup paperSize="9" scale="81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opLeftCell="A7" zoomScale="70" zoomScaleNormal="82" workbookViewId="0">
      <selection activeCell="E9" sqref="E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5.12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5" t="s">
        <v>3</v>
      </c>
      <c r="C2" s="507" t="s">
        <v>84</v>
      </c>
      <c r="D2" s="507"/>
      <c r="E2" s="507"/>
      <c r="F2" s="507"/>
      <c r="G2" s="507" t="s">
        <v>88</v>
      </c>
      <c r="H2" s="507"/>
      <c r="I2" s="507"/>
      <c r="N2" s="502" t="s">
        <v>3</v>
      </c>
      <c r="O2" s="508" t="s">
        <v>85</v>
      </c>
      <c r="P2" s="509"/>
      <c r="Q2" s="509"/>
      <c r="R2" s="509"/>
      <c r="S2" s="509"/>
      <c r="T2" s="510"/>
    </row>
    <row r="3" spans="1:23" ht="15.75" thickBot="1" x14ac:dyDescent="0.25">
      <c r="B3" s="415"/>
      <c r="C3" s="505" t="s">
        <v>82</v>
      </c>
      <c r="D3" s="505"/>
      <c r="E3" s="505"/>
      <c r="F3" s="188" t="s">
        <v>81</v>
      </c>
      <c r="G3" s="505" t="s">
        <v>81</v>
      </c>
      <c r="H3" s="505"/>
      <c r="I3" s="505"/>
      <c r="N3" s="503"/>
      <c r="O3" s="514" t="s">
        <v>87</v>
      </c>
      <c r="P3" s="515"/>
      <c r="Q3" s="516"/>
      <c r="R3" s="514" t="s">
        <v>164</v>
      </c>
      <c r="S3" s="515"/>
      <c r="T3" s="516"/>
    </row>
    <row r="4" spans="1:23" ht="15.75" thickBot="1" x14ac:dyDescent="0.25">
      <c r="A4" s="506"/>
      <c r="B4" s="415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4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6"/>
      <c r="B5" s="186" t="s">
        <v>15</v>
      </c>
      <c r="C5" s="184"/>
      <c r="D5" s="184"/>
      <c r="E5" s="161"/>
      <c r="F5" s="161"/>
      <c r="G5" s="161"/>
      <c r="H5" s="322">
        <v>34</v>
      </c>
      <c r="I5" s="322">
        <v>17</v>
      </c>
      <c r="N5" s="191" t="s">
        <v>22</v>
      </c>
      <c r="O5" s="330"/>
      <c r="P5" s="189"/>
      <c r="Q5" s="330"/>
      <c r="R5" s="189">
        <v>17</v>
      </c>
      <c r="S5" s="293">
        <v>17</v>
      </c>
      <c r="T5" s="293">
        <v>68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51</v>
      </c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34</v>
      </c>
      <c r="D9" s="184"/>
      <c r="E9" s="184">
        <v>17</v>
      </c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17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>
        <v>17</v>
      </c>
      <c r="H11" s="184">
        <v>34</v>
      </c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34</v>
      </c>
      <c r="F12" s="184"/>
      <c r="G12" s="184"/>
      <c r="H12" s="184"/>
      <c r="I12" s="161"/>
      <c r="J12" s="285"/>
      <c r="K12" s="325"/>
      <c r="L12" s="187"/>
      <c r="P12" s="502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/>
      <c r="I13" s="184"/>
      <c r="P13" s="503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>
        <v>51</v>
      </c>
      <c r="F14" s="184"/>
      <c r="G14" s="161"/>
      <c r="H14" s="184"/>
      <c r="I14" s="184"/>
      <c r="P14" s="504"/>
      <c r="Q14" s="163" t="s">
        <v>50</v>
      </c>
      <c r="S14" s="163" t="s">
        <v>93</v>
      </c>
      <c r="T14" s="162">
        <f>G22+C34</f>
        <v>85</v>
      </c>
      <c r="U14" s="162">
        <f>H22+D34</f>
        <v>272</v>
      </c>
      <c r="V14" s="162">
        <f>I22</f>
        <v>51</v>
      </c>
      <c r="W14" s="162">
        <f>F22+E34</f>
        <v>51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>
        <v>17</v>
      </c>
      <c r="I15" s="330"/>
      <c r="L15" s="227"/>
      <c r="P15" s="191" t="s">
        <v>30</v>
      </c>
      <c r="Q15" s="305"/>
      <c r="S15" s="163" t="s">
        <v>87</v>
      </c>
      <c r="T15" s="162">
        <f>H34</f>
        <v>17</v>
      </c>
      <c r="U15" s="162">
        <f>C22+O9+F34</f>
        <v>221</v>
      </c>
      <c r="V15" s="162">
        <f>D22+P9+G34</f>
        <v>51</v>
      </c>
      <c r="W15" s="162">
        <f>E22+I34+Q9</f>
        <v>272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>
        <v>68</v>
      </c>
      <c r="I16" s="330">
        <v>17</v>
      </c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17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>
        <v>34</v>
      </c>
      <c r="I18" s="330">
        <v>17</v>
      </c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390">
        <v>34</v>
      </c>
      <c r="H19" s="363">
        <v>17</v>
      </c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102</v>
      </c>
      <c r="U19" s="162">
        <f>'التمام الصباحي'!L39</f>
        <v>510</v>
      </c>
      <c r="V19" s="162">
        <f>'التمام الصباحي'!R39</f>
        <v>119</v>
      </c>
      <c r="W19" s="162">
        <f>'التمام الصباحي'!X39</f>
        <v>391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102</v>
      </c>
      <c r="U20" s="162">
        <f>C22+H22+D34+F34+O9+R9</f>
        <v>510</v>
      </c>
      <c r="V20" s="162">
        <f>D22+I22+G34+P9+S9</f>
        <v>119</v>
      </c>
      <c r="W20" s="162">
        <f>E22+F22+Q9+T9+E34+I34+Q19</f>
        <v>391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221</v>
      </c>
      <c r="D22" s="330">
        <f>SUM(D5:D21)+F44</f>
        <v>51</v>
      </c>
      <c r="E22" s="330">
        <f>SUM(E5:E18)+G44</f>
        <v>238</v>
      </c>
      <c r="F22" s="330">
        <f>SUM(F5:F18)+D44</f>
        <v>0</v>
      </c>
      <c r="G22" s="330">
        <f>SUM(G6:G19)</f>
        <v>85</v>
      </c>
      <c r="H22" s="330">
        <f>SUM(H5:H21)+B44</f>
        <v>272</v>
      </c>
      <c r="I22" s="330">
        <f>SUM(I5:I21)+C44</f>
        <v>51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2" t="s">
        <v>3</v>
      </c>
      <c r="C25" s="508" t="s">
        <v>86</v>
      </c>
      <c r="D25" s="509"/>
      <c r="E25" s="509"/>
      <c r="F25" s="509"/>
      <c r="G25" s="509"/>
      <c r="H25" s="509"/>
      <c r="I25" s="510"/>
      <c r="J25" s="300"/>
    </row>
    <row r="26" spans="1:23" ht="17.25" customHeight="1" thickBot="1" x14ac:dyDescent="0.25">
      <c r="B26" s="503"/>
      <c r="C26" s="505" t="s">
        <v>81</v>
      </c>
      <c r="D26" s="505"/>
      <c r="E26" s="505"/>
      <c r="F26" s="505" t="s">
        <v>87</v>
      </c>
      <c r="G26" s="505"/>
      <c r="H26" s="505"/>
      <c r="I26" s="505"/>
      <c r="J26" s="300"/>
    </row>
    <row r="27" spans="1:23" ht="15.75" thickBot="1" x14ac:dyDescent="0.25">
      <c r="B27" s="504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>
        <v>51</v>
      </c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>
        <v>17</v>
      </c>
      <c r="I32" s="330">
        <v>34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51</v>
      </c>
      <c r="F34" s="330">
        <f>SUM(F28:F33)+H44</f>
        <v>0</v>
      </c>
      <c r="G34" s="330">
        <f>SUM(G28:G33)+I44</f>
        <v>0</v>
      </c>
      <c r="H34" s="330">
        <f>SUM(H28:H32)+K44</f>
        <v>17</v>
      </c>
      <c r="I34" s="330">
        <f>SUM(I28:I33)+J44</f>
        <v>34</v>
      </c>
    </row>
    <row r="36" spans="1:14" ht="15" thickBot="1" x14ac:dyDescent="0.25"/>
    <row r="37" spans="1:14" ht="15.75" thickBot="1" x14ac:dyDescent="0.25">
      <c r="A37" s="502" t="s">
        <v>3</v>
      </c>
      <c r="B37" s="511" t="s">
        <v>88</v>
      </c>
      <c r="C37" s="512"/>
      <c r="D37" s="511" t="s">
        <v>84</v>
      </c>
      <c r="E37" s="513"/>
      <c r="F37" s="513"/>
      <c r="G37" s="512"/>
      <c r="H37" s="511" t="s">
        <v>86</v>
      </c>
      <c r="I37" s="513"/>
      <c r="J37" s="513"/>
      <c r="K37" s="513"/>
      <c r="L37" s="513"/>
      <c r="M37" s="513"/>
      <c r="N37" s="512"/>
    </row>
    <row r="38" spans="1:14" ht="15.75" thickBot="1" x14ac:dyDescent="0.25">
      <c r="A38" s="503"/>
      <c r="B38" s="511" t="s">
        <v>81</v>
      </c>
      <c r="C38" s="512"/>
      <c r="D38" s="329" t="s">
        <v>81</v>
      </c>
      <c r="E38" s="511" t="s">
        <v>87</v>
      </c>
      <c r="F38" s="513"/>
      <c r="G38" s="512"/>
      <c r="H38" s="511" t="s">
        <v>87</v>
      </c>
      <c r="I38" s="513"/>
      <c r="J38" s="513"/>
      <c r="K38" s="512"/>
      <c r="L38" s="511" t="s">
        <v>81</v>
      </c>
      <c r="M38" s="513"/>
      <c r="N38" s="512"/>
    </row>
    <row r="39" spans="1:14" ht="15.75" thickBot="1" x14ac:dyDescent="0.25">
      <c r="A39" s="504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>
        <v>17</v>
      </c>
      <c r="G40" s="330">
        <v>68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34</v>
      </c>
      <c r="F41" s="330"/>
      <c r="G41" s="330">
        <v>68</v>
      </c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0</v>
      </c>
      <c r="E44" s="313">
        <f t="shared" si="2"/>
        <v>51</v>
      </c>
      <c r="F44" s="313">
        <f t="shared" si="2"/>
        <v>17</v>
      </c>
      <c r="G44" s="313">
        <f t="shared" si="2"/>
        <v>136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 topLeftCell="A7">
      <selection activeCell="E9" sqref="E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0" t="s">
        <v>159</v>
      </c>
      <c r="E5" s="530"/>
      <c r="F5" s="530"/>
      <c r="G5" s="530"/>
      <c r="H5" s="530"/>
      <c r="Q5" s="531" t="s">
        <v>118</v>
      </c>
      <c r="R5" s="531"/>
      <c r="S5" s="531"/>
      <c r="T5" s="531"/>
      <c r="U5" s="531"/>
    </row>
    <row r="6" spans="4:24" ht="15.75" hidden="1" customHeight="1" thickBot="1" x14ac:dyDescent="0.25">
      <c r="D6" s="532" t="s">
        <v>3</v>
      </c>
      <c r="E6" s="258">
        <v>80</v>
      </c>
      <c r="F6" s="232">
        <v>92</v>
      </c>
      <c r="G6" s="232">
        <v>95</v>
      </c>
      <c r="H6" s="232" t="s">
        <v>50</v>
      </c>
      <c r="K6" s="403" t="s">
        <v>3</v>
      </c>
      <c r="L6" s="231">
        <v>80</v>
      </c>
      <c r="M6" s="231">
        <v>92</v>
      </c>
      <c r="N6" s="231">
        <v>95</v>
      </c>
      <c r="O6" s="231" t="s">
        <v>50</v>
      </c>
      <c r="Q6" s="403" t="s">
        <v>3</v>
      </c>
      <c r="R6" s="534" t="s">
        <v>95</v>
      </c>
      <c r="S6" s="534" t="s">
        <v>96</v>
      </c>
      <c r="T6" s="534" t="s">
        <v>97</v>
      </c>
      <c r="U6" s="536" t="s">
        <v>98</v>
      </c>
      <c r="W6" s="403" t="s">
        <v>99</v>
      </c>
      <c r="X6" s="403" t="s">
        <v>100</v>
      </c>
    </row>
    <row r="7" spans="4:24" ht="15.75" hidden="1" customHeight="1" thickBot="1" x14ac:dyDescent="0.25">
      <c r="D7" s="533"/>
      <c r="E7" s="258" t="s">
        <v>7</v>
      </c>
      <c r="F7" s="232" t="s">
        <v>7</v>
      </c>
      <c r="G7" s="232" t="s">
        <v>7</v>
      </c>
      <c r="H7" s="232" t="s">
        <v>7</v>
      </c>
      <c r="K7" s="403"/>
      <c r="L7" s="201" t="s">
        <v>7</v>
      </c>
      <c r="M7" s="201" t="s">
        <v>7</v>
      </c>
      <c r="N7" s="201" t="s">
        <v>7</v>
      </c>
      <c r="O7" s="201" t="s">
        <v>7</v>
      </c>
      <c r="Q7" s="403"/>
      <c r="R7" s="535"/>
      <c r="S7" s="535"/>
      <c r="T7" s="535"/>
      <c r="U7" s="536"/>
      <c r="W7" s="403"/>
      <c r="X7" s="403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7" t="s">
        <v>101</v>
      </c>
      <c r="X8" s="520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8"/>
      <c r="X9" s="521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7">
        <f>IF((ROUNDDOWN((SUM(M10:M11)/51)-(R10+R11),0.9))&lt;0,0,(ROUNDDOWN((SUM(M10:M11)/51)-(R10+R11),0.9)))</f>
        <v>0</v>
      </c>
      <c r="T10" s="517">
        <f>IF((ROUNDDOWN((SUM(O10:O11)/51)-(R10+R11),0.9))&lt;0,0,(ROUNDDOWN((SUM(O10:O11)/51)-(R10+R11),0.9)))</f>
        <v>0</v>
      </c>
      <c r="U10" s="517">
        <f>IF((ROUNDDOWN((SUM(L10:O11)/51)-(R10+R11+S10+T10),0.9))&lt;0,0,ROUNDDOWN((SUM(L10:O11)/51)-(R10+R11+S10+T10),0.9))</f>
        <v>0</v>
      </c>
      <c r="W10" s="528"/>
      <c r="X10" s="521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8"/>
      <c r="T11" s="518"/>
      <c r="U11" s="518"/>
      <c r="W11" s="528"/>
      <c r="X11" s="521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23">
        <f>IF((ROUNDDOWN((SUM(M12:M13)/51)-(R12+R13),0.9))&lt;0,0,(ROUNDDOWN((SUM(M12:M13)/51)-(R12+R13),0.9)))</f>
        <v>0</v>
      </c>
      <c r="T12" s="523">
        <f t="shared" ref="T12" si="3">IF((ROUNDDOWN((SUM(O12:O13)/51)-(R12+R13),0.9))&lt;0,0,(ROUNDDOWN((SUM(O12:O13)/51)-(R12+R13),0.9)))</f>
        <v>0</v>
      </c>
      <c r="U12" s="523">
        <f t="shared" ref="U12" si="4">IF((ROUNDDOWN((SUM(L12:O13)/51)-(R12+R13+S12+T12),0.9))&lt;0,0,ROUNDDOWN((SUM(L12:O13)/51)-(R12+R13+S12+T12),0.9))</f>
        <v>0</v>
      </c>
      <c r="W12" s="528"/>
      <c r="X12" s="521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23"/>
      <c r="T13" s="523"/>
      <c r="U13" s="523"/>
      <c r="W13" s="528"/>
      <c r="X13" s="521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7">
        <f>IF((ROUNDDOWN((SUM(M14:M15)/51)-(R14+R15),0.9))&lt;0,0,(ROUNDDOWN((SUM(M14:M15)/51)-(R14+R15),0.9)))</f>
        <v>0</v>
      </c>
      <c r="T14" s="517">
        <f t="shared" ref="T14" si="5">IF((ROUNDDOWN((SUM(O14:O15)/51)-(R14+R15),0.9))&lt;0,0,(ROUNDDOWN((SUM(O14:O15)/51)-(R14+R15),0.9)))</f>
        <v>0</v>
      </c>
      <c r="U14" s="517">
        <f t="shared" ref="U14" si="6">IF((ROUNDDOWN((SUM(L14:O15)/51)-(R14+R15+S14+T14),0.9))&lt;0,0,ROUNDDOWN((SUM(L14:O15)/51)-(R14+R15+S14+T14),0.9))</f>
        <v>0</v>
      </c>
      <c r="W14" s="528"/>
      <c r="X14" s="521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8"/>
      <c r="T15" s="518"/>
      <c r="U15" s="518"/>
      <c r="W15" s="529"/>
      <c r="X15" s="522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9" t="s">
        <v>85</v>
      </c>
      <c r="X16" s="537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24">
        <f>IF((ROUNDDOWN((SUM(M17:M18)/51)-(R17+R18),0.9))&lt;0,0,(ROUNDDOWN((SUM(M17:M18)/51)-(R17+R18),0.9)))</f>
        <v>0</v>
      </c>
      <c r="T17" s="524">
        <f>IF((ROUNDDOWN((SUM(O17:O18)/51)-(R17+R18),0.9))&lt;0,0,(ROUNDDOWN((SUM(O17:O18)/51)-(R17+R18),0.9)))</f>
        <v>0</v>
      </c>
      <c r="U17" s="524">
        <f>IF((ROUNDDOWN((SUM(L17:O18)/51)-(R17+R18+S17+T17),0.9))&lt;0,0,ROUNDDOWN((SUM(L17:O18)/51)-(R17+R18+S17+T17),0.9))</f>
        <v>0</v>
      </c>
      <c r="W17" s="519"/>
      <c r="X17" s="537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5"/>
      <c r="T18" s="525"/>
      <c r="U18" s="525"/>
      <c r="W18" s="519"/>
      <c r="X18" s="537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9"/>
      <c r="X19" s="537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7">
        <f>IF((ROUNDDOWN((SUM(M20:M21)/51)-(R20+R21),0.9))&lt;0,0,(ROUNDDOWN((SUM(M20:M21)/51)-(R20+R21),0.9)))</f>
        <v>0</v>
      </c>
      <c r="T20" s="517">
        <f>IF((ROUNDDOWN((SUM(O20:O21)/51)-(R20+R21),0.9))&lt;0,0,(ROUNDDOWN((SUM(O20:O21)/51)-(R20+R21),0.9)))</f>
        <v>0</v>
      </c>
      <c r="U20" s="517">
        <f>IF((ROUNDDOWN((SUM(L20:O21)/51)-(R20+R21+S20+T20),0.9))&lt;0,0,ROUNDDOWN((SUM(L20:O21)/51)-(R20+R21+S20+T20),0.9))</f>
        <v>0</v>
      </c>
      <c r="W20" s="519" t="s">
        <v>102</v>
      </c>
      <c r="X20" s="537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8"/>
      <c r="T21" s="518"/>
      <c r="U21" s="518"/>
      <c r="W21" s="519"/>
      <c r="X21" s="537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23">
        <f>IF((ROUNDDOWN((SUM(M22:M23)/51)-(R22+R23),0.9))&lt;0,0,(ROUNDDOWN((SUM(M22:M23)/51)-(R22+R23),0.9)))</f>
        <v>0</v>
      </c>
      <c r="T22" s="524">
        <f>IF((ROUNDDOWN((SUM(O22:O23)/51)-(R22+R23),0.9))&lt;0,0,(ROUNDDOWN((SUM(O22:O23)/51)-(R22+R23),0.9)))</f>
        <v>0</v>
      </c>
      <c r="U22" s="524">
        <f t="shared" ref="U22" si="7">IF((ROUNDDOWN((SUM(L22:O23)/51)-(R22+R23+S22+T22),0.9))&lt;0,0,ROUNDDOWN((SUM(L22:O23)/51)-(R22+R23+S22+T22),0.9))</f>
        <v>0</v>
      </c>
      <c r="W22" s="519"/>
      <c r="X22" s="537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23"/>
      <c r="T23" s="525"/>
      <c r="U23" s="525"/>
      <c r="W23" s="519"/>
      <c r="X23" s="537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7">
        <f>IF((ROUNDDOWN((SUM(M24:M25)/51)-(R24+R25),0.9))&lt;0,0,(ROUNDDOWN((SUM(M24:M25)/51)-(R24+R25),0.9)))</f>
        <v>0</v>
      </c>
      <c r="T24" s="517">
        <f>IF((ROUNDDOWN((SUM(O24:O25)/51)-(R24+R25),0.9))&lt;0,0,(ROUNDDOWN((SUM(O24:O25)/51)-(R24+R25),0.9)))</f>
        <v>0</v>
      </c>
      <c r="U24" s="517">
        <f t="shared" ref="U24" si="8">IF((ROUNDDOWN((SUM(L24:O25)/51)-(R24+R25+S24+T24),0.9))&lt;0,0,ROUNDDOWN((SUM(L24:O25)/51)-(R24+R25+S24+T24),0.9))</f>
        <v>0</v>
      </c>
      <c r="W24" s="519" t="s">
        <v>90</v>
      </c>
      <c r="X24" s="537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8"/>
      <c r="T25" s="518"/>
      <c r="U25" s="518"/>
      <c r="W25" s="519"/>
      <c r="X25" s="537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23">
        <f>IF((ROUNDDOWN((SUM(M26:M27)/51)-(R26+R27),0.9))&lt;0,0,(ROUNDDOWN((SUM(M26:M27)/51)-(R26+R27),0.9)))</f>
        <v>0</v>
      </c>
      <c r="T26" s="523">
        <f>IF((ROUNDDOWN((SUM(O26:O27)/51)-(R26+R27),0.9))&lt;0,0,(ROUNDDOWN((SUM(O26:O27)/51)-(R26+R27),0.9)))</f>
        <v>0</v>
      </c>
      <c r="U26" s="523">
        <f t="shared" ref="U26" si="10">IF((ROUNDDOWN((SUM(L26:O27)/51)-(R26+R27+S26+T26),0.9))&lt;0,0,ROUNDDOWN((SUM(L26:O27)/51)-(R26+R27+S26+T26),0.9))</f>
        <v>0</v>
      </c>
      <c r="W26" s="519"/>
      <c r="X26" s="537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26"/>
      <c r="T27" s="526"/>
      <c r="U27" s="526"/>
      <c r="W27" s="519"/>
      <c r="X27" s="537"/>
    </row>
    <row r="28" spans="4:24" ht="14.25" hidden="1" customHeight="1" x14ac:dyDescent="0.2"/>
    <row r="29" spans="4:24" ht="21" thickBot="1" x14ac:dyDescent="0.35">
      <c r="D29" s="530"/>
      <c r="E29" s="530"/>
      <c r="F29" s="530"/>
      <c r="G29" s="530"/>
      <c r="H29" s="530"/>
      <c r="Q29" s="531" t="s">
        <v>118</v>
      </c>
      <c r="R29" s="531"/>
      <c r="S29" s="531"/>
      <c r="T29" s="531"/>
      <c r="U29" s="531"/>
    </row>
    <row r="30" spans="4:24" ht="15.75" thickBot="1" x14ac:dyDescent="0.25">
      <c r="D30" s="532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403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403" t="s">
        <v>3</v>
      </c>
      <c r="R30" s="534" t="s">
        <v>95</v>
      </c>
      <c r="S30" s="534" t="s">
        <v>96</v>
      </c>
      <c r="T30" s="534" t="s">
        <v>97</v>
      </c>
      <c r="U30" s="536" t="s">
        <v>98</v>
      </c>
      <c r="W30" s="403" t="s">
        <v>99</v>
      </c>
      <c r="X30" s="403" t="s">
        <v>100</v>
      </c>
    </row>
    <row r="31" spans="4:24" ht="15.75" thickBot="1" x14ac:dyDescent="0.25">
      <c r="D31" s="533"/>
      <c r="E31" s="258" t="s">
        <v>7</v>
      </c>
      <c r="F31" s="232" t="s">
        <v>7</v>
      </c>
      <c r="G31" s="232" t="s">
        <v>7</v>
      </c>
      <c r="H31" s="232" t="s">
        <v>7</v>
      </c>
      <c r="K31" s="403"/>
      <c r="L31" s="201" t="s">
        <v>7</v>
      </c>
      <c r="M31" s="201" t="s">
        <v>7</v>
      </c>
      <c r="N31" s="201" t="s">
        <v>7</v>
      </c>
      <c r="O31" s="201" t="s">
        <v>7</v>
      </c>
      <c r="Q31" s="403"/>
      <c r="R31" s="535"/>
      <c r="S31" s="535"/>
      <c r="T31" s="535"/>
      <c r="U31" s="536"/>
      <c r="W31" s="403"/>
      <c r="X31" s="403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52</v>
      </c>
      <c r="G32" s="194">
        <f>'التمام الصباحي'!Q8+'التمام الصباحي'!S8</f>
        <v>26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51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7" t="s">
        <v>101</v>
      </c>
      <c r="X32" s="520">
        <f>SUM(R32:U39)/3</f>
        <v>2.6666666666666665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36</v>
      </c>
      <c r="G33" s="194">
        <f>'التمام الصباحي'!Q9+'التمام الصباحي'!S9</f>
        <v>18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8"/>
      <c r="X33" s="521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38</v>
      </c>
      <c r="F34" s="194">
        <f>'التمام الصباحي'!K10+'التمام الصباحي'!M10</f>
        <v>35</v>
      </c>
      <c r="G34" s="194">
        <f>'التمام الصباحي'!Q10+'التمام الصباحي'!S10</f>
        <v>10</v>
      </c>
      <c r="H34" s="354"/>
      <c r="K34" s="233" t="s">
        <v>158</v>
      </c>
      <c r="L34" s="235">
        <f>IF(E34&gt;101,102,IF(E34&gt;84,85,IF(E34&gt;67,68,IF(E34&gt;50,51,IF(E34&gt;33,34,IF(E34&gt;16,17,0))))))</f>
        <v>34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7">
        <f>IF((ROUNDDOWN((SUM(M34:M35)/51)-(R34+R35),0.9))&lt;0,0,(ROUNDDOWN((SUM(M34:M35)/51)-(R34+R35),0.9)))</f>
        <v>0</v>
      </c>
      <c r="T34" s="517">
        <f>IF((ROUNDDOWN((SUM(O34:O35)/51)-(R34+R35),0.9))&lt;0,0,(ROUNDDOWN((SUM(O34:O35)/51)-(R34+R35),0.9)))</f>
        <v>0</v>
      </c>
      <c r="U34" s="517">
        <f>IF((ROUNDDOWN((SUM(L34:O35)/51)-(R34+R35+S34+T34),0.9))&lt;0,0,ROUNDDOWN((SUM(L34:O35)/51)-(R34+R35+S34+T34),0.9))</f>
        <v>0</v>
      </c>
      <c r="W34" s="528"/>
      <c r="X34" s="521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9</v>
      </c>
      <c r="F35" s="194">
        <f>'التمام الصباحي'!K11+'التمام الصباحي'!M11</f>
        <v>49</v>
      </c>
      <c r="G35" s="194">
        <f>'التمام الصباحي'!Q11+'التمام الصباحي'!S11</f>
        <v>21</v>
      </c>
      <c r="H35" s="194">
        <f>'التمام الصباحي'!W11+'التمام الصباحي'!Y11</f>
        <v>26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8"/>
      <c r="T35" s="518"/>
      <c r="U35" s="518"/>
      <c r="W35" s="528"/>
      <c r="X35" s="521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58</v>
      </c>
      <c r="G36" s="194">
        <f>'التمام الصباحي'!Q12+'التمام الصباحي'!S12</f>
        <v>26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23">
        <f>IF((ROUNDDOWN((SUM(M36:M37)/51)-(R36+R37),0.9))&lt;0,0,(ROUNDDOWN((SUM(M36:M37)/51)-(R36+R37),0.9)))</f>
        <v>0</v>
      </c>
      <c r="T36" s="523">
        <f t="shared" ref="T36" si="15">IF((ROUNDDOWN((SUM(O36:O37)/51)-(R36+R37),0.9))&lt;0,0,(ROUNDDOWN((SUM(O36:O37)/51)-(R36+R37),0.9)))</f>
        <v>0</v>
      </c>
      <c r="U36" s="523">
        <f t="shared" ref="U36" si="16">IF((ROUNDDOWN((SUM(L36:O37)/51)-(R36+R37+S36+T36),0.9))&lt;0,0,ROUNDDOWN((SUM(L36:O37)/51)-(R36+R37+S36+T36),0.9))</f>
        <v>0</v>
      </c>
      <c r="W36" s="528"/>
      <c r="X36" s="521"/>
    </row>
    <row r="37" spans="3:24" ht="16.5" thickBot="1" x14ac:dyDescent="0.3">
      <c r="D37" s="233" t="s">
        <v>18</v>
      </c>
      <c r="E37" s="194">
        <f>'التمام الصباحي'!E13+'التمام الصباحي'!G13</f>
        <v>21</v>
      </c>
      <c r="F37" s="194">
        <f>'التمام الصباحي'!K13+'التمام الصباحي'!M13</f>
        <v>50</v>
      </c>
      <c r="G37" s="295"/>
      <c r="H37" s="194">
        <f>'التمام الصباحي'!W13+'التمام الصباحي'!Y13</f>
        <v>15</v>
      </c>
      <c r="K37" s="233" t="s">
        <v>18</v>
      </c>
      <c r="L37" s="235">
        <f t="shared" si="14"/>
        <v>17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0</v>
      </c>
      <c r="P37" s="236"/>
      <c r="Q37" s="248" t="s">
        <v>19</v>
      </c>
      <c r="R37" s="249">
        <f t="shared" si="11"/>
        <v>1</v>
      </c>
      <c r="S37" s="523"/>
      <c r="T37" s="523"/>
      <c r="U37" s="523"/>
      <c r="W37" s="528"/>
      <c r="X37" s="521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14</v>
      </c>
      <c r="F38" s="194">
        <f>'التمام الصباحي'!K14+'التمام الصباحي'!M14</f>
        <v>34</v>
      </c>
      <c r="G38" s="295"/>
      <c r="H38" s="194">
        <f>'التمام الصباحي'!W14+'التمام الصباحي'!Y14</f>
        <v>47</v>
      </c>
      <c r="K38" s="233" t="s">
        <v>19</v>
      </c>
      <c r="L38" s="235">
        <f t="shared" si="14"/>
        <v>0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7">
        <f>IF((ROUNDDOWN((SUM(M38:M39)/51)-(R38+R39),0.9))&lt;0,0,(ROUNDDOWN((SUM(M38:M39)/51)-(R38+R39),0.9)))</f>
        <v>0</v>
      </c>
      <c r="T38" s="517">
        <f t="shared" ref="T38" si="18">IF((ROUNDDOWN((SUM(O38:O39)/51)-(R38+R39),0.9))&lt;0,0,(ROUNDDOWN((SUM(O38:O39)/51)-(R38+R39),0.9)))</f>
        <v>0</v>
      </c>
      <c r="U38" s="517">
        <f t="shared" ref="U38" si="19">IF((ROUNDDOWN((SUM(L38:O39)/51)-(R38+R39+S38+T38),0.9))&lt;0,0,ROUNDDOWN((SUM(L38:O39)/51)-(R38+R39+S38+T38),0.9))</f>
        <v>0</v>
      </c>
      <c r="W38" s="528"/>
      <c r="X38" s="521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62</v>
      </c>
      <c r="G39" s="194">
        <f>'التمام الصباحي'!Q15+'التمام الصباحي'!S15</f>
        <v>23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8"/>
      <c r="T39" s="518"/>
      <c r="U39" s="518"/>
      <c r="W39" s="529"/>
      <c r="X39" s="522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60</v>
      </c>
      <c r="G40" s="194">
        <f>'التمام الصباحي'!Q16+'التمام الصباحي'!S16</f>
        <v>31</v>
      </c>
      <c r="H40" s="194">
        <f>'التمام الصباحي'!W16+'التمام الصباحي'!Y16</f>
        <v>70</v>
      </c>
      <c r="K40" s="233" t="s">
        <v>21</v>
      </c>
      <c r="L40" s="234"/>
      <c r="M40" s="235">
        <f t="shared" si="12"/>
        <v>51</v>
      </c>
      <c r="N40" s="235">
        <f t="shared" si="13"/>
        <v>17</v>
      </c>
      <c r="O40" s="235">
        <f t="shared" si="13"/>
        <v>68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9" t="s">
        <v>85</v>
      </c>
      <c r="X40" s="520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27</v>
      </c>
      <c r="G41" s="194">
        <f>'التمام الصباحي'!Q17+'التمام الصباحي'!S17</f>
        <v>22</v>
      </c>
      <c r="H41" s="194">
        <f>'التمام الصباحي'!W17+'التمام الصباحي'!Y17</f>
        <v>96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24">
        <f>IF((ROUNDDOWN((SUM(M41:M42)/51)-(R41+R42),0.9))&lt;0,0,(ROUNDDOWN((SUM(M41:M42)/51)-(R41+R42),0.9)))</f>
        <v>0</v>
      </c>
      <c r="T41" s="524">
        <f>IF((ROUNDDOWN((SUM(O41:O42)/51)-(R41+R42),0.9))&lt;0,0,(ROUNDDOWN((SUM(O41:O42)/51)-(R41+R42),0.9)))</f>
        <v>0</v>
      </c>
      <c r="U41" s="524">
        <f>IF((ROUNDDOWN((SUM(L41:O42)/51)-(R41+R42+S41+T41),0.9))&lt;0,0,ROUNDDOWN((SUM(L41:O42)/51)-(R41+R42+S41+T41),0.9))</f>
        <v>0</v>
      </c>
      <c r="W41" s="519"/>
      <c r="X41" s="521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23</v>
      </c>
      <c r="G42" s="194">
        <f>'التمام الصباحي'!Q18+'التمام الصباحي'!S18</f>
        <v>21</v>
      </c>
      <c r="H42" s="194">
        <f>'التمام الصباحي'!W18+'التمام الصباحي'!Y18</f>
        <v>18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25"/>
      <c r="T42" s="525"/>
      <c r="U42" s="525"/>
      <c r="W42" s="519"/>
      <c r="X42" s="521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11</v>
      </c>
      <c r="G43" s="194">
        <f>'التمام الصباحي'!Q19+'التمام الصباحي'!S19</f>
        <v>20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9"/>
      <c r="X43" s="522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23</v>
      </c>
      <c r="G44" s="194">
        <f>'التمام الصباحي'!Q20+'التمام الصباحي'!S20</f>
        <v>18</v>
      </c>
      <c r="H44" s="194">
        <f>'التمام الصباحي'!W20+'التمام الصباحي'!Y20</f>
        <v>50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7">
        <f>IF((ROUNDDOWN((SUM(M44:M45)/51)-(R44+R45),0.9))&lt;0,0,(ROUNDDOWN((SUM(M44:M45)/51)-(R44+R45),0.9)))</f>
        <v>0</v>
      </c>
      <c r="T44" s="517">
        <f>IF((ROUNDDOWN((SUM(O44:O45)/51)-(R44+R45),0.9))&lt;0,0,(ROUNDDOWN((SUM(O44:O45)/51)-(R44+R45),0.9)))</f>
        <v>0</v>
      </c>
      <c r="U44" s="517">
        <f>IF((ROUNDDOWN((SUM(L44:O45)/51)-(R44+R45+S44+T44),0.9))&lt;0,0,ROUNDDOWN((SUM(L44:O45)/51)-(R44+R45+S44+T44),0.9))</f>
        <v>1</v>
      </c>
      <c r="W44" s="519" t="s">
        <v>102</v>
      </c>
      <c r="X44" s="520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46</v>
      </c>
      <c r="G45" s="194">
        <f>'التمام الصباحي'!Q21+'التمام الصباحي'!S21</f>
        <v>15</v>
      </c>
      <c r="H45" s="194">
        <f>'التمام الصباحي'!W21+'التمام الصباحي'!Y21</f>
        <v>67</v>
      </c>
      <c r="K45" s="233" t="s">
        <v>25</v>
      </c>
      <c r="L45" s="234"/>
      <c r="M45" s="235">
        <f t="shared" si="12"/>
        <v>34</v>
      </c>
      <c r="N45" s="235">
        <f t="shared" si="13"/>
        <v>0</v>
      </c>
      <c r="O45" s="235">
        <f t="shared" si="13"/>
        <v>51</v>
      </c>
      <c r="P45" s="236"/>
      <c r="Q45" s="244" t="s">
        <v>27</v>
      </c>
      <c r="R45" s="245">
        <f t="shared" si="11"/>
        <v>1</v>
      </c>
      <c r="S45" s="518"/>
      <c r="T45" s="518"/>
      <c r="U45" s="518"/>
      <c r="W45" s="519"/>
      <c r="X45" s="521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30</v>
      </c>
      <c r="G46" s="194">
        <f>'التمام الصباحي'!Q22+'التمام الصباحي'!S22</f>
        <v>16.5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0</v>
      </c>
      <c r="S46" s="523">
        <f>IF((ROUNDDOWN((SUM(M46:M47)/51)-(R46+R47),0.9))&lt;0,0,(ROUNDDOWN((SUM(M46:M47)/51)-(R46+R47),0.9)))</f>
        <v>0</v>
      </c>
      <c r="T46" s="524">
        <f>IF((ROUNDDOWN((SUM(O46:O47)/51)-(R46+R47),0.9))&lt;0,0,(ROUNDDOWN((SUM(O46:O47)/51)-(R46+R47),0.9)))</f>
        <v>0</v>
      </c>
      <c r="U46" s="524">
        <f t="shared" ref="U46" si="20">IF((ROUNDDOWN((SUM(L46:O47)/51)-(R46+R47+S46+T46),0.9))&lt;0,0,ROUNDDOWN((SUM(L46:O47)/51)-(R46+R47+S46+T46),0.9))</f>
        <v>1</v>
      </c>
      <c r="W46" s="519"/>
      <c r="X46" s="521"/>
    </row>
    <row r="47" spans="3:24" ht="16.5" thickBot="1" x14ac:dyDescent="0.3">
      <c r="D47" s="233" t="s">
        <v>28</v>
      </c>
      <c r="E47" s="194">
        <f>'التمام الصباحي'!E23+'التمام الصباحي'!G23</f>
        <v>1.6</v>
      </c>
      <c r="F47" s="194">
        <f>'التمام الصباحي'!K23+'التمام الصباحي'!M23</f>
        <v>11</v>
      </c>
      <c r="G47" s="295"/>
      <c r="H47" s="194">
        <f>'التمام الصباحي'!W23+'التمام الصباحي'!Y23</f>
        <v>30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23"/>
      <c r="T47" s="525"/>
      <c r="U47" s="525"/>
      <c r="W47" s="519"/>
      <c r="X47" s="522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15</v>
      </c>
      <c r="G48" s="295"/>
      <c r="H48" s="194">
        <f>'التمام الصباحي'!W24+'التمام الصباحي'!Y24</f>
        <v>24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7">
        <f>IF((ROUNDDOWN((SUM(M48:M49)/51)-(R48+R49),0.9))&lt;0,0,(ROUNDDOWN((SUM(M48:M49)/51)-(R48+R49),0.9)))</f>
        <v>0</v>
      </c>
      <c r="T48" s="517">
        <f>IF((ROUNDDOWN((SUM(O48:O49)/51)-(R48+R49),0.9))&lt;0,0,(ROUNDDOWN((SUM(O48:O49)/51)-(R48+R49),0.9)))</f>
        <v>0</v>
      </c>
      <c r="U48" s="517">
        <f t="shared" ref="U48" si="22">IF((ROUNDDOWN((SUM(L48:O49)/51)-(R48+R49+S48+T48),0.9))&lt;0,0,ROUNDDOWN((SUM(L48:O49)/51)-(R48+R49+S48+T48),0.9))</f>
        <v>0</v>
      </c>
      <c r="W48" s="519" t="s">
        <v>90</v>
      </c>
      <c r="X48" s="520">
        <f>SUM(R48:U51)/3</f>
        <v>2.6666666666666665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36</v>
      </c>
      <c r="G49" s="194">
        <f>'التمام الصباحي'!Q25+'التمام الصباحي'!S25</f>
        <v>19.5</v>
      </c>
      <c r="H49" s="194">
        <f>'التمام الصباحي'!W25+'التمام الصباحي'!Y25</f>
        <v>66</v>
      </c>
      <c r="K49" s="233" t="s">
        <v>30</v>
      </c>
      <c r="L49" s="234"/>
      <c r="M49" s="235">
        <f t="shared" si="12"/>
        <v>34</v>
      </c>
      <c r="N49" s="235">
        <f t="shared" si="13"/>
        <v>17</v>
      </c>
      <c r="O49" s="235">
        <f t="shared" si="21"/>
        <v>51</v>
      </c>
      <c r="P49" s="236"/>
      <c r="Q49" s="244" t="s">
        <v>31</v>
      </c>
      <c r="R49" s="245">
        <f t="shared" si="11"/>
        <v>2</v>
      </c>
      <c r="S49" s="518"/>
      <c r="T49" s="518"/>
      <c r="U49" s="518"/>
      <c r="W49" s="519"/>
      <c r="X49" s="521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42</v>
      </c>
      <c r="G50" s="194">
        <f>'التمام الصباحي'!Q26+'التمام الصباحي'!S26</f>
        <v>16</v>
      </c>
      <c r="H50" s="194">
        <f>'التمام الصباحي'!W26+'التمام الصباحي'!Y26</f>
        <v>91</v>
      </c>
      <c r="K50" s="233" t="s">
        <v>31</v>
      </c>
      <c r="L50" s="234"/>
      <c r="M50" s="235">
        <f t="shared" si="12"/>
        <v>34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23">
        <f>IF((ROUNDDOWN((SUM(M50:M51)/51)-(R50+R51),0.9))&lt;0,0,(ROUNDDOWN((SUM(M50:M51)/51)-(R50+R51),0.9)))</f>
        <v>0</v>
      </c>
      <c r="T50" s="523">
        <f>IF((ROUNDDOWN((SUM(O50:O51)/51)-(R50+R51),0.9))&lt;0,0,(ROUNDDOWN((SUM(O50:O51)/51)-(R50+R51),0.9)))</f>
        <v>0</v>
      </c>
      <c r="U50" s="523">
        <f t="shared" ref="U50" si="23">IF((ROUNDDOWN((SUM(L50:O51)/51)-(R50+R51+S50+T50),0.9))&lt;0,0,ROUNDDOWN((SUM(L50:O51)/51)-(R50+R51+S50+T50),0.9))</f>
        <v>0</v>
      </c>
      <c r="W50" s="519"/>
      <c r="X50" s="521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102</v>
      </c>
      <c r="G51" s="194">
        <f>'التمام الصباحي'!Q27+'التمام الصباحي'!S27</f>
        <v>32</v>
      </c>
      <c r="H51" s="194">
        <f>'التمام الصباحي'!W27+'التمام الصباحي'!Y27</f>
        <v>202</v>
      </c>
      <c r="K51" s="233" t="s">
        <v>32</v>
      </c>
      <c r="L51" s="234"/>
      <c r="M51" s="235">
        <f t="shared" si="12"/>
        <v>102</v>
      </c>
      <c r="N51" s="235">
        <f t="shared" si="13"/>
        <v>17</v>
      </c>
      <c r="O51" s="235">
        <f t="shared" si="21"/>
        <v>102</v>
      </c>
      <c r="P51" s="236"/>
      <c r="Q51" s="256" t="s">
        <v>33</v>
      </c>
      <c r="R51" s="257">
        <f t="shared" si="11"/>
        <v>4</v>
      </c>
      <c r="S51" s="526"/>
      <c r="T51" s="526"/>
      <c r="U51" s="526"/>
      <c r="W51" s="519"/>
      <c r="X51" s="522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21</v>
      </c>
      <c r="G52" s="194">
        <f>'التمام الصباحي'!Q28+'التمام الصباحي'!S28</f>
        <v>18</v>
      </c>
      <c r="H52" s="194">
        <f>'التمام الصباحي'!W28+'التمام الصباحي'!Y28</f>
        <v>66</v>
      </c>
      <c r="K52" s="233" t="s">
        <v>33</v>
      </c>
      <c r="L52" s="234"/>
      <c r="M52" s="235">
        <f t="shared" si="12"/>
        <v>17</v>
      </c>
      <c r="N52" s="235">
        <f t="shared" si="13"/>
        <v>17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27</v>
      </c>
      <c r="F53" s="194">
        <f>'التمام الصباحي'!K29+'التمام الصباحي'!M29</f>
        <v>22</v>
      </c>
      <c r="G53" s="194">
        <f>'التمام الصباحي'!Q29+'التمام الصباحي'!S29</f>
        <v>9</v>
      </c>
      <c r="H53" s="194">
        <f>'التمام الصباحي'!W29+'التمام الصباحي'!Y29</f>
        <v>48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19</v>
      </c>
      <c r="G54" s="194">
        <f>'التمام الصباحي'!Q30+'التمام الصباحي'!S30</f>
        <v>13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34</v>
      </c>
      <c r="G55" s="194">
        <f>'التمام الصباحي'!Q31+'التمام الصباحي'!S31</f>
        <v>28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74</v>
      </c>
      <c r="G56" s="194">
        <f>'التمام الصباحي'!Q32+'التمام الصباحي'!S32</f>
        <v>36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34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52</v>
      </c>
      <c r="G57" s="194">
        <f>'التمام الصباحي'!Q33+'التمام الصباحي'!S33</f>
        <v>31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87</v>
      </c>
      <c r="G58" s="194">
        <f>'التمام الصباحي'!Q34+'التمام الصباحي'!S34</f>
        <v>17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2.6666666666666665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2019-09-29T08:56:38Z</cp:lastPrinted>
  <dcterms:created xsi:type="dcterms:W3CDTF">2018-10-24T15:18:02Z</dcterms:created>
  <dcterms:modified xsi:type="dcterms:W3CDTF">2019-10-07T14:28:11Z</dcterms:modified>
</cp:coreProperties>
</file>