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المستودعات" sheetId="6" r:id="rId6"/>
    <sheet name="خطة الإمداد" sheetId="7" r:id="rId7"/>
    <sheet name="الاحتياجات اكسس" sheetId="8" state="hidden" r:id="rId8"/>
    <sheet name="سعت 1700" sheetId="9" state="hidden" r:id="rId9"/>
    <sheet name="سعت 2200" sheetId="10" state="hidden" r:id="rId10"/>
    <sheet name="احتياجات المحطات" sheetId="11" state="hidden" r:id="rId11"/>
    <sheet name="المسافات المقطوعة" sheetId="12" state="hidden" r:id="rId12"/>
    <sheet name="منطقة القاهرة" sheetId="13" r:id="rId13"/>
    <sheet name="القاهرة اكسس" sheetId="14" state="hidden" r:id="rId14"/>
    <sheet name="منطقة السويس" sheetId="15" r:id="rId15"/>
    <sheet name="السويس اكسس" sheetId="16" state="hidden" r:id="rId16"/>
    <sheet name="منطقة الاسكندرية" sheetId="17" r:id="rId17"/>
    <sheet name="الاسكندرية اكسس" sheetId="18" state="hidden" r:id="rId18"/>
    <sheet name="منطقة طنطا" sheetId="19" r:id="rId19"/>
    <sheet name="منطقة الزقاريق" sheetId="20" state="hidden" r:id="rId20"/>
    <sheet name="توزيع الخطة" sheetId="21" r:id="rId21"/>
    <sheet name="Sheet1" sheetId="22" state="hidden" r:id="rId22"/>
    <sheet name="طنطا اكسس" sheetId="23" state="hidden" r:id="rId23"/>
  </sheets>
  <externalReferences>
    <externalReference r:id="rId24"/>
  </externalReferences>
  <definedNames>
    <definedName name="_xlnm.Print_Area" localSheetId="8">'سعت 1700'!$A$1:$V$32</definedName>
    <definedName name="_xlnm.Print_Area" localSheetId="9">'سعت 2200'!$A$1:$V$32</definedName>
    <definedName name="_xlnm.Print_Area" localSheetId="2">'موقف المحطات'!$A$1:$Q$68</definedName>
    <definedName name="Z_18C0F7AC_4BB1_46DE_8A01_8E31FE0585FC_.wvu.Cols" localSheetId="6" hidden="1">'خطة الإمداد'!$A:$B,'خطة الإمداد'!$H:$H</definedName>
    <definedName name="Z_18C0F7AC_4BB1_46DE_8A01_8E31FE0585FC_.wvu.Cols" localSheetId="2" hidden="1">'موقف المحطات'!$A:$A</definedName>
    <definedName name="Z_18C0F7AC_4BB1_46DE_8A01_8E31FE0585FC_.wvu.PrintArea" localSheetId="8" hidden="1">'سعت 1700'!$A$1:$V$32</definedName>
    <definedName name="Z_18C0F7AC_4BB1_46DE_8A01_8E31FE0585FC_.wvu.PrintArea" localSheetId="9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6" hidden="1">'خطة الإمداد'!$1:$28</definedName>
    <definedName name="Z_8317B6D8_8A99_4EB0_9DBC_8E9AE0170A4B_.wvu.Cols" localSheetId="6" hidden="1">'خطة الإمداد'!$A:$B,'خطة الإمداد'!$H:$H</definedName>
    <definedName name="Z_8317B6D8_8A99_4EB0_9DBC_8E9AE0170A4B_.wvu.Cols" localSheetId="2" hidden="1">'موقف المحطات'!$A:$A</definedName>
    <definedName name="Z_8317B6D8_8A99_4EB0_9DBC_8E9AE0170A4B_.wvu.PrintArea" localSheetId="8" hidden="1">'سعت 1700'!$A$1:$V$32</definedName>
    <definedName name="Z_8317B6D8_8A99_4EB0_9DBC_8E9AE0170A4B_.wvu.PrintArea" localSheetId="9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6" l="1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9" i="1" l="1"/>
  <c r="Q8" i="4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E17" i="5"/>
  <c r="G16" i="5"/>
  <c r="G18" i="5" s="1"/>
  <c r="F16" i="5"/>
  <c r="E16" i="5"/>
  <c r="D16" i="5"/>
  <c r="F15" i="5"/>
  <c r="D15" i="5"/>
  <c r="F14" i="5"/>
  <c r="E15" i="5"/>
  <c r="E14" i="5"/>
  <c r="E13" i="5"/>
  <c r="F13" i="5"/>
  <c r="F12" i="5"/>
  <c r="E12" i="5"/>
  <c r="E11" i="5"/>
  <c r="F11" i="5"/>
  <c r="F10" i="5"/>
  <c r="E10" i="5"/>
  <c r="H10" i="5" l="1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F29" i="1"/>
  <c r="F23" i="1"/>
  <c r="F11" i="1"/>
  <c r="F13" i="1"/>
  <c r="F14" i="1"/>
  <c r="F10" i="1"/>
  <c r="F39" i="1" s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X39" i="1" l="1"/>
  <c r="R39" i="1"/>
  <c r="D39" i="1"/>
  <c r="V39" i="1"/>
  <c r="J39" i="1"/>
  <c r="P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H39" i="1"/>
  <c r="C41" i="1"/>
  <c r="T39" i="1"/>
  <c r="K8" i="1"/>
  <c r="E32" i="7" s="1"/>
  <c r="Q8" i="1"/>
  <c r="F32" i="7" s="1"/>
  <c r="K9" i="1"/>
  <c r="E33" i="7" s="1"/>
  <c r="L33" i="7" s="1"/>
  <c r="Q9" i="1"/>
  <c r="F33" i="7" s="1"/>
  <c r="M33" i="7" s="1"/>
  <c r="E10" i="1"/>
  <c r="K10" i="1"/>
  <c r="Q10" i="1"/>
  <c r="F34" i="7" s="1"/>
  <c r="M34" i="7" s="1"/>
  <c r="E11" i="1"/>
  <c r="D35" i="7" s="1"/>
  <c r="K35" i="7" s="1"/>
  <c r="K11" i="1"/>
  <c r="E35" i="7" s="1"/>
  <c r="L35" i="7" s="1"/>
  <c r="Q11" i="1"/>
  <c r="F35" i="7" s="1"/>
  <c r="M35" i="7" s="1"/>
  <c r="W11" i="1"/>
  <c r="G35" i="7" s="1"/>
  <c r="N35" i="7" s="1"/>
  <c r="K12" i="1"/>
  <c r="E36" i="7" s="1"/>
  <c r="L36" i="7" s="1"/>
  <c r="Q12" i="1"/>
  <c r="F36" i="7" s="1"/>
  <c r="M36" i="7" s="1"/>
  <c r="E13" i="1"/>
  <c r="D37" i="7" s="1"/>
  <c r="K37" i="7" s="1"/>
  <c r="K13" i="1"/>
  <c r="E37" i="7" s="1"/>
  <c r="L37" i="7" s="1"/>
  <c r="W13" i="1"/>
  <c r="G37" i="7" s="1"/>
  <c r="N37" i="7" s="1"/>
  <c r="E14" i="1"/>
  <c r="D38" i="7" s="1"/>
  <c r="K38" i="7" s="1"/>
  <c r="K14" i="1"/>
  <c r="E38" i="7" s="1"/>
  <c r="L38" i="7" s="1"/>
  <c r="W14" i="1"/>
  <c r="K15" i="1"/>
  <c r="E39" i="7" s="1"/>
  <c r="L39" i="7" s="1"/>
  <c r="Q15" i="1"/>
  <c r="F39" i="7" s="1"/>
  <c r="M39" i="7" s="1"/>
  <c r="K16" i="1"/>
  <c r="E40" i="7" s="1"/>
  <c r="L40" i="7" s="1"/>
  <c r="Q16" i="1"/>
  <c r="F40" i="7" s="1"/>
  <c r="M40" i="7" s="1"/>
  <c r="W16" i="1"/>
  <c r="G40" i="7" s="1"/>
  <c r="N40" i="7" s="1"/>
  <c r="K17" i="1"/>
  <c r="E41" i="7" s="1"/>
  <c r="L41" i="7" s="1"/>
  <c r="Q17" i="1"/>
  <c r="F41" i="7" s="1"/>
  <c r="M41" i="7" s="1"/>
  <c r="W17" i="1"/>
  <c r="G41" i="7" s="1"/>
  <c r="N41" i="7" s="1"/>
  <c r="K18" i="1"/>
  <c r="E42" i="7" s="1"/>
  <c r="L42" i="7" s="1"/>
  <c r="Q18" i="1"/>
  <c r="F42" i="7" s="1"/>
  <c r="M42" i="7" s="1"/>
  <c r="W18" i="1"/>
  <c r="G42" i="7" s="1"/>
  <c r="N42" i="7" s="1"/>
  <c r="K19" i="1"/>
  <c r="E43" i="7" s="1"/>
  <c r="L43" i="7" s="1"/>
  <c r="Q19" i="1"/>
  <c r="F43" i="7" s="1"/>
  <c r="M43" i="7" s="1"/>
  <c r="K20" i="1"/>
  <c r="E44" i="7" s="1"/>
  <c r="L44" i="7" s="1"/>
  <c r="Q20" i="1"/>
  <c r="F44" i="7" s="1"/>
  <c r="M44" i="7" s="1"/>
  <c r="W20" i="1"/>
  <c r="K21" i="1"/>
  <c r="E45" i="7" s="1"/>
  <c r="L45" i="7" s="1"/>
  <c r="Q21" i="1"/>
  <c r="F45" i="7" s="1"/>
  <c r="M45" i="7" s="1"/>
  <c r="W21" i="1"/>
  <c r="K22" i="1"/>
  <c r="E46" i="7" s="1"/>
  <c r="L46" i="7" s="1"/>
  <c r="Q22" i="1"/>
  <c r="F46" i="7" s="1"/>
  <c r="M46" i="7" s="1"/>
  <c r="E23" i="1"/>
  <c r="D47" i="7" s="1"/>
  <c r="K47" i="7" s="1"/>
  <c r="K23" i="1"/>
  <c r="E47" i="7" s="1"/>
  <c r="L47" i="7" s="1"/>
  <c r="W23" i="1"/>
  <c r="G47" i="7" s="1"/>
  <c r="N47" i="7" s="1"/>
  <c r="K24" i="1"/>
  <c r="E48" i="7" s="1"/>
  <c r="L48" i="7" s="1"/>
  <c r="W24" i="1"/>
  <c r="G48" i="7" s="1"/>
  <c r="N48" i="7" s="1"/>
  <c r="K25" i="1"/>
  <c r="E49" i="7" s="1"/>
  <c r="L49" i="7" s="1"/>
  <c r="Q25" i="1"/>
  <c r="F49" i="7" s="1"/>
  <c r="M49" i="7" s="1"/>
  <c r="W25" i="1"/>
  <c r="G49" i="7" s="1"/>
  <c r="N49" i="7" s="1"/>
  <c r="K26" i="1"/>
  <c r="E50" i="7" s="1"/>
  <c r="L50" i="7" s="1"/>
  <c r="Q26" i="1"/>
  <c r="W26" i="1"/>
  <c r="K27" i="1"/>
  <c r="E51" i="7" s="1"/>
  <c r="L51" i="7" s="1"/>
  <c r="Q27" i="1"/>
  <c r="F51" i="7" s="1"/>
  <c r="M51" i="7" s="1"/>
  <c r="W27" i="1"/>
  <c r="K28" i="1"/>
  <c r="E52" i="7" s="1"/>
  <c r="L52" i="7" s="1"/>
  <c r="Q28" i="1"/>
  <c r="F52" i="7" s="1"/>
  <c r="M52" i="7" s="1"/>
  <c r="W28" i="1"/>
  <c r="G52" i="7" s="1"/>
  <c r="N52" i="7" s="1"/>
  <c r="E29" i="1"/>
  <c r="D53" i="7" s="1"/>
  <c r="K53" i="7" s="1"/>
  <c r="K29" i="1"/>
  <c r="E53" i="7" s="1"/>
  <c r="L53" i="7" s="1"/>
  <c r="Q29" i="1"/>
  <c r="F53" i="7" s="1"/>
  <c r="M53" i="7" s="1"/>
  <c r="W29" i="1"/>
  <c r="G53" i="7" s="1"/>
  <c r="N53" i="7" s="1"/>
  <c r="K30" i="1"/>
  <c r="E54" i="7" s="1"/>
  <c r="L54" i="7" s="1"/>
  <c r="Q30" i="1"/>
  <c r="F54" i="7" s="1"/>
  <c r="M54" i="7" s="1"/>
  <c r="K31" i="1"/>
  <c r="E55" i="7" s="1"/>
  <c r="L55" i="7" s="1"/>
  <c r="Q31" i="1"/>
  <c r="F55" i="7" s="1"/>
  <c r="M55" i="7" s="1"/>
  <c r="K32" i="1"/>
  <c r="E56" i="7" s="1"/>
  <c r="L56" i="7" s="1"/>
  <c r="Q32" i="1"/>
  <c r="F56" i="7" s="1"/>
  <c r="M56" i="7" s="1"/>
  <c r="K33" i="1"/>
  <c r="E57" i="7" s="1"/>
  <c r="L57" i="7" s="1"/>
  <c r="Q33" i="1"/>
  <c r="F57" i="7" s="1"/>
  <c r="M57" i="7" s="1"/>
  <c r="K34" i="1"/>
  <c r="E58" i="7" s="1"/>
  <c r="L58" i="7" s="1"/>
  <c r="Q34" i="1"/>
  <c r="F58" i="7" s="1"/>
  <c r="M58" i="7" s="1"/>
  <c r="N8" i="1"/>
  <c r="N39" i="1" s="1"/>
  <c r="Z11" i="1"/>
  <c r="Z39" i="1" s="1"/>
  <c r="C45" i="1" l="1"/>
  <c r="W39" i="1"/>
  <c r="F50" i="7"/>
  <c r="M50" i="7" s="1"/>
  <c r="Q39" i="1"/>
  <c r="E34" i="7"/>
  <c r="L34" i="7" s="1"/>
  <c r="K39" i="1"/>
  <c r="D34" i="7"/>
  <c r="K34" i="7" s="1"/>
  <c r="E39" i="1"/>
  <c r="G50" i="7"/>
  <c r="N50" i="7" s="1"/>
  <c r="G38" i="7"/>
  <c r="N38" i="7" s="1"/>
  <c r="G45" i="7"/>
  <c r="N45" i="7" s="1"/>
  <c r="G44" i="7"/>
  <c r="N44" i="7" s="1"/>
  <c r="G51" i="7"/>
  <c r="N51" i="7" s="1"/>
  <c r="C42" i="1" l="1"/>
  <c r="Q19" i="6"/>
  <c r="P9" i="6"/>
  <c r="Q9" i="6"/>
  <c r="R9" i="6"/>
  <c r="U16" i="6" s="1"/>
  <c r="S9" i="6"/>
  <c r="V16" i="6" s="1"/>
  <c r="T9" i="6"/>
  <c r="W16" i="6" s="1"/>
  <c r="O9" i="6"/>
  <c r="G22" i="6"/>
  <c r="D18" i="15" l="1"/>
  <c r="D17" i="20"/>
  <c r="D15" i="20"/>
  <c r="D17" i="19"/>
  <c r="D15" i="19"/>
  <c r="D20" i="15"/>
  <c r="D21" i="17"/>
  <c r="D18" i="17"/>
  <c r="D16" i="17"/>
  <c r="D22" i="15"/>
  <c r="D17" i="15"/>
  <c r="F24" i="13"/>
  <c r="F23" i="13"/>
  <c r="F22" i="13"/>
  <c r="L11" i="3"/>
  <c r="I11" i="3"/>
  <c r="F11" i="3"/>
  <c r="C11" i="3"/>
  <c r="K44" i="6" l="1"/>
  <c r="H34" i="6" s="1"/>
  <c r="T15" i="6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0"/>
  <c r="J9" i="20"/>
  <c r="J8" i="20"/>
  <c r="J7" i="20"/>
  <c r="C44" i="6"/>
  <c r="D44" i="6"/>
  <c r="F22" i="6" s="1"/>
  <c r="E44" i="6"/>
  <c r="C22" i="6" s="1"/>
  <c r="F44" i="6"/>
  <c r="D22" i="6" s="1"/>
  <c r="G44" i="6"/>
  <c r="E22" i="6" s="1"/>
  <c r="H44" i="6"/>
  <c r="F34" i="6" s="1"/>
  <c r="I44" i="6"/>
  <c r="G34" i="6" s="1"/>
  <c r="J44" i="6"/>
  <c r="I34" i="6" s="1"/>
  <c r="L44" i="6"/>
  <c r="M44" i="6"/>
  <c r="D34" i="6" s="1"/>
  <c r="N44" i="6"/>
  <c r="E34" i="6" s="1"/>
  <c r="B44" i="6"/>
  <c r="H22" i="6" s="1"/>
  <c r="Q31" i="2"/>
  <c r="Q31" i="4"/>
  <c r="D39" i="4"/>
  <c r="M39" i="4"/>
  <c r="J39" i="4"/>
  <c r="G39" i="4"/>
  <c r="T14" i="6" l="1"/>
  <c r="C34" i="6"/>
  <c r="T20" i="6" s="1"/>
  <c r="I22" i="6"/>
  <c r="V14" i="6" s="1"/>
  <c r="W15" i="6"/>
  <c r="V15" i="6"/>
  <c r="U14" i="6"/>
  <c r="U15" i="6"/>
  <c r="W14" i="6"/>
  <c r="U20" i="6"/>
  <c r="W20" i="6"/>
  <c r="Q32" i="2"/>
  <c r="P33" i="2"/>
  <c r="Q33" i="2" s="1"/>
  <c r="C28" i="2"/>
  <c r="D28" i="2" s="1"/>
  <c r="V20" i="6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F26" i="2"/>
  <c r="G26" i="2" s="1"/>
  <c r="F27" i="2"/>
  <c r="H27" i="2" s="1"/>
  <c r="H25" i="2" l="1"/>
  <c r="K2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L32" i="7"/>
  <c r="M32" i="7"/>
  <c r="D19" i="3" l="1"/>
  <c r="D28" i="3" l="1"/>
  <c r="C28" i="3"/>
  <c r="A5" i="21" l="1"/>
  <c r="K5" i="13"/>
  <c r="L5" i="13"/>
  <c r="M5" i="13"/>
  <c r="N5" i="13"/>
  <c r="O5" i="13"/>
  <c r="L6" i="13"/>
  <c r="M6" i="13"/>
  <c r="N6" i="13"/>
  <c r="O6" i="13"/>
  <c r="K7" i="13"/>
  <c r="L7" i="13"/>
  <c r="O7" i="13"/>
  <c r="K8" i="13"/>
  <c r="L8" i="13"/>
  <c r="O8" i="13"/>
  <c r="K9" i="13"/>
  <c r="K10" i="13"/>
  <c r="O10" i="13"/>
  <c r="K11" i="13"/>
  <c r="N11" i="13"/>
  <c r="K12" i="13"/>
  <c r="N12" i="13"/>
  <c r="K13" i="13"/>
  <c r="L13" i="13"/>
  <c r="O13" i="13"/>
  <c r="K14" i="13"/>
  <c r="L14" i="13"/>
  <c r="N8" i="13"/>
  <c r="M8" i="13"/>
  <c r="Q9" i="7"/>
  <c r="I8" i="2"/>
  <c r="K8" i="2" s="1"/>
  <c r="F8" i="2"/>
  <c r="G8" i="2" s="1"/>
  <c r="J8" i="2" l="1"/>
  <c r="O8" i="2" s="1"/>
  <c r="Q8" i="2" s="1"/>
  <c r="H8" i="2"/>
  <c r="Q33" i="7"/>
  <c r="B28" i="21"/>
  <c r="K12" i="21" l="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31" i="21"/>
  <c r="L31" i="21"/>
  <c r="K32" i="21"/>
  <c r="L32" i="21"/>
  <c r="K33" i="21"/>
  <c r="L33" i="21"/>
  <c r="K34" i="21"/>
  <c r="L34" i="21"/>
  <c r="A31" i="21"/>
  <c r="B31" i="21"/>
  <c r="C31" i="21"/>
  <c r="D31" i="21"/>
  <c r="E31" i="21"/>
  <c r="F31" i="21"/>
  <c r="A32" i="21"/>
  <c r="B32" i="21"/>
  <c r="C32" i="21"/>
  <c r="D32" i="21"/>
  <c r="E32" i="21"/>
  <c r="F32" i="21"/>
  <c r="A33" i="21"/>
  <c r="B33" i="21"/>
  <c r="C33" i="21"/>
  <c r="D33" i="21"/>
  <c r="E33" i="21"/>
  <c r="F33" i="21"/>
  <c r="A34" i="21"/>
  <c r="A35" i="21"/>
  <c r="A36" i="21"/>
  <c r="A37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A22" i="21"/>
  <c r="B22" i="21"/>
  <c r="C22" i="21"/>
  <c r="D22" i="21"/>
  <c r="E22" i="21"/>
  <c r="F22" i="21"/>
  <c r="G22" i="21"/>
  <c r="H22" i="21"/>
  <c r="I22" i="21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A25" i="21"/>
  <c r="A26" i="21"/>
  <c r="A27" i="21"/>
  <c r="A28" i="21"/>
  <c r="A13" i="21"/>
  <c r="B13" i="21"/>
  <c r="C13" i="21"/>
  <c r="D13" i="21"/>
  <c r="E13" i="21"/>
  <c r="F13" i="21"/>
  <c r="G13" i="21"/>
  <c r="H13" i="21"/>
  <c r="A14" i="21"/>
  <c r="B14" i="21"/>
  <c r="C14" i="21"/>
  <c r="D14" i="21"/>
  <c r="E14" i="21"/>
  <c r="F14" i="21"/>
  <c r="G14" i="21"/>
  <c r="H14" i="21"/>
  <c r="A15" i="21"/>
  <c r="B15" i="21"/>
  <c r="C15" i="21"/>
  <c r="D15" i="21"/>
  <c r="E15" i="21"/>
  <c r="F15" i="21"/>
  <c r="G15" i="21"/>
  <c r="H15" i="21"/>
  <c r="A16" i="21"/>
  <c r="A17" i="21"/>
  <c r="A18" i="21"/>
  <c r="A19" i="21"/>
  <c r="K1" i="21"/>
  <c r="K2" i="21"/>
  <c r="L2" i="21"/>
  <c r="K3" i="21"/>
  <c r="L3" i="21"/>
  <c r="K4" i="21"/>
  <c r="L4" i="21"/>
  <c r="K5" i="21"/>
  <c r="K6" i="21"/>
  <c r="L6" i="21"/>
  <c r="L7" i="21"/>
  <c r="K8" i="21"/>
  <c r="L8" i="21"/>
  <c r="K9" i="21"/>
  <c r="L9" i="21"/>
  <c r="A1" i="21"/>
  <c r="B1" i="21"/>
  <c r="C1" i="21"/>
  <c r="D1" i="21"/>
  <c r="E1" i="21"/>
  <c r="F1" i="21"/>
  <c r="G1" i="21"/>
  <c r="H1" i="21"/>
  <c r="A2" i="21"/>
  <c r="B2" i="21"/>
  <c r="C2" i="21"/>
  <c r="D2" i="21"/>
  <c r="E2" i="21"/>
  <c r="F2" i="21"/>
  <c r="G2" i="21"/>
  <c r="H2" i="21"/>
  <c r="A3" i="21"/>
  <c r="B3" i="21"/>
  <c r="C3" i="21"/>
  <c r="D3" i="21"/>
  <c r="E3" i="21"/>
  <c r="F3" i="21"/>
  <c r="G3" i="21"/>
  <c r="H3" i="21"/>
  <c r="A4" i="21"/>
  <c r="A6" i="21"/>
  <c r="A7" i="21"/>
  <c r="A8" i="21"/>
  <c r="A9" i="21"/>
  <c r="A10" i="21"/>
  <c r="A11" i="21"/>
  <c r="J7" i="19" l="1"/>
  <c r="J8" i="19"/>
  <c r="J9" i="19"/>
  <c r="J10" i="19"/>
  <c r="L7" i="17"/>
  <c r="L8" i="17"/>
  <c r="O8" i="17"/>
  <c r="N9" i="17"/>
  <c r="L10" i="17"/>
  <c r="N10" i="17"/>
  <c r="L7" i="15"/>
  <c r="L8" i="15"/>
  <c r="L9" i="15"/>
  <c r="O9" i="15"/>
  <c r="L10" i="15"/>
  <c r="O24" i="9" l="1"/>
  <c r="N24" i="9" s="1"/>
  <c r="Q24" i="9" s="1"/>
  <c r="O25" i="9"/>
  <c r="N25" i="9" s="1"/>
  <c r="Q25" i="9" s="1"/>
  <c r="O26" i="9"/>
  <c r="N26" i="9" s="1"/>
  <c r="Q26" i="9" s="1"/>
  <c r="O27" i="9"/>
  <c r="N27" i="9" s="1"/>
  <c r="Q27" i="9" s="1"/>
  <c r="T23" i="9"/>
  <c r="S23" i="9" s="1"/>
  <c r="V23" i="9" s="1"/>
  <c r="T24" i="9"/>
  <c r="S24" i="9" s="1"/>
  <c r="V24" i="9" s="1"/>
  <c r="T25" i="9"/>
  <c r="S25" i="9" s="1"/>
  <c r="V25" i="9" s="1"/>
  <c r="T26" i="9"/>
  <c r="S26" i="9" s="1"/>
  <c r="V26" i="9" s="1"/>
  <c r="T27" i="9"/>
  <c r="S27" i="9" s="1"/>
  <c r="V27" i="9" s="1"/>
  <c r="T22" i="9"/>
  <c r="S22" i="9" s="1"/>
  <c r="V22" i="9" s="1"/>
  <c r="T13" i="9"/>
  <c r="S13" i="9" s="1"/>
  <c r="V13" i="9" s="1"/>
  <c r="T15" i="9"/>
  <c r="S15" i="9" s="1"/>
  <c r="V15" i="9" s="1"/>
  <c r="T16" i="9"/>
  <c r="S16" i="9" s="1"/>
  <c r="V16" i="9" s="1"/>
  <c r="T17" i="9"/>
  <c r="S17" i="9" s="1"/>
  <c r="V17" i="9" s="1"/>
  <c r="T19" i="9"/>
  <c r="S19" i="9" s="1"/>
  <c r="V19" i="9" s="1"/>
  <c r="T20" i="9"/>
  <c r="S20" i="9" s="1"/>
  <c r="V20" i="9" s="1"/>
  <c r="T12" i="9"/>
  <c r="S12" i="9" s="1"/>
  <c r="V12" i="9" s="1"/>
  <c r="T10" i="9"/>
  <c r="S10" i="9" s="1"/>
  <c r="V10" i="9" s="1"/>
  <c r="O11" i="9"/>
  <c r="N11" i="9" s="1"/>
  <c r="Q11" i="9" s="1"/>
  <c r="O14" i="9"/>
  <c r="N14" i="9" s="1"/>
  <c r="Q14" i="9" s="1"/>
  <c r="O15" i="9"/>
  <c r="N15" i="9" s="1"/>
  <c r="Q15" i="9" s="1"/>
  <c r="O16" i="9"/>
  <c r="N16" i="9" s="1"/>
  <c r="Q16" i="9" s="1"/>
  <c r="O17" i="9"/>
  <c r="N17" i="9" s="1"/>
  <c r="Q17" i="9" s="1"/>
  <c r="O18" i="9"/>
  <c r="N18" i="9" s="1"/>
  <c r="Q18" i="9" s="1"/>
  <c r="O19" i="9"/>
  <c r="N19" i="9" s="1"/>
  <c r="Q19" i="9" s="1"/>
  <c r="O20" i="9"/>
  <c r="N20" i="9" s="1"/>
  <c r="Q20" i="9" s="1"/>
  <c r="O21" i="9"/>
  <c r="N21" i="9" s="1"/>
  <c r="Q21" i="9" s="1"/>
  <c r="O10" i="9"/>
  <c r="N10" i="9" s="1"/>
  <c r="Q10" i="9" s="1"/>
  <c r="O8" i="9"/>
  <c r="J23" i="9"/>
  <c r="I23" i="9" s="1"/>
  <c r="L23" i="9" s="1"/>
  <c r="J24" i="9"/>
  <c r="I24" i="9" s="1"/>
  <c r="L24" i="9" s="1"/>
  <c r="J25" i="9"/>
  <c r="I25" i="9" s="1"/>
  <c r="L25" i="9" s="1"/>
  <c r="J26" i="9"/>
  <c r="I26" i="9" s="1"/>
  <c r="L26" i="9" s="1"/>
  <c r="J27" i="9"/>
  <c r="I27" i="9" s="1"/>
  <c r="L27" i="9" s="1"/>
  <c r="J22" i="9"/>
  <c r="I22" i="9" s="1"/>
  <c r="L22" i="9" s="1"/>
  <c r="J11" i="9"/>
  <c r="J12" i="9"/>
  <c r="I12" i="9" s="1"/>
  <c r="L12" i="9" s="1"/>
  <c r="J13" i="9"/>
  <c r="I13" i="9" s="1"/>
  <c r="L13" i="9" s="1"/>
  <c r="J14" i="9"/>
  <c r="I14" i="9" s="1"/>
  <c r="L14" i="9" s="1"/>
  <c r="J15" i="9"/>
  <c r="I15" i="9" s="1"/>
  <c r="L15" i="9" s="1"/>
  <c r="J16" i="9"/>
  <c r="I16" i="9" s="1"/>
  <c r="L16" i="9" s="1"/>
  <c r="J17" i="9"/>
  <c r="I17" i="9" s="1"/>
  <c r="L17" i="9" s="1"/>
  <c r="J18" i="9"/>
  <c r="I18" i="9" s="1"/>
  <c r="L18" i="9" s="1"/>
  <c r="J19" i="9"/>
  <c r="I19" i="9" s="1"/>
  <c r="L19" i="9" s="1"/>
  <c r="J20" i="9"/>
  <c r="I20" i="9" s="1"/>
  <c r="L20" i="9" s="1"/>
  <c r="J21" i="9"/>
  <c r="I21" i="9" s="1"/>
  <c r="L21" i="9" s="1"/>
  <c r="J10" i="9"/>
  <c r="I10" i="9" s="1"/>
  <c r="L10" i="9" s="1"/>
  <c r="I11" i="9"/>
  <c r="L11" i="9" s="1"/>
  <c r="J8" i="9"/>
  <c r="E22" i="9"/>
  <c r="D22" i="9" s="1"/>
  <c r="G22" i="9" s="1"/>
  <c r="E11" i="9"/>
  <c r="D11" i="9" s="1"/>
  <c r="G11" i="9" s="1"/>
  <c r="E12" i="9"/>
  <c r="D12" i="9" s="1"/>
  <c r="G12" i="9" s="1"/>
  <c r="E13" i="9"/>
  <c r="D13" i="9" s="1"/>
  <c r="G13" i="9" s="1"/>
  <c r="E10" i="9"/>
  <c r="D10" i="9" s="1"/>
  <c r="G10" i="9" s="1"/>
  <c r="U28" i="9"/>
  <c r="R28" i="9"/>
  <c r="P28" i="9"/>
  <c r="M28" i="9"/>
  <c r="K28" i="9"/>
  <c r="H28" i="9"/>
  <c r="F28" i="9"/>
  <c r="C28" i="9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2" i="10"/>
  <c r="S12" i="10" s="1"/>
  <c r="V1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0" i="10"/>
  <c r="S10" i="10" s="1"/>
  <c r="V10" i="10" s="1"/>
  <c r="O24" i="10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N8" i="10" s="1"/>
  <c r="Q8" i="10" s="1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E22" i="10"/>
  <c r="D22" i="10" s="1"/>
  <c r="G22" i="10" s="1"/>
  <c r="J11" i="10"/>
  <c r="I11" i="10" s="1"/>
  <c r="L11" i="10" s="1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J8" i="10"/>
  <c r="I8" i="10" s="1"/>
  <c r="L8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C29" i="9" l="1"/>
  <c r="J28" i="9"/>
  <c r="E28" i="9"/>
  <c r="T28" i="9"/>
  <c r="G28" i="9"/>
  <c r="O28" i="9"/>
  <c r="S28" i="9"/>
  <c r="V28" i="9"/>
  <c r="I8" i="9"/>
  <c r="N8" i="9"/>
  <c r="D28" i="9"/>
  <c r="J28" i="10"/>
  <c r="D28" i="10"/>
  <c r="C29" i="10"/>
  <c r="N28" i="10"/>
  <c r="V28" i="10"/>
  <c r="S28" i="10"/>
  <c r="L28" i="10"/>
  <c r="I28" i="10"/>
  <c r="G28" i="10"/>
  <c r="Q28" i="10"/>
  <c r="T28" i="10"/>
  <c r="E28" i="10"/>
  <c r="O28" i="10"/>
  <c r="C31" i="9" l="1"/>
  <c r="I28" i="9"/>
  <c r="L8" i="9"/>
  <c r="L28" i="9" s="1"/>
  <c r="Q8" i="9"/>
  <c r="Q28" i="9" s="1"/>
  <c r="N28" i="9"/>
  <c r="C30" i="10"/>
  <c r="C32" i="10" s="1"/>
  <c r="C31" i="10"/>
  <c r="C30" i="9" l="1"/>
  <c r="C32" i="9" s="1"/>
  <c r="M16" i="7" l="1"/>
  <c r="M10" i="17"/>
  <c r="O10" i="17"/>
  <c r="O9" i="17"/>
  <c r="M9" i="17"/>
  <c r="L9" i="17"/>
  <c r="N8" i="17"/>
  <c r="M8" i="17"/>
  <c r="O7" i="17"/>
  <c r="N7" i="17"/>
  <c r="M7" i="17"/>
  <c r="O10" i="15"/>
  <c r="I10" i="15" s="1"/>
  <c r="N10" i="15"/>
  <c r="M10" i="15"/>
  <c r="N9" i="15"/>
  <c r="M9" i="15"/>
  <c r="N8" i="15"/>
  <c r="M8" i="15"/>
  <c r="O8" i="15"/>
  <c r="O7" i="15"/>
  <c r="N7" i="15"/>
  <c r="M7" i="15"/>
  <c r="O14" i="13"/>
  <c r="N14" i="13"/>
  <c r="M14" i="13"/>
  <c r="M13" i="13"/>
  <c r="N13" i="13"/>
  <c r="O12" i="13"/>
  <c r="M12" i="13"/>
  <c r="L12" i="13"/>
  <c r="O11" i="13"/>
  <c r="M11" i="13"/>
  <c r="L11" i="13"/>
  <c r="N10" i="13"/>
  <c r="M10" i="13"/>
  <c r="L10" i="13"/>
  <c r="O9" i="13"/>
  <c r="N9" i="13"/>
  <c r="M9" i="13"/>
  <c r="L9" i="13"/>
  <c r="N7" i="13"/>
  <c r="M7" i="13"/>
  <c r="L7" i="19" l="1"/>
  <c r="L7" i="20"/>
  <c r="F7" i="20" s="1"/>
  <c r="M7" i="19"/>
  <c r="M7" i="20"/>
  <c r="K9" i="19"/>
  <c r="K9" i="20"/>
  <c r="L10" i="19"/>
  <c r="L10" i="20"/>
  <c r="F10" i="20" s="1"/>
  <c r="M8" i="19"/>
  <c r="M8" i="20"/>
  <c r="K8" i="19"/>
  <c r="K8" i="20"/>
  <c r="L9" i="19"/>
  <c r="L9" i="20"/>
  <c r="F9" i="20" s="1"/>
  <c r="M10" i="19"/>
  <c r="M10" i="20"/>
  <c r="K10" i="19"/>
  <c r="K10" i="20"/>
  <c r="K7" i="19"/>
  <c r="K7" i="20"/>
  <c r="L8" i="19"/>
  <c r="L8" i="20"/>
  <c r="F8" i="20" s="1"/>
  <c r="M9" i="19"/>
  <c r="M9" i="20"/>
  <c r="Q42" i="7"/>
  <c r="Q45" i="7"/>
  <c r="Q37" i="7"/>
  <c r="Q43" i="7"/>
  <c r="Q49" i="7"/>
  <c r="Q32" i="7"/>
  <c r="Q46" i="7"/>
  <c r="Q40" i="7"/>
  <c r="Q36" i="7"/>
  <c r="Q39" i="7"/>
  <c r="Q48" i="7"/>
  <c r="Q38" i="7"/>
  <c r="Q41" i="7"/>
  <c r="Q44" i="7"/>
  <c r="Q50" i="7"/>
  <c r="Q51" i="7"/>
  <c r="Q34" i="7"/>
  <c r="Q35" i="7"/>
  <c r="Q47" i="7"/>
  <c r="R41" i="7" l="1"/>
  <c r="R36" i="7"/>
  <c r="S41" i="7"/>
  <c r="S48" i="7"/>
  <c r="S36" i="7"/>
  <c r="R48" i="7"/>
  <c r="R46" i="7"/>
  <c r="S50" i="7"/>
  <c r="R50" i="7"/>
  <c r="S38" i="7"/>
  <c r="R38" i="7"/>
  <c r="R44" i="7"/>
  <c r="S44" i="7"/>
  <c r="S46" i="7"/>
  <c r="R34" i="7"/>
  <c r="S34" i="7"/>
  <c r="T41" i="7" l="1"/>
  <c r="W40" i="7" s="1"/>
  <c r="B3" i="8" s="1"/>
  <c r="T50" i="7"/>
  <c r="T36" i="7"/>
  <c r="T48" i="7"/>
  <c r="T44" i="7"/>
  <c r="T38" i="7"/>
  <c r="T46" i="7"/>
  <c r="T34" i="7"/>
  <c r="W48" i="7" l="1"/>
  <c r="B5" i="8" s="1"/>
  <c r="W44" i="7"/>
  <c r="B4" i="8" s="1"/>
  <c r="W32" i="7"/>
  <c r="B2" i="8" s="1"/>
  <c r="Q9" i="2" l="1"/>
  <c r="H13" i="12" l="1"/>
  <c r="H11" i="12"/>
  <c r="G13" i="12"/>
  <c r="G11" i="12"/>
  <c r="H9" i="12"/>
  <c r="G9" i="12"/>
  <c r="H8" i="12"/>
  <c r="G8" i="12"/>
  <c r="H6" i="12"/>
  <c r="G6" i="12"/>
  <c r="D8" i="12"/>
  <c r="C8" i="12"/>
  <c r="H16" i="12" l="1"/>
  <c r="C44" i="12"/>
  <c r="Q8" i="12" s="1"/>
  <c r="C42" i="12"/>
  <c r="Q6" i="12" s="1"/>
  <c r="C39" i="12"/>
  <c r="N9" i="12" s="1"/>
  <c r="C36" i="12"/>
  <c r="N6" i="12" s="1"/>
  <c r="C34" i="12"/>
  <c r="K9" i="12" s="1"/>
  <c r="C32" i="12"/>
  <c r="K7" i="12" s="1"/>
  <c r="C31" i="12"/>
  <c r="K6" i="12" s="1"/>
  <c r="D28" i="12"/>
  <c r="D13" i="12" s="1"/>
  <c r="C28" i="12"/>
  <c r="C13" i="12" s="1"/>
  <c r="D26" i="12"/>
  <c r="D11" i="12" s="1"/>
  <c r="C26" i="12"/>
  <c r="C11" i="12" s="1"/>
  <c r="D24" i="12"/>
  <c r="D9" i="12" s="1"/>
  <c r="C24" i="12"/>
  <c r="C9" i="12" s="1"/>
  <c r="C21" i="12"/>
  <c r="C6" i="12" s="1"/>
  <c r="D21" i="12"/>
  <c r="D6" i="12" s="1"/>
  <c r="N12" i="12" l="1"/>
  <c r="Q12" i="12"/>
  <c r="D16" i="12"/>
  <c r="K12" i="12"/>
  <c r="P7" i="2" l="1"/>
  <c r="P38" i="2" s="1"/>
  <c r="B35" i="7" l="1"/>
  <c r="B2" i="18" l="1"/>
  <c r="B3" i="18"/>
  <c r="D3" i="18"/>
  <c r="F3" i="18"/>
  <c r="I3" i="18"/>
  <c r="H4" i="18"/>
  <c r="B5" i="18"/>
  <c r="H5" i="18"/>
  <c r="B4" i="16"/>
  <c r="E4" i="16"/>
  <c r="H4" i="16"/>
  <c r="B2" i="14"/>
  <c r="E2" i="14"/>
  <c r="H2" i="14"/>
  <c r="E4" i="14"/>
  <c r="H4" i="14"/>
  <c r="D5" i="14"/>
  <c r="G5" i="14"/>
  <c r="D6" i="14"/>
  <c r="G6" i="14"/>
  <c r="B7" i="14"/>
  <c r="E7" i="14"/>
  <c r="H7" i="14"/>
  <c r="B8" i="14"/>
  <c r="N27" i="7" l="1"/>
  <c r="M27" i="7"/>
  <c r="L27" i="7"/>
  <c r="N26" i="7"/>
  <c r="M26" i="7"/>
  <c r="L26" i="7"/>
  <c r="N25" i="7"/>
  <c r="M25" i="7"/>
  <c r="L25" i="7"/>
  <c r="N24" i="7"/>
  <c r="M24" i="7"/>
  <c r="L24" i="7"/>
  <c r="N23" i="7"/>
  <c r="L23" i="7"/>
  <c r="N22" i="7"/>
  <c r="L22" i="7"/>
  <c r="K22" i="7"/>
  <c r="M21" i="7"/>
  <c r="L21" i="7"/>
  <c r="N20" i="7"/>
  <c r="M20" i="7"/>
  <c r="L20" i="7"/>
  <c r="N19" i="7"/>
  <c r="M19" i="7"/>
  <c r="L19" i="7"/>
  <c r="M18" i="7"/>
  <c r="L18" i="7"/>
  <c r="N17" i="7"/>
  <c r="M17" i="7"/>
  <c r="L17" i="7"/>
  <c r="N16" i="7"/>
  <c r="L16" i="7"/>
  <c r="N15" i="7"/>
  <c r="M15" i="7"/>
  <c r="L15" i="7"/>
  <c r="M14" i="7"/>
  <c r="L14" i="7"/>
  <c r="N13" i="7"/>
  <c r="L13" i="7"/>
  <c r="K13" i="7"/>
  <c r="N12" i="7"/>
  <c r="L12" i="7"/>
  <c r="K12" i="7"/>
  <c r="M11" i="7"/>
  <c r="L11" i="7"/>
  <c r="K11" i="7"/>
  <c r="N10" i="7"/>
  <c r="M10" i="7"/>
  <c r="L10" i="7"/>
  <c r="K10" i="7"/>
  <c r="M8" i="7"/>
  <c r="L8" i="7"/>
  <c r="Q21" i="7" l="1"/>
  <c r="Q24" i="7"/>
  <c r="Q27" i="7"/>
  <c r="Q14" i="7"/>
  <c r="Q26" i="7"/>
  <c r="Q22" i="7"/>
  <c r="Q19" i="7"/>
  <c r="Q23" i="7"/>
  <c r="Q25" i="7"/>
  <c r="Q20" i="7"/>
  <c r="Q17" i="7"/>
  <c r="Q15" i="7"/>
  <c r="Q8" i="7"/>
  <c r="Q18" i="7"/>
  <c r="Q16" i="7"/>
  <c r="Q13" i="7"/>
  <c r="Q12" i="7"/>
  <c r="Q11" i="7"/>
  <c r="Q10" i="7"/>
  <c r="S14" i="7" l="1"/>
  <c r="S24" i="7"/>
  <c r="R20" i="7"/>
  <c r="R26" i="7"/>
  <c r="R24" i="7"/>
  <c r="S20" i="7"/>
  <c r="R22" i="7"/>
  <c r="S26" i="7"/>
  <c r="S22" i="7"/>
  <c r="R17" i="7"/>
  <c r="S17" i="7"/>
  <c r="R14" i="7"/>
  <c r="R10" i="7"/>
  <c r="S10" i="7"/>
  <c r="S12" i="7"/>
  <c r="R12" i="7"/>
  <c r="T14" i="7" l="1"/>
  <c r="T26" i="7"/>
  <c r="T24" i="7"/>
  <c r="T20" i="7"/>
  <c r="T22" i="7"/>
  <c r="T10" i="7"/>
  <c r="T17" i="7"/>
  <c r="W16" i="7" s="1"/>
  <c r="T12" i="7"/>
  <c r="I8" i="11"/>
  <c r="I10" i="11"/>
  <c r="I13" i="11"/>
  <c r="I17" i="11"/>
  <c r="I20" i="11"/>
  <c r="H8" i="11"/>
  <c r="H10" i="11"/>
  <c r="H13" i="11"/>
  <c r="H17" i="11"/>
  <c r="H20" i="11"/>
  <c r="G11" i="11"/>
  <c r="G12" i="11"/>
  <c r="G21" i="11"/>
  <c r="G22" i="11"/>
  <c r="F11" i="11"/>
  <c r="F12" i="11"/>
  <c r="F21" i="11"/>
  <c r="F22" i="11"/>
  <c r="C8" i="11"/>
  <c r="C13" i="11"/>
  <c r="C14" i="11"/>
  <c r="C15" i="11"/>
  <c r="C16" i="11"/>
  <c r="C17" i="11"/>
  <c r="C18" i="11"/>
  <c r="C19" i="11"/>
  <c r="C20" i="11"/>
  <c r="C22" i="11"/>
  <c r="C23" i="11"/>
  <c r="C24" i="11"/>
  <c r="C25" i="11"/>
  <c r="C26" i="11"/>
  <c r="B8" i="11"/>
  <c r="B13" i="11"/>
  <c r="B14" i="11"/>
  <c r="B15" i="11"/>
  <c r="B16" i="11"/>
  <c r="B17" i="11"/>
  <c r="B18" i="11"/>
  <c r="B19" i="11"/>
  <c r="B20" i="11"/>
  <c r="B22" i="11"/>
  <c r="B23" i="11"/>
  <c r="B24" i="11"/>
  <c r="B25" i="11"/>
  <c r="B26" i="11"/>
  <c r="W24" i="7" l="1"/>
  <c r="W20" i="7"/>
  <c r="W8" i="7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L26" i="2"/>
  <c r="N26" i="2" s="1"/>
  <c r="L27" i="2"/>
  <c r="N27" i="2" s="1"/>
  <c r="L10" i="2"/>
  <c r="I7" i="2"/>
  <c r="I38" i="2" s="1"/>
  <c r="F7" i="2"/>
  <c r="F38" i="2" s="1"/>
  <c r="N25" i="2" l="1"/>
  <c r="N38" i="2" s="1"/>
  <c r="L38" i="2"/>
  <c r="V19" i="6"/>
  <c r="V21" i="6" s="1"/>
  <c r="J11" i="3"/>
  <c r="K11" i="3" s="1"/>
  <c r="W19" i="6"/>
  <c r="W21" i="6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E22" i="2" l="1"/>
  <c r="C38" i="2"/>
  <c r="C20" i="3" s="1"/>
  <c r="C19" i="3" s="1"/>
  <c r="E19" i="3" s="1"/>
  <c r="T21" i="6"/>
  <c r="D11" i="3"/>
  <c r="E11" i="3" s="1"/>
  <c r="U19" i="6"/>
  <c r="U21" i="6" s="1"/>
  <c r="G11" i="3"/>
  <c r="H11" i="3" s="1"/>
  <c r="E10" i="2"/>
  <c r="G15" i="11"/>
  <c r="E38" i="2" l="1"/>
  <c r="F25" i="11"/>
  <c r="N25" i="11" s="1"/>
  <c r="F9" i="19" s="1"/>
  <c r="F26" i="11"/>
  <c r="N26" i="11" s="1"/>
  <c r="F10" i="19" s="1"/>
  <c r="C35" i="3"/>
  <c r="F5" i="23" l="1"/>
  <c r="F37" i="21"/>
  <c r="F4" i="23"/>
  <c r="F36" i="21"/>
  <c r="G25" i="11"/>
  <c r="G26" i="11"/>
  <c r="D9" i="11" l="1"/>
  <c r="M9" i="11" s="1"/>
  <c r="I11" i="11"/>
  <c r="I12" i="11"/>
  <c r="I14" i="11"/>
  <c r="I15" i="11"/>
  <c r="I16" i="11"/>
  <c r="I18" i="11"/>
  <c r="I19" i="11"/>
  <c r="I21" i="11"/>
  <c r="I22" i="11"/>
  <c r="I23" i="11"/>
  <c r="I24" i="11"/>
  <c r="I25" i="11"/>
  <c r="I26" i="11"/>
  <c r="G10" i="11"/>
  <c r="G13" i="11"/>
  <c r="G14" i="11"/>
  <c r="G16" i="11"/>
  <c r="G17" i="11"/>
  <c r="G18" i="11"/>
  <c r="G19" i="11"/>
  <c r="G20" i="11"/>
  <c r="G23" i="11"/>
  <c r="G24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9" i="11" l="1"/>
  <c r="G9" i="11"/>
  <c r="G8" i="11"/>
  <c r="I9" i="11"/>
  <c r="E8" i="11"/>
  <c r="D23" i="11"/>
  <c r="M23" i="11" s="1"/>
  <c r="F23" i="11"/>
  <c r="N23" i="11" s="1"/>
  <c r="F7" i="19" s="1"/>
  <c r="H23" i="11"/>
  <c r="O23" i="11" s="1"/>
  <c r="D15" i="11"/>
  <c r="M15" i="11" s="1"/>
  <c r="H15" i="11"/>
  <c r="O15" i="11" s="1"/>
  <c r="B7" i="15" s="1"/>
  <c r="F15" i="11"/>
  <c r="N15" i="11" s="1"/>
  <c r="H25" i="11"/>
  <c r="O25" i="11" s="1"/>
  <c r="D25" i="11"/>
  <c r="M25" i="11" s="1"/>
  <c r="D22" i="11"/>
  <c r="M22" i="11" s="1"/>
  <c r="H22" i="11"/>
  <c r="O22" i="11" s="1"/>
  <c r="D16" i="11"/>
  <c r="M16" i="11" s="1"/>
  <c r="D26" i="11"/>
  <c r="M26" i="11" s="1"/>
  <c r="F16" i="11"/>
  <c r="N16" i="11" s="1"/>
  <c r="H26" i="11"/>
  <c r="O26" i="11" s="1"/>
  <c r="H16" i="11"/>
  <c r="O16" i="11" s="1"/>
  <c r="B8" i="15" s="1"/>
  <c r="D17" i="11"/>
  <c r="M17" i="11" s="1"/>
  <c r="F17" i="11"/>
  <c r="N17" i="11" s="1"/>
  <c r="H24" i="11"/>
  <c r="O24" i="11" s="1"/>
  <c r="D24" i="11"/>
  <c r="M24" i="11" s="1"/>
  <c r="D11" i="11"/>
  <c r="M11" i="11" s="1"/>
  <c r="H21" i="11"/>
  <c r="O21" i="11" s="1"/>
  <c r="H9" i="11"/>
  <c r="O9" i="11" s="1"/>
  <c r="D21" i="11"/>
  <c r="M21" i="11" s="1"/>
  <c r="F9" i="11"/>
  <c r="N9" i="11" s="1"/>
  <c r="F24" i="11"/>
  <c r="N24" i="11" s="1"/>
  <c r="F8" i="19" s="1"/>
  <c r="H11" i="11"/>
  <c r="O11" i="11" s="1"/>
  <c r="D13" i="11"/>
  <c r="M13" i="11" s="1"/>
  <c r="H18" i="11"/>
  <c r="O18" i="11" s="1"/>
  <c r="B10" i="15" s="1"/>
  <c r="H12" i="11"/>
  <c r="O12" i="11" s="1"/>
  <c r="F18" i="11"/>
  <c r="N18" i="11" s="1"/>
  <c r="F13" i="11"/>
  <c r="N13" i="11" s="1"/>
  <c r="D20" i="11"/>
  <c r="M20" i="11" s="1"/>
  <c r="D12" i="11"/>
  <c r="M12" i="11" s="1"/>
  <c r="F14" i="11"/>
  <c r="N14" i="11" s="1"/>
  <c r="D18" i="11"/>
  <c r="M18" i="11" s="1"/>
  <c r="D14" i="11"/>
  <c r="M14" i="11" s="1"/>
  <c r="D10" i="11"/>
  <c r="M10" i="11" s="1"/>
  <c r="F20" i="11"/>
  <c r="N20" i="11" s="1"/>
  <c r="H8" i="17" s="1"/>
  <c r="F10" i="11"/>
  <c r="N10" i="11" s="1"/>
  <c r="H14" i="11"/>
  <c r="O14" i="11" s="1"/>
  <c r="F8" i="11"/>
  <c r="N8" i="11" s="1"/>
  <c r="F19" i="11"/>
  <c r="N19" i="11" s="1"/>
  <c r="H7" i="17" s="1"/>
  <c r="D8" i="11"/>
  <c r="M8" i="11" s="1"/>
  <c r="D19" i="11"/>
  <c r="M19" i="11" s="1"/>
  <c r="H19" i="11"/>
  <c r="O19" i="11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1"/>
  <c r="C11" i="11"/>
  <c r="C12" i="11"/>
  <c r="C21" i="11"/>
  <c r="D34" i="3"/>
  <c r="D35" i="3"/>
  <c r="E34" i="3"/>
  <c r="E35" i="3"/>
  <c r="F35" i="3"/>
  <c r="C34" i="3"/>
  <c r="D38" i="2" l="1"/>
  <c r="M38" i="2"/>
  <c r="F55" i="3" s="1"/>
  <c r="C55" i="3"/>
  <c r="C9" i="11"/>
  <c r="G34" i="3"/>
  <c r="H2" i="18"/>
  <c r="H25" i="21"/>
  <c r="H3" i="18"/>
  <c r="H26" i="21"/>
  <c r="F2" i="23"/>
  <c r="F34" i="21"/>
  <c r="F3" i="23"/>
  <c r="F35" i="21"/>
  <c r="B5" i="16"/>
  <c r="B19" i="21"/>
  <c r="B3" i="16"/>
  <c r="B17" i="21"/>
  <c r="B2" i="16"/>
  <c r="B16" i="21"/>
  <c r="R19" i="11"/>
  <c r="R16" i="11"/>
  <c r="R18" i="11"/>
  <c r="R13" i="11"/>
  <c r="R17" i="11"/>
  <c r="R8" i="11"/>
  <c r="R20" i="11"/>
  <c r="R24" i="11"/>
  <c r="R22" i="11"/>
  <c r="R23" i="11"/>
  <c r="R15" i="11"/>
  <c r="R25" i="11"/>
  <c r="R26" i="11"/>
  <c r="B11" i="11"/>
  <c r="L11" i="11" s="1"/>
  <c r="R11" i="11" s="1"/>
  <c r="B21" i="11"/>
  <c r="L21" i="11" s="1"/>
  <c r="B9" i="11"/>
  <c r="L9" i="11" s="1"/>
  <c r="R9" i="11" s="1"/>
  <c r="R14" i="11"/>
  <c r="B12" i="11"/>
  <c r="L12" i="11" s="1"/>
  <c r="B10" i="11"/>
  <c r="L10" i="11" s="1"/>
  <c r="B10" i="13" s="1"/>
  <c r="C40" i="1"/>
  <c r="C43" i="1" s="1"/>
  <c r="O25" i="2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5" i="2" l="1"/>
  <c r="O38" i="2"/>
  <c r="Q7" i="2"/>
  <c r="C42" i="3"/>
  <c r="B4" i="14"/>
  <c r="B7" i="21"/>
  <c r="R12" i="11"/>
  <c r="S11" i="11" s="1"/>
  <c r="S16" i="11"/>
  <c r="T19" i="11"/>
  <c r="G20" i="3"/>
  <c r="T16" i="11"/>
  <c r="T25" i="11"/>
  <c r="S25" i="11"/>
  <c r="S19" i="11"/>
  <c r="S13" i="11"/>
  <c r="T13" i="11"/>
  <c r="T23" i="11"/>
  <c r="M29" i="11"/>
  <c r="C37" i="3" s="1"/>
  <c r="C38" i="3" s="1"/>
  <c r="R10" i="11"/>
  <c r="S9" i="11" s="1"/>
  <c r="S23" i="11"/>
  <c r="B9" i="17"/>
  <c r="R21" i="11"/>
  <c r="S21" i="11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8"/>
  <c r="B27" i="21"/>
  <c r="T11" i="11"/>
  <c r="U11" i="11" s="1"/>
  <c r="U25" i="11"/>
  <c r="U16" i="11"/>
  <c r="U19" i="11"/>
  <c r="T21" i="11"/>
  <c r="U21" i="11" s="1"/>
  <c r="U13" i="11"/>
  <c r="T9" i="11"/>
  <c r="U9" i="11" s="1"/>
  <c r="U23" i="11"/>
  <c r="P20" i="3"/>
  <c r="Q20" i="3" s="1"/>
  <c r="C39" i="3"/>
  <c r="C41" i="3"/>
  <c r="H19" i="3" l="1"/>
  <c r="P19" i="3"/>
  <c r="U29" i="11"/>
  <c r="G48" i="3"/>
  <c r="N19" i="3" l="1"/>
  <c r="O19" i="3"/>
  <c r="C40" i="3" l="1"/>
  <c r="Q19" i="3"/>
  <c r="E11" i="13" l="1"/>
  <c r="B11" i="13"/>
  <c r="E14" i="13"/>
  <c r="E12" i="13"/>
  <c r="B12" i="13"/>
  <c r="E9" i="13"/>
  <c r="B9" i="13"/>
  <c r="E3" i="14" l="1"/>
  <c r="E6" i="21"/>
  <c r="E6" i="14"/>
  <c r="E9" i="21"/>
  <c r="B3" i="14"/>
  <c r="B6" i="21"/>
  <c r="B5" i="14"/>
  <c r="B8" i="21"/>
  <c r="E8" i="14"/>
  <c r="E11" i="21"/>
  <c r="B6" i="14"/>
  <c r="B9" i="21"/>
  <c r="E5" i="14"/>
  <c r="E8" i="21"/>
  <c r="M15" i="21" l="1"/>
  <c r="M31" i="21" l="1"/>
  <c r="M33" i="21" l="1"/>
  <c r="M25" i="21" l="1"/>
  <c r="M28" i="21" l="1"/>
  <c r="M23" i="21"/>
  <c r="M17" i="21" l="1"/>
  <c r="D8" i="15"/>
  <c r="D10" i="15"/>
  <c r="M19" i="21"/>
  <c r="M14" i="21"/>
  <c r="D5" i="16" l="1"/>
  <c r="D19" i="21"/>
  <c r="D17" i="21"/>
  <c r="D3" i="16"/>
  <c r="M7" i="21" l="1"/>
  <c r="M9" i="21"/>
  <c r="M8" i="21"/>
  <c r="D19" i="17" l="1"/>
  <c r="M26" i="21" l="1"/>
  <c r="D19" i="15" l="1"/>
  <c r="D16" i="15"/>
  <c r="M13" i="21" s="1"/>
  <c r="M16" i="21" l="1"/>
  <c r="G10" i="15"/>
  <c r="G7" i="15"/>
  <c r="G9" i="15"/>
  <c r="G8" i="15"/>
  <c r="D7" i="15"/>
  <c r="D16" i="20"/>
  <c r="D16" i="19"/>
  <c r="D18" i="19" l="1"/>
  <c r="D18" i="20"/>
  <c r="M32" i="21"/>
  <c r="E9" i="19"/>
  <c r="E10" i="19"/>
  <c r="C7" i="19"/>
  <c r="E7" i="19"/>
  <c r="C8" i="19"/>
  <c r="C10" i="19"/>
  <c r="C9" i="19"/>
  <c r="E8" i="19"/>
  <c r="G4" i="16"/>
  <c r="G18" i="21"/>
  <c r="G16" i="21"/>
  <c r="G2" i="16"/>
  <c r="D16" i="21"/>
  <c r="D2" i="16"/>
  <c r="G19" i="21"/>
  <c r="G5" i="16"/>
  <c r="E9" i="20"/>
  <c r="C10" i="20"/>
  <c r="C7" i="20"/>
  <c r="E10" i="20"/>
  <c r="C9" i="20"/>
  <c r="E8" i="20"/>
  <c r="C8" i="20"/>
  <c r="E7" i="20"/>
  <c r="G17" i="21"/>
  <c r="G3" i="16"/>
  <c r="C3" i="23" l="1"/>
  <c r="C35" i="21"/>
  <c r="E36" i="21"/>
  <c r="E4" i="23"/>
  <c r="E34" i="21"/>
  <c r="E2" i="23"/>
  <c r="C36" i="21"/>
  <c r="C4" i="23"/>
  <c r="C2" i="23"/>
  <c r="C34" i="21"/>
  <c r="B8" i="20"/>
  <c r="D7" i="20"/>
  <c r="B10" i="20"/>
  <c r="D10" i="20"/>
  <c r="B9" i="20"/>
  <c r="D9" i="20"/>
  <c r="B7" i="20"/>
  <c r="D8" i="20"/>
  <c r="E35" i="21"/>
  <c r="E3" i="23"/>
  <c r="C5" i="23"/>
  <c r="C37" i="21"/>
  <c r="E37" i="21"/>
  <c r="E5" i="23"/>
  <c r="B10" i="19"/>
  <c r="D10" i="19"/>
  <c r="B9" i="19"/>
  <c r="D7" i="19"/>
  <c r="M34" i="21"/>
  <c r="D9" i="19"/>
  <c r="D8" i="19"/>
  <c r="B7" i="19"/>
  <c r="B8" i="19"/>
  <c r="D3" i="23" l="1"/>
  <c r="D35" i="21"/>
  <c r="B3" i="23"/>
  <c r="B35" i="21"/>
  <c r="B5" i="23"/>
  <c r="B37" i="21"/>
  <c r="B34" i="21"/>
  <c r="B2" i="23"/>
  <c r="D2" i="23"/>
  <c r="D34" i="21"/>
  <c r="B4" i="23"/>
  <c r="B36" i="21"/>
  <c r="D36" i="21"/>
  <c r="D4" i="23"/>
  <c r="D5" i="23"/>
  <c r="D37" i="21"/>
  <c r="D15" i="15" l="1"/>
  <c r="M12" i="21" l="1"/>
  <c r="H7" i="15"/>
  <c r="H8" i="15"/>
  <c r="H10" i="15"/>
  <c r="E8" i="15"/>
  <c r="E10" i="15"/>
  <c r="E7" i="15"/>
  <c r="E3" i="16" l="1"/>
  <c r="E17" i="21"/>
  <c r="H19" i="21"/>
  <c r="H5" i="16"/>
  <c r="E2" i="16"/>
  <c r="E16" i="21"/>
  <c r="H3" i="16"/>
  <c r="H17" i="21"/>
  <c r="E5" i="16"/>
  <c r="E19" i="21"/>
  <c r="H16" i="21"/>
  <c r="H2" i="16"/>
  <c r="D21" i="15" l="1"/>
  <c r="M18" i="21" l="1"/>
  <c r="C9" i="15"/>
  <c r="F9" i="15"/>
  <c r="F7" i="15"/>
  <c r="C8" i="15"/>
  <c r="F8" i="15"/>
  <c r="C7" i="15"/>
  <c r="D9" i="15"/>
  <c r="F10" i="15"/>
  <c r="C10" i="15"/>
  <c r="F5" i="16" l="1"/>
  <c r="F19" i="21"/>
  <c r="D18" i="21"/>
  <c r="D4" i="16"/>
  <c r="F2" i="16"/>
  <c r="F16" i="21"/>
  <c r="C16" i="21"/>
  <c r="C2" i="16"/>
  <c r="F4" i="16"/>
  <c r="F18" i="21"/>
  <c r="C19" i="21"/>
  <c r="C5" i="16"/>
  <c r="F17" i="21"/>
  <c r="F3" i="16"/>
  <c r="C18" i="21"/>
  <c r="C4" i="16"/>
  <c r="C17" i="21"/>
  <c r="C3" i="16"/>
  <c r="D15" i="17" l="1"/>
  <c r="M22" i="21" l="1"/>
  <c r="I9" i="17"/>
  <c r="I10" i="17"/>
  <c r="I7" i="17"/>
  <c r="I28" i="21" l="1"/>
  <c r="I5" i="18"/>
  <c r="I27" i="21"/>
  <c r="I4" i="18"/>
  <c r="I25" i="21"/>
  <c r="I2" i="18"/>
  <c r="D14" i="17" l="1"/>
  <c r="F7" i="17" l="1"/>
  <c r="F10" i="17"/>
  <c r="F9" i="17"/>
  <c r="M21" i="21"/>
  <c r="D10" i="17"/>
  <c r="D9" i="17"/>
  <c r="D7" i="17"/>
  <c r="D5" i="18" l="1"/>
  <c r="D28" i="21"/>
  <c r="F25" i="21"/>
  <c r="F2" i="18"/>
  <c r="D25" i="21"/>
  <c r="D2" i="18"/>
  <c r="F27" i="21"/>
  <c r="F4" i="18"/>
  <c r="D27" i="21"/>
  <c r="D4" i="18"/>
  <c r="F5" i="18"/>
  <c r="F28" i="21"/>
  <c r="F21" i="13" l="1"/>
  <c r="H11" i="13" l="1"/>
  <c r="H9" i="13"/>
  <c r="M6" i="21"/>
  <c r="H12" i="13"/>
  <c r="H14" i="13"/>
  <c r="H8" i="21" l="1"/>
  <c r="H5" i="14"/>
  <c r="H6" i="14"/>
  <c r="H9" i="21"/>
  <c r="H11" i="21"/>
  <c r="H8" i="14"/>
  <c r="H3" i="14"/>
  <c r="H6" i="21"/>
  <c r="D17" i="17" l="1"/>
  <c r="M24" i="21" s="1"/>
  <c r="F18" i="13" l="1"/>
  <c r="F19" i="13"/>
  <c r="C13" i="13" l="1"/>
  <c r="F12" i="13"/>
  <c r="F10" i="13"/>
  <c r="C14" i="13"/>
  <c r="C11" i="13"/>
  <c r="F13" i="13"/>
  <c r="M4" i="21"/>
  <c r="C10" i="13"/>
  <c r="C7" i="13"/>
  <c r="F8" i="13"/>
  <c r="F5" i="21" s="1"/>
  <c r="C12" i="13"/>
  <c r="C8" i="13"/>
  <c r="C5" i="21" s="1"/>
  <c r="F14" i="13"/>
  <c r="F11" i="13"/>
  <c r="F7" i="13"/>
  <c r="F9" i="13"/>
  <c r="C9" i="13"/>
  <c r="D13" i="13"/>
  <c r="D7" i="13"/>
  <c r="D10" i="13"/>
  <c r="G8" i="13"/>
  <c r="G5" i="21" s="1"/>
  <c r="G14" i="13"/>
  <c r="D14" i="13"/>
  <c r="G9" i="13"/>
  <c r="G13" i="13"/>
  <c r="G10" i="13"/>
  <c r="D9" i="13"/>
  <c r="M3" i="21"/>
  <c r="D8" i="13"/>
  <c r="D5" i="21" s="1"/>
  <c r="G7" i="13"/>
  <c r="G7" i="14" l="1"/>
  <c r="G10" i="21"/>
  <c r="C6" i="21"/>
  <c r="C3" i="14"/>
  <c r="G6" i="21"/>
  <c r="G3" i="14"/>
  <c r="D4" i="14"/>
  <c r="D7" i="21"/>
  <c r="F6" i="21"/>
  <c r="F3" i="14"/>
  <c r="C7" i="21"/>
  <c r="C4" i="14"/>
  <c r="C11" i="21"/>
  <c r="C8" i="14"/>
  <c r="D6" i="21"/>
  <c r="D3" i="14"/>
  <c r="D8" i="14"/>
  <c r="D11" i="21"/>
  <c r="D4" i="21"/>
  <c r="D2" i="14"/>
  <c r="F2" i="14"/>
  <c r="F4" i="21"/>
  <c r="C6" i="14"/>
  <c r="C9" i="21"/>
  <c r="F4" i="14"/>
  <c r="F7" i="21"/>
  <c r="G2" i="14"/>
  <c r="G4" i="21"/>
  <c r="G7" i="21"/>
  <c r="G4" i="14"/>
  <c r="G8" i="14"/>
  <c r="G11" i="21"/>
  <c r="D10" i="21"/>
  <c r="D7" i="14"/>
  <c r="F8" i="21"/>
  <c r="F5" i="14"/>
  <c r="F7" i="14"/>
  <c r="F10" i="21"/>
  <c r="F6" i="14"/>
  <c r="F9" i="21"/>
  <c r="F11" i="21"/>
  <c r="F8" i="14"/>
  <c r="C2" i="14"/>
  <c r="C4" i="21"/>
  <c r="C8" i="21"/>
  <c r="C5" i="14"/>
  <c r="C7" i="14"/>
  <c r="C10" i="21"/>
  <c r="F17" i="13" l="1"/>
  <c r="M2" i="21" s="1"/>
  <c r="D20" i="17" l="1"/>
  <c r="G7" i="17" l="1"/>
  <c r="C8" i="17"/>
  <c r="M27" i="21"/>
  <c r="C10" i="17"/>
  <c r="C7" i="17"/>
  <c r="G9" i="17"/>
  <c r="C9" i="17"/>
  <c r="G10" i="17"/>
  <c r="G8" i="17"/>
  <c r="E8" i="17"/>
  <c r="E7" i="17"/>
  <c r="E10" i="17"/>
  <c r="E9" i="17"/>
  <c r="C25" i="21" l="1"/>
  <c r="C2" i="18"/>
  <c r="E28" i="21"/>
  <c r="E5" i="18"/>
  <c r="G5" i="18"/>
  <c r="G28" i="21"/>
  <c r="C28" i="21"/>
  <c r="C5" i="18"/>
  <c r="E27" i="21"/>
  <c r="E4" i="18"/>
  <c r="G3" i="18"/>
  <c r="G26" i="21"/>
  <c r="G25" i="21"/>
  <c r="G2" i="18"/>
  <c r="E2" i="18"/>
  <c r="E25" i="21"/>
  <c r="C4" i="18"/>
  <c r="C27" i="21"/>
  <c r="E26" i="21"/>
  <c r="E3" i="18"/>
  <c r="G4" i="18"/>
  <c r="G27" i="21"/>
  <c r="C26" i="21"/>
  <c r="C3" i="18"/>
</calcChain>
</file>

<file path=xl/sharedStrings.xml><?xml version="1.0" encoding="utf-8"?>
<sst xmlns="http://schemas.openxmlformats.org/spreadsheetml/2006/main" count="1126" uniqueCount="226">
  <si>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</si>
  <si>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</si>
  <si>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</si>
  <si>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</si>
  <si>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</si>
  <si>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</si>
  <si>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</si>
  <si>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</si>
  <si>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</si>
  <si>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</si>
  <si>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</si>
  <si>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</si>
  <si>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</si>
  <si>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</si>
  <si>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</si>
  <si>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</si>
  <si>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</si>
  <si>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</si>
  <si>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</si>
  <si>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</si>
  <si>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</si>
  <si>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</si>
  <si>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</si>
  <si>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</si>
  <si>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</si>
  <si>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</si>
  <si>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</si>
  <si>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</si>
  <si>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</si>
  <si>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</si>
  <si>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</si>
  <si>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</si>
  <si>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</si>
  <si>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</si>
  <si>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</si>
  <si>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</si>
  <si>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</si>
  <si>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</si>
  <si>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</si>
  <si>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</si>
  <si>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</si>
  <si>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</si>
  <si>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</si>
  <si>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</si>
  <si>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</si>
  <si>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</si>
  <si>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</si>
  <si>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</si>
  <si>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</si>
  <si>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</si>
  <si>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</si>
  <si>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</si>
  <si>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</si>
  <si>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</si>
  <si>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</si>
  <si>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</si>
  <si>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</si>
  <si>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</si>
  <si>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</si>
  <si>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</si>
  <si>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</si>
  <si>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</si>
  <si>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</si>
  <si>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</si>
  <si>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</si>
  <si>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</si>
  <si>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</si>
  <si>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</si>
  <si>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</si>
  <si>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</si>
  <si>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</si>
  <si>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</si>
  <si>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</si>
  <si>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</si>
  <si>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</si>
  <si>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</si>
  <si>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</si>
  <si>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</si>
  <si>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</si>
  <si>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</si>
  <si>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</si>
  <si>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</si>
  <si>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</si>
  <si>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</si>
  <si>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</si>
  <si>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</si>
  <si>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</si>
  <si>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</si>
  <si>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</si>
  <si>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</si>
  <si>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</si>
  <si>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</si>
  <si>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</si>
  <si>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</si>
  <si>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</si>
  <si>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</si>
  <si>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</si>
  <si>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</si>
  <si>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</si>
  <si>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</si>
  <si>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</si>
  <si>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</si>
  <si>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</si>
  <si>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</si>
  <si>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</si>
  <si>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</si>
  <si>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</si>
  <si>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</si>
  <si>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</si>
  <si>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</si>
  <si>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</si>
  <si>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</si>
  <si>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</si>
  <si>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</si>
  <si>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</si>
  <si>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</si>
  <si>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</si>
  <si>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</si>
  <si>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</si>
  <si>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</si>
  <si>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</si>
  <si>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</si>
  <si>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</si>
  <si>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</si>
  <si>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</si>
  <si>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</si>
  <si>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</si>
  <si>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</si>
  <si>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</si>
  <si>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</si>
  <si>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</si>
  <si>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</si>
  <si>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</si>
  <si>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</si>
  <si>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</si>
  <si>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</si>
  <si>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</si>
  <si>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</si>
  <si>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</si>
  <si>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</si>
  <si>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</si>
  <si>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</si>
  <si>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</si>
  <si>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</si>
  <si>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</si>
  <si>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</si>
  <si>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</si>
  <si>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</si>
  <si>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</si>
  <si>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</si>
  <si>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</si>
  <si>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</si>
  <si>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</si>
  <si>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</si>
  <si>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</si>
  <si>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</si>
  <si>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</si>
  <si>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</si>
  <si>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</si>
  <si>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</si>
  <si>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</si>
  <si>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</si>
  <si>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</si>
  <si>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</si>
  <si>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</si>
  <si>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</si>
  <si>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</si>
  <si>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</si>
  <si>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</si>
  <si>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</si>
  <si>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</si>
  <si>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</si>
  <si>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</si>
  <si>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</si>
  <si>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</si>
  <si>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</si>
  <si>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</si>
  <si>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</si>
  <si>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</si>
  <si>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</si>
  <si>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</si>
  <si>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</si>
  <si>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</si>
  <si>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</si>
  <si>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</si>
  <si>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</si>
  <si>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</si>
  <si>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</si>
  <si>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</si>
  <si>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</si>
  <si>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</si>
  <si>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</si>
  <si>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</si>
  <si>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</si>
  <si>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</si>
  <si>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</si>
  <si>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</si>
  <si>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</si>
  <si>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</si>
  <si>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</si>
  <si>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</si>
  <si>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عميد اشرف</t>
  </si>
  <si>
    <t>جندي ابراهيم</t>
  </si>
  <si>
    <t>عميد اسامه</t>
  </si>
  <si>
    <t>عقيد محمد</t>
  </si>
  <si>
    <t xml:space="preserve">النقيب صلاح </t>
  </si>
  <si>
    <t>عميد محمد</t>
  </si>
  <si>
    <t xml:space="preserve">المقدم محمد </t>
  </si>
  <si>
    <t xml:space="preserve">العقيد احمد </t>
  </si>
  <si>
    <t xml:space="preserve">جندي عبدالله </t>
  </si>
  <si>
    <t xml:space="preserve">النقيب علاء </t>
  </si>
  <si>
    <t xml:space="preserve">العقيد علاء </t>
  </si>
  <si>
    <t xml:space="preserve">الظابط سامح </t>
  </si>
  <si>
    <t xml:space="preserve">العقيد طارق </t>
  </si>
  <si>
    <t xml:space="preserve">النقيب احمد </t>
  </si>
  <si>
    <t xml:space="preserve">محاسب </t>
  </si>
  <si>
    <t>نقيب حفناوي</t>
  </si>
  <si>
    <t xml:space="preserve">محاسب ماركو </t>
  </si>
  <si>
    <t xml:space="preserve">العميد سيد </t>
  </si>
  <si>
    <t xml:space="preserve">عقيد محمد </t>
  </si>
  <si>
    <t xml:space="preserve">جندي مصطفي </t>
  </si>
  <si>
    <t xml:space="preserve">العميد سمير </t>
  </si>
  <si>
    <t>مبيعات محطات وقود شل اوت عن يوم الثلاثاء الموافق 3 / 9 / 2019</t>
  </si>
  <si>
    <t xml:space="preserve">الظابط رزق </t>
  </si>
  <si>
    <t xml:space="preserve">العقيد وائل </t>
  </si>
  <si>
    <t xml:space="preserve">محاسب اسلام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</si>
</sst>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17" borderId="1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1596</v>
          </cell>
        </row>
        <row r="3">
          <cell r="D3">
            <v>3422</v>
          </cell>
        </row>
        <row r="4">
          <cell r="D4">
            <v>1064</v>
          </cell>
        </row>
        <row r="5">
          <cell r="D5">
            <v>2245</v>
          </cell>
        </row>
        <row r="6">
          <cell r="D6">
            <v>0</v>
          </cell>
        </row>
        <row r="7">
          <cell r="D7">
            <v>166</v>
          </cell>
        </row>
        <row r="8">
          <cell r="D8">
            <v>100</v>
          </cell>
        </row>
        <row r="9">
          <cell r="D9">
            <v>232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69EC904-B709-412B-BAE9-4FE1EC60FBF3}" diskRevisions="1" revisionId="340" version="37">
  <header guid="{0F634DB9-1FB7-434F-8575-34F77CD7BD68}" dateTime="2019-09-01T11:57:15" maxSheetId="24" userName="pp" r:id="rId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4DBB4F0-3112-473D-8D65-93FDB6A7E7EF}" dateTime="2019-09-03T10:10:47" maxSheetId="24" userName="pp" r:id="rId2" minRId="1" maxRId="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089AC17A-B5E4-4431-852E-FEF780721B29}" dateTime="2019-09-04T07:16:57" maxSheetId="24" userName="pp" r:id="rId3" minRId="9" maxRId="1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B0F322EF-07D9-4E53-BD74-CACD274A0761}" dateTime="2019-09-04T07:50:36" maxSheetId="24" userName="pp" r:id="rId4" minRId="24" maxRId="3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673A875-41F3-4BD2-8330-634672B94D7D}" dateTime="2019-09-04T07:55:42" maxSheetId="24" userName="pp" r:id="rId5" minRId="33" maxRId="3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8B08126-C3F4-4380-9FD8-8C65713DADBC}" dateTime="2019-09-04T08:04:42" maxSheetId="24" userName="pp" r:id="rId6" minRId="40" maxRId="4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637823B-4747-43D1-95A6-08207D935466}" dateTime="2019-09-04T08:05:24" maxSheetId="24" userName="pp" r:id="rId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8892730-2665-438C-886F-441A33A35FFD}" dateTime="2019-09-04T08:21:32" maxSheetId="24" userName="pp" r:id="rId8" minRId="52" maxRId="5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01C33476-17D9-40CC-A1E7-A2EF85E7372C}" dateTime="2019-09-04T08:24:37" maxSheetId="24" userName="pp" r:id="rId9" minRId="57" maxRId="6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E5F6DAD-4069-4D83-B4E3-568A8690B35E}" dateTime="2019-09-04T08:28:18" maxSheetId="24" userName="pp" r:id="rId10" minRId="66" maxRId="7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8F81EC93-06DC-4696-AD80-36E0B287F625}" dateTime="2019-09-04T08:31:02" maxSheetId="24" userName="pp" r:id="rId1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A87D37A-88E7-4B36-B00C-7FDE7FA2540B}" dateTime="2019-09-04T08:33:42" maxSheetId="24" userName="pp" r:id="rId12" minRId="78" maxRId="8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0455BCA-FF43-45ED-B591-4D02F6F48997}" dateTime="2019-09-04T08:38:42" maxSheetId="24" userName="pp" r:id="rId13" minRId="86" maxRId="9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B7A1F2D7-3BE9-402F-95BA-8A29C6306456}" dateTime="2019-09-04T08:40:56" maxSheetId="24" userName="pp" r:id="rId14" minRId="95" maxRId="9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A5A032C-B733-405B-ACB4-75FAA3D2C0AA}" dateTime="2019-09-04T08:44:06" maxSheetId="24" userName="pp" r:id="rId15" minRId="100" maxRId="10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3EC539C-ED91-42D1-903B-C9DBB543A6DC}" dateTime="2019-09-04T08:46:47" maxSheetId="24" userName="pp" r:id="rId16" minRId="106" maxRId="11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5C2C906-55CF-4663-A628-AE17622D8CB9}" dateTime="2019-09-04T08:48:18" maxSheetId="24" userName="pp" r:id="rId17" minRId="112" maxRId="12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A50B6794-8F59-4F19-B801-E17AB2C01F19}" dateTime="2019-09-04T08:52:40" maxSheetId="24" userName="pp" r:id="rId18" minRId="121" maxRId="12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C5628FA-3E00-470B-AF15-BD42BC81D2A3}" dateTime="2019-09-04T08:54:59" maxSheetId="24" userName="pp" r:id="rId19" minRId="127" maxRId="13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980901AE-659B-4080-96BF-3E4B0E84A8F6}" dateTime="2019-09-04T08:58:38" maxSheetId="24" userName="pp" r:id="rId20" minRId="137" maxRId="14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215A012-73A4-4789-8F64-6761DC263952}" dateTime="2019-09-04T09:13:17" maxSheetId="24" userName="pp" r:id="rId21" minRId="145" maxRId="16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1333CD4-664A-49A1-85F2-055BA5FB38A9}" dateTime="2019-09-04T09:16:11" maxSheetId="24" userName="pp" r:id="rId22" minRId="162" maxRId="16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D325C84-1F55-49B1-B827-2A4E9DA6F9E6}" dateTime="2019-09-04T09:24:00" maxSheetId="24" userName="pp" r:id="rId23" minRId="168" maxRId="17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0EAA048C-A710-4483-A9D0-685D46B1304B}" dateTime="2019-09-04T09:31:41" maxSheetId="24" userName="pp" r:id="rId24" minRId="174" maxRId="18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D57FA08-B610-4B13-ACCE-B10AFC551657}" dateTime="2019-09-04T09:38:20" maxSheetId="24" userName="pp" r:id="rId25" minRId="183" maxRId="18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554D309-BD15-48DF-B8F7-AC44A2575062}" dateTime="2019-09-04T09:50:09" maxSheetId="24" userName="pp" r:id="rId26" minRId="189" maxRId="19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193DE50-A699-4904-843B-4B35C8D1008B}" dateTime="2019-09-04T09:52:50" maxSheetId="24" userName="pp" r:id="rId27" minRId="195" maxRId="20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FA5148C-1F7D-43C6-B989-D046BB9E46FD}" dateTime="2019-09-04T09:54:32" maxSheetId="24" userName="pp" r:id="rId28" minRId="203" maxRId="21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A57A46D-7CE7-412F-B445-AEF37CDA3E2D}" dateTime="2019-09-04T10:14:45" maxSheetId="24" userName="pp" r:id="rId29" minRId="211" maxRId="21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208385B-E54E-47DA-969C-4D9FEAA326A5}" dateTime="2019-09-04T10:19:13" maxSheetId="24" userName="pp" r:id="rId30" minRId="213" maxRId="21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C44C4AD-1247-4E15-917A-3DDE7433ADF9}" dateTime="2019-09-04T10:25:42" maxSheetId="24" userName="pp" r:id="rId31" minRId="219" maxRId="22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91053657-ADAC-42E9-8B3E-1D116D6EE19D}" dateTime="2019-09-04T13:49:18" maxSheetId="24" userName="pp" r:id="rId32" minRId="22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976DBD73-2709-4571-A2F0-8786CFC953A5}" dateTime="2019-09-04T14:03:08" maxSheetId="24" userName="pp" r:id="rId33" minRId="23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B2E4DF54-D8AE-46A3-907D-3C852B6AC5B8}" dateTime="2019-09-05T00:27:58" maxSheetId="24" userName="pp" r:id="rId34" minRId="231" maxRId="26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91754F50-B23D-447D-A8C2-7CB9A0B32E23}" dateTime="2019-09-05T00:44:06" maxSheetId="24" userName="pp" r:id="rId35" minRId="262" maxRId="29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5E4278E-152D-407E-A8DA-2CAB6B4410AA}" dateTime="2019-09-05T00:56:23" maxSheetId="24" userName="pp" r:id="rId36" minRId="294" maxRId="33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69EC904-B709-412B-BAE9-4FE1EC60FBF3}" dateTime="2019-09-05T10:29:43" maxSheetId="24" userName="pp" r:id="rId3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4">
    <nc r="H5">
      <v>24721</v>
    </nc>
  </rcc>
  <rcc rId="67" sId="4">
    <nc r="K5">
      <v>8083</v>
    </nc>
  </rcc>
  <rcc rId="68" sId="4" numFmtId="4">
    <nc r="O5">
      <v>2120</v>
    </nc>
  </rcc>
  <rcc rId="69" sId="4">
    <nc r="F5">
      <v>70</v>
    </nc>
  </rcc>
  <rcc rId="70" sId="4">
    <nc r="I5">
      <v>24</v>
    </nc>
  </rcc>
  <rcc rId="71" sId="4">
    <nc r="R5" t="inlineStr">
      <is>
        <t xml:space="preserve">المقدم محمد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4">
    <nc r="K17">
      <v>674</v>
    </nc>
  </rcc>
  <rcc rId="79" sId="4">
    <nc r="H17">
      <v>4164</v>
    </nc>
  </rcc>
  <rcc rId="80" sId="4">
    <nc r="N17">
      <v>7673</v>
    </nc>
  </rcc>
  <rcc rId="81" sId="4" numFmtId="4">
    <nc r="O17">
      <v>1410</v>
    </nc>
  </rcc>
  <rcc rId="82" sId="4">
    <nc r="I17">
      <v>22</v>
    </nc>
  </rcc>
  <rcc rId="83" sId="4">
    <nc r="F17">
      <v>70</v>
    </nc>
  </rcc>
  <rcc rId="84" sId="4">
    <nc r="L17">
      <v>155</v>
    </nc>
  </rcc>
  <rcc rId="85" sId="4">
    <nc r="R17" t="inlineStr">
      <is>
        <t xml:space="preserve">العقيد احمد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4">
    <nc r="H20">
      <v>1485</v>
    </nc>
  </rcc>
  <rcc rId="87" sId="4">
    <nc r="E20">
      <v>225</v>
    </nc>
  </rcc>
  <rcc rId="88" sId="4">
    <nc r="N20">
      <v>8295</v>
    </nc>
  </rcc>
  <rcc rId="89" sId="4" numFmtId="4">
    <nc r="O20">
      <v>148</v>
    </nc>
  </rcc>
  <rcc rId="90" sId="4">
    <nc r="P20">
      <v>632</v>
    </nc>
  </rcc>
  <rcc rId="91" sId="4">
    <nc r="F20">
      <v>56</v>
    </nc>
  </rcc>
  <rcc rId="92" sId="4">
    <nc r="C20">
      <v>22</v>
    </nc>
  </rcc>
  <rcc rId="93" sId="4">
    <nc r="L20">
      <v>85</v>
    </nc>
  </rcc>
  <rcc rId="94" sId="4">
    <nc r="R20" t="inlineStr">
      <is>
        <t xml:space="preserve">جندي عبدالله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4">
    <nc r="H28">
      <v>30183</v>
    </nc>
  </rcc>
  <rcc rId="96" sId="4">
    <nc r="K28">
      <v>10901</v>
    </nc>
  </rcc>
  <rcc rId="97" sId="4">
    <nc r="F28">
      <v>133</v>
    </nc>
  </rcc>
  <rcc rId="98" sId="4">
    <nc r="I28">
      <v>65</v>
    </nc>
  </rcc>
  <rcc rId="99" sId="4">
    <nc r="R28" t="inlineStr">
      <is>
        <t xml:space="preserve">النقيب علاء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4">
    <nc r="H21">
      <v>2920</v>
    </nc>
  </rcc>
  <rcc rId="101" sId="4">
    <nc r="N21">
      <v>4202</v>
    </nc>
  </rcc>
  <rcc rId="102" sId="4" numFmtId="4">
    <nc r="O21">
      <v>490</v>
    </nc>
  </rcc>
  <rcc rId="103" sId="4">
    <nc r="F21">
      <v>41</v>
    </nc>
  </rcc>
  <rcc rId="104" sId="4">
    <nc r="L21">
      <v>96</v>
    </nc>
  </rcc>
  <rcc rId="105" sId="4">
    <nc r="R21" t="inlineStr">
      <is>
        <t xml:space="preserve">العقيد علاء 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4">
    <nc r="H12">
      <v>46415</v>
    </nc>
  </rcc>
  <rcc rId="107" sId="4">
    <nc r="K12">
      <v>11577</v>
    </nc>
  </rcc>
  <rcc rId="108" sId="4" numFmtId="4">
    <nc r="O12">
      <v>3590</v>
    </nc>
  </rcc>
  <rcc rId="109" sId="4">
    <nc r="F12">
      <v>135</v>
    </nc>
  </rcc>
  <rcc rId="110" sId="4">
    <nc r="I12">
      <v>39</v>
    </nc>
  </rcc>
  <rcc rId="111" sId="4">
    <nc r="R12" t="inlineStr">
      <is>
        <t xml:space="preserve">الظابط سامح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4">
    <nc r="I22">
      <v>17</v>
    </nc>
  </rcc>
  <rcc rId="113" sId="4">
    <nc r="K22">
      <v>2573</v>
    </nc>
  </rcc>
  <rcc rId="114" sId="4">
    <nc r="F22">
      <v>87</v>
    </nc>
  </rcc>
  <rcc rId="115" sId="4">
    <nc r="H22">
      <v>13423</v>
    </nc>
  </rcc>
  <rcc rId="116" sId="4">
    <nc r="L22">
      <v>125</v>
    </nc>
  </rcc>
  <rcc rId="117" sId="4">
    <nc r="N22">
      <v>60846</v>
    </nc>
  </rcc>
  <rcc rId="118" sId="4" numFmtId="4">
    <nc r="O22">
      <v>1500</v>
    </nc>
  </rcc>
  <rcc rId="119" sId="4">
    <nc r="P22">
      <v>4600</v>
    </nc>
  </rcc>
  <rcc rId="120" sId="4">
    <nc r="R22" t="inlineStr">
      <is>
        <t xml:space="preserve">العقيد احمد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4">
    <nc r="K19">
      <v>1962</v>
    </nc>
  </rcc>
  <rcc rId="122" sId="4">
    <nc r="H19">
      <v>9219</v>
    </nc>
  </rcc>
  <rcc rId="123" sId="4" numFmtId="4">
    <nc r="O19">
      <v>970</v>
    </nc>
  </rcc>
  <rcc rId="124" sId="4">
    <nc r="I19">
      <v>8</v>
    </nc>
  </rcc>
  <rcc rId="125" sId="4">
    <nc r="F19">
      <v>62</v>
    </nc>
  </rcc>
  <rcc rId="126" sId="4">
    <nc r="R19" t="inlineStr">
      <is>
        <t xml:space="preserve">العقيد طارق 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4">
    <nc r="N8">
      <v>4820</v>
    </nc>
  </rcc>
  <rcc rId="128" sId="4">
    <nc r="E8">
      <v>3803</v>
    </nc>
  </rcc>
  <rcc rId="129" sId="4">
    <nc r="H8">
      <v>23083</v>
    </nc>
  </rcc>
  <rcc rId="130" sId="4">
    <nc r="K8">
      <v>8268</v>
    </nc>
  </rcc>
  <rcc rId="131" sId="4" numFmtId="4">
    <nc r="O8">
      <v>2150</v>
    </nc>
  </rcc>
  <rcc rId="132" sId="4">
    <nc r="I8">
      <v>14</v>
    </nc>
  </rcc>
  <rcc rId="133" sId="4">
    <nc r="F8">
      <v>41</v>
    </nc>
  </rcc>
  <rcc rId="134" sId="4">
    <nc r="C8">
      <v>17</v>
    </nc>
  </rcc>
  <rcc rId="135" sId="4">
    <nc r="L8">
      <v>165</v>
    </nc>
  </rcc>
  <rcc rId="136" sId="4">
    <nc r="R8" t="inlineStr">
      <is>
        <t xml:space="preserve">النقيب احمد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10">
      <v>45</v>
    </oc>
    <nc r="C10">
      <v>90</v>
    </nc>
  </rcc>
  <rcc rId="2" sId="1">
    <oc r="I10">
      <v>90</v>
    </oc>
    <nc r="I10">
      <v>45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4">
    <nc r="E11">
      <v>6456</v>
    </nc>
  </rcc>
  <rcc rId="138" sId="4">
    <nc r="H11">
      <v>15556</v>
    </nc>
  </rcc>
  <rcc rId="139" sId="4">
    <nc r="N11">
      <v>17032</v>
    </nc>
  </rcc>
  <rcc rId="140" sId="4" numFmtId="4">
    <nc r="O11">
      <v>2540</v>
    </nc>
  </rcc>
  <rcc rId="141" sId="4">
    <nc r="C11">
      <v>14</v>
    </nc>
  </rcc>
  <rcc rId="142" sId="4">
    <nc r="F11">
      <v>64</v>
    </nc>
  </rcc>
  <rcc rId="143" sId="4">
    <nc r="L11">
      <v>155</v>
    </nc>
  </rcc>
  <rcc rId="144" sId="4">
    <nc r="R11" t="inlineStr">
      <is>
        <t>عميد اشرف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4" numFmtId="4">
    <nc r="O28">
      <v>444</v>
    </nc>
  </rcc>
  <rcc rId="146" sId="4">
    <nc r="K14">
      <v>2715</v>
    </nc>
  </rcc>
  <rcc rId="147" sId="4">
    <nc r="H14">
      <v>7463</v>
    </nc>
  </rcc>
  <rcc rId="148" sId="4">
    <nc r="N14">
      <v>56123</v>
    </nc>
  </rcc>
  <rcc rId="149" sId="4">
    <nc r="I14">
      <v>25</v>
    </nc>
  </rcc>
  <rcc rId="150" sId="4">
    <nc r="F14">
      <v>85</v>
    </nc>
  </rcc>
  <rcc rId="151" sId="4">
    <nc r="L14">
      <v>130</v>
    </nc>
  </rcc>
  <rcc rId="152" sId="4" numFmtId="4">
    <nc r="O14">
      <v>7010</v>
    </nc>
  </rcc>
  <rcc rId="153" sId="4">
    <nc r="R14" t="inlineStr">
      <is>
        <t xml:space="preserve">محاسب </t>
      </is>
    </nc>
  </rcc>
  <rcc rId="154" sId="4">
    <nc r="H15">
      <v>9240</v>
    </nc>
  </rcc>
  <rcc rId="155" sId="4">
    <nc r="F15">
      <v>72</v>
    </nc>
  </rcc>
  <rcc rId="156" sId="4">
    <nc r="K15">
      <v>2793</v>
    </nc>
  </rcc>
  <rcc rId="157" sId="4">
    <nc r="I15">
      <v>16</v>
    </nc>
  </rcc>
  <rcc rId="158" sId="4">
    <nc r="N15">
      <v>5031</v>
    </nc>
  </rcc>
  <rcc rId="159" sId="4">
    <nc r="L15">
      <v>23</v>
    </nc>
  </rcc>
  <rcc rId="160" sId="4" numFmtId="4">
    <nc r="O15">
      <v>1405</v>
    </nc>
  </rcc>
  <rcc rId="161" sId="4">
    <nc r="R15" t="inlineStr">
      <is>
        <t>جندي ابراهيم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4">
    <nc r="H27">
      <v>7148</v>
    </nc>
  </rcc>
  <rcc rId="163" sId="4">
    <nc r="K27">
      <v>2532</v>
    </nc>
  </rcc>
  <rcc rId="164" sId="4" numFmtId="4">
    <nc r="O27">
      <v>650</v>
    </nc>
  </rcc>
  <rcc rId="165" sId="4">
    <nc r="F27">
      <v>109</v>
    </nc>
  </rcc>
  <rcc rId="166" sId="4">
    <nc r="I27">
      <v>31</v>
    </nc>
  </rcc>
  <rcc rId="167" sId="4">
    <nc r="R27" t="inlineStr">
      <is>
        <t>نقيب حفناوي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4">
    <nc r="H31">
      <v>60002</v>
    </nc>
  </rcc>
  <rcc rId="169" sId="4">
    <nc r="K31">
      <v>13530</v>
    </nc>
  </rcc>
  <rcc rId="170" sId="4" numFmtId="4">
    <nc r="O31">
      <v>6200</v>
    </nc>
  </rcc>
  <rcc rId="171" sId="4">
    <nc r="F31">
      <v>155</v>
    </nc>
  </rcc>
  <rcc rId="172" sId="4">
    <nc r="I31">
      <v>74</v>
    </nc>
  </rcc>
  <rcc rId="173" sId="4">
    <nc r="R31" t="inlineStr">
      <is>
        <t xml:space="preserve">محاسب ماركو 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4">
    <nc r="K18">
      <v>4846</v>
    </nc>
  </rcc>
  <rcc rId="175" sId="4">
    <nc r="H18">
      <v>19306</v>
    </nc>
  </rcc>
  <rcc rId="176" sId="4">
    <nc r="N18">
      <v>27488</v>
    </nc>
  </rcc>
  <rcc rId="177" sId="4" numFmtId="4">
    <nc r="O18">
      <v>1990</v>
    </nc>
  </rcc>
  <rcc rId="178" sId="4">
    <nc r="P18">
      <v>2260</v>
    </nc>
  </rcc>
  <rcc rId="179" sId="4">
    <nc r="I18">
      <v>26</v>
    </nc>
  </rcc>
  <rcc rId="180" sId="4">
    <nc r="F18">
      <v>85</v>
    </nc>
  </rcc>
  <rcc rId="181" sId="4">
    <nc r="L18">
      <v>153</v>
    </nc>
  </rcc>
  <rcc rId="182" sId="4">
    <nc r="R18" t="inlineStr">
      <is>
        <t xml:space="preserve">العميد سيد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4">
    <nc r="K9">
      <v>11500</v>
    </nc>
  </rcc>
  <rcc rId="184" sId="4">
    <nc r="H9">
      <v>36386</v>
    </nc>
  </rcc>
  <rcc rId="185" sId="4" numFmtId="4">
    <nc r="O9">
      <v>3280</v>
    </nc>
  </rcc>
  <rcc rId="186" sId="4">
    <nc r="I9">
      <v>25</v>
    </nc>
  </rcc>
  <rcc rId="187" sId="4">
    <nc r="F9">
      <v>84</v>
    </nc>
  </rcc>
  <rcc rId="188" sId="4">
    <nc r="R9" t="inlineStr">
      <is>
        <t xml:space="preserve">عقيد محمد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4">
    <nc r="H29">
      <v>30239</v>
    </nc>
  </rcc>
  <rcc rId="190" sId="4">
    <nc r="K29">
      <v>9831</v>
    </nc>
  </rcc>
  <rcc rId="191" sId="4" numFmtId="4">
    <nc r="O29">
      <v>3300</v>
    </nc>
  </rcc>
  <rcc rId="192" sId="4">
    <nc r="F29">
      <v>121</v>
    </nc>
  </rcc>
  <rcc rId="193" sId="4">
    <nc r="I29">
      <v>73</v>
    </nc>
  </rcc>
  <rcc rId="194" sId="4">
    <nc r="R29" t="inlineStr">
      <is>
        <t xml:space="preserve">الظابط الرزق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4">
    <nc r="H10">
      <v>23719</v>
    </nc>
  </rcc>
  <rcc rId="196" sId="4">
    <nc r="E10">
      <v>3205</v>
    </nc>
  </rcc>
  <rcc rId="197" sId="4">
    <nc r="N10">
      <v>6851</v>
    </nc>
  </rcc>
  <rcc rId="198" sId="4" numFmtId="4">
    <nc r="O10">
      <v>2317</v>
    </nc>
  </rcc>
  <rcc rId="199" sId="4">
    <nc r="F10">
      <v>60</v>
    </nc>
  </rcc>
  <rcc rId="200" sId="4">
    <nc r="C10">
      <v>22</v>
    </nc>
  </rcc>
  <rcc rId="201" sId="4">
    <nc r="L10">
      <v>173</v>
    </nc>
  </rcc>
  <rcc rId="202" sId="4">
    <nc r="R10" t="inlineStr">
      <is>
        <t xml:space="preserve">جندي مصطفي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4">
    <nc r="E7">
      <v>39560</v>
    </nc>
  </rcc>
  <rcc rId="204" sId="4">
    <nc r="H7">
      <v>21055</v>
    </nc>
  </rcc>
  <rcc rId="205" sId="4">
    <nc r="K7">
      <v>3777</v>
    </nc>
  </rcc>
  <rcc rId="206" sId="4" numFmtId="4">
    <nc r="O7">
      <v>3610</v>
    </nc>
  </rcc>
  <rcc rId="207" sId="4">
    <nc r="C7">
      <v>60</v>
    </nc>
  </rcc>
  <rcc rId="208" sId="4">
    <nc r="F7">
      <v>16</v>
    </nc>
  </rcc>
  <rcc rId="209" sId="4">
    <nc r="I7">
      <v>31</v>
    </nc>
  </rcc>
  <rcc rId="210" sId="4">
    <nc r="R7" t="inlineStr">
      <is>
        <t xml:space="preserve">العميد سمير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" sId="5">
    <oc r="B7" t="inlineStr">
      <is>
        <t>مبيعات محطات وقود شل اوت عن يوم الاثنين الموافق 29 / 7 / 2019</t>
      </is>
    </oc>
    <nc r="B7" t="inlineStr">
      <is>
        <t>مبيعات محطات وقود شل اوت عن يوم الثلاثاء الموافق 3 / 9 / 2019</t>
      </is>
    </nc>
  </rcc>
  <rcc rId="212" sId="4">
    <oc r="R29" t="inlineStr">
      <is>
        <t xml:space="preserve">الظابط الرزق </t>
      </is>
    </oc>
    <nc r="R29" t="inlineStr">
      <is>
        <t xml:space="preserve">الظابط رزق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4">
    <nc r="K23">
      <v>3611</v>
    </nc>
  </rcc>
  <rcc rId="10" sId="4">
    <nc r="H23">
      <v>15134</v>
    </nc>
  </rcc>
  <rcc rId="11" sId="4">
    <nc r="N23">
      <v>52040</v>
    </nc>
  </rcc>
  <rcc rId="12" sId="4" numFmtId="4">
    <nc r="O23">
      <v>1560</v>
    </nc>
  </rcc>
  <rcc rId="13" sId="4">
    <nc r="P23">
      <v>3945</v>
    </nc>
  </rcc>
  <rcc rId="14" sId="4">
    <nc r="I23">
      <v>21</v>
    </nc>
  </rcc>
  <rcc rId="15" sId="4">
    <nc r="F23">
      <v>72</v>
    </nc>
  </rcc>
  <rcc rId="16" sId="4">
    <nc r="L23">
      <v>140</v>
    </nc>
  </rcc>
  <rcc rId="17" sId="4">
    <nc r="R23" t="inlineStr">
      <is>
        <t>عميد اشرف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4">
    <nc r="H6">
      <v>29980</v>
    </nc>
  </rcc>
  <rcc rId="214" sId="4">
    <nc r="K6">
      <v>9324</v>
    </nc>
  </rcc>
  <rcc rId="215" sId="4" numFmtId="4">
    <nc r="O6">
      <v>2490</v>
    </nc>
  </rcc>
  <rcc rId="216" sId="4">
    <nc r="I6">
      <v>19</v>
    </nc>
  </rcc>
  <rcc rId="217" sId="4">
    <nc r="R6" t="inlineStr">
      <is>
        <t xml:space="preserve">العقيد وائل </t>
      </is>
    </nc>
  </rcc>
  <rcc rId="218" sId="4">
    <nc r="F6">
      <v>90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4">
    <nc r="E26">
      <v>3687</v>
    </nc>
  </rcc>
  <rcc rId="220" sId="4">
    <nc r="H26">
      <v>8642</v>
    </nc>
  </rcc>
  <rcc rId="221" sId="4">
    <nc r="K26">
      <v>1740</v>
    </nc>
  </rcc>
  <rcc rId="222" sId="4">
    <nc r="N26">
      <v>15941</v>
    </nc>
  </rcc>
  <rcc rId="223" sId="4" numFmtId="4">
    <nc r="O26">
      <v>1300</v>
    </nc>
  </rcc>
  <rcc rId="224" sId="4">
    <nc r="C26">
      <v>82</v>
    </nc>
  </rcc>
  <rcc rId="225" sId="4">
    <nc r="F26">
      <v>28</v>
    </nc>
  </rcc>
  <rcc rId="226" sId="4">
    <nc r="I26">
      <v>28</v>
    </nc>
  </rcc>
  <rcc rId="227" sId="4">
    <nc r="L26">
      <v>166</v>
    </nc>
  </rcc>
  <rcc rId="228" sId="4">
    <nc r="R26" t="inlineStr">
      <is>
        <t xml:space="preserve">محاسب اسلام 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4" numFmtId="4">
    <nc r="O30">
      <v>480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0" sId="7" ref="A1:A1048576" action="deleteCol">
    <undo index="2" exp="area" ref3D="1" dr="$I$1:$I$1048576" dn="Z_18C0F7AC_4BB1_46DE_8A01_8E31FE0585FC_.wvu.Cols" sId="7"/>
    <undo index="1" exp="area" ref3D="1" dr="$B$1:$C$1048576" dn="Z_18C0F7AC_4BB1_46DE_8A01_8E31FE0585FC_.wvu.Cols" sId="7"/>
    <undo index="0" exp="area" ref3D="1" dr="$A$1:$XFD$28" dn="Z_18C0F7AC_4BB1_46DE_8A01_8E31FE0585FC_.wvu.Rows" sId="7"/>
    <undo index="2" exp="area" ref3D="1" dr="$I$1:$I$1048576" dn="Z_8317B6D8_8A99_4EB0_9DBC_8E9AE0170A4B_.wvu.Cols" sId="7"/>
    <undo index="1" exp="area" ref3D="1" dr="$B$1:$C$1048576" dn="Z_8317B6D8_8A99_4EB0_9DBC_8E9AE0170A4B_.wvu.Cols" sId="7"/>
    <rfmt sheetId="7" xfDxf="1" sqref="A1:A1048576" start="0" length="0"/>
  </rr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0" start="0" length="0">
    <dxf>
      <fill>
        <patternFill patternType="solid">
          <bgColor theme="0" tint="-0.14999847407452621"/>
        </patternFill>
      </fill>
    </dxf>
  </rfmt>
  <rfmt sheetId="1" sqref="C11">
    <dxf>
      <fill>
        <patternFill patternType="solid">
          <bgColor theme="2" tint="-0.249977111117893"/>
        </patternFill>
      </fill>
    </dxf>
  </rfmt>
  <rfmt sheetId="1" sqref="C11">
    <dxf>
      <fill>
        <patternFill>
          <bgColor theme="2" tint="-9.9978637043366805E-2"/>
        </patternFill>
      </fill>
    </dxf>
  </rfmt>
  <rfmt sheetId="1" sqref="C13">
    <dxf>
      <fill>
        <patternFill patternType="solid">
          <bgColor theme="2" tint="-9.9978637043366805E-2"/>
        </patternFill>
      </fill>
    </dxf>
  </rfmt>
  <rfmt sheetId="1" sqref="C14">
    <dxf>
      <fill>
        <patternFill patternType="solid">
          <bgColor theme="2" tint="-9.9978637043366805E-2"/>
        </patternFill>
      </fill>
    </dxf>
  </rfmt>
  <rfmt sheetId="1" sqref="C23">
    <dxf>
      <fill>
        <patternFill patternType="solid">
          <bgColor theme="2" tint="-9.9978637043366805E-2"/>
        </patternFill>
      </fill>
    </dxf>
  </rfmt>
  <rfmt sheetId="1" sqref="C29">
    <dxf>
      <fill>
        <patternFill>
          <bgColor theme="2" tint="-9.9978637043366805E-2"/>
        </patternFill>
      </fill>
    </dxf>
  </rfmt>
  <rcc rId="231" sId="4">
    <nc r="G9">
      <v>34</v>
    </nc>
  </rcc>
  <rcc rId="232" sId="4">
    <nc r="J9">
      <v>17</v>
    </nc>
  </rcc>
  <rcc rId="233" sId="4">
    <nc r="G14">
      <v>17</v>
    </nc>
  </rcc>
  <rcc rId="234" sId="4">
    <nc r="G18">
      <v>17</v>
    </nc>
  </rcc>
  <rcc rId="235" sId="4">
    <nc r="J18">
      <v>17</v>
    </nc>
  </rcc>
  <rcc rId="236" sId="4">
    <nc r="M18">
      <v>17</v>
    </nc>
  </rcc>
  <rcc rId="237" sId="4">
    <nc r="G6">
      <v>51</v>
    </nc>
  </rcc>
  <rcc rId="238" sId="4">
    <nc r="G28">
      <v>34</v>
    </nc>
  </rcc>
  <rcc rId="239" sId="4">
    <nc r="J28">
      <v>17</v>
    </nc>
  </rcc>
  <rcc rId="240" sId="4">
    <nc r="J12">
      <v>17</v>
    </nc>
  </rcc>
  <rcc rId="241" sId="4">
    <nc r="G12">
      <v>34</v>
    </nc>
  </rcc>
  <rcc rId="242" sId="4">
    <nc r="M22">
      <v>51</v>
    </nc>
  </rcc>
  <rcc rId="243" sId="4">
    <nc r="M15">
      <v>34</v>
    </nc>
  </rcc>
  <rcc rId="244" sId="4">
    <nc r="G15">
      <v>17</v>
    </nc>
  </rcc>
  <rcc rId="245" sId="4">
    <nc r="G13">
      <v>51</v>
    </nc>
  </rcc>
  <rcc rId="246" sId="4">
    <nc r="M23">
      <v>51</v>
    </nc>
  </rcc>
  <rcc rId="247" sId="4">
    <nc r="G31">
      <v>85</v>
    </nc>
  </rcc>
  <rcc rId="248" sId="4">
    <nc r="J31">
      <v>17</v>
    </nc>
  </rcc>
  <rcc rId="249" sId="4">
    <nc r="M20">
      <v>34</v>
    </nc>
  </rcc>
  <rcc rId="250" sId="4">
    <nc r="G21">
      <v>17</v>
    </nc>
  </rcc>
  <rcc rId="251" sId="4">
    <nc r="G10">
      <v>34</v>
    </nc>
  </rcc>
  <rcc rId="252" sId="4">
    <nc r="M11">
      <v>17</v>
    </nc>
  </rcc>
  <rcc rId="253" sId="4">
    <nc r="M8">
      <v>17</v>
    </nc>
  </rcc>
  <rcc rId="254" sId="4">
    <nc r="J8">
      <v>17</v>
    </nc>
  </rcc>
  <rcc rId="255" sId="4">
    <nc r="G8">
      <v>17</v>
    </nc>
  </rcc>
  <rcc rId="256" sId="4">
    <nc r="M13">
      <v>51</v>
    </nc>
  </rcc>
  <rcc rId="257" sId="4">
    <nc r="M25">
      <v>51</v>
    </nc>
  </rcc>
  <rcc rId="258" sId="4">
    <nc r="M14">
      <v>85</v>
    </nc>
  </rcc>
  <rcc rId="259" sId="4">
    <nc r="G30">
      <v>51</v>
    </nc>
  </rcc>
  <rcc rId="260" sId="4">
    <nc r="D7">
      <v>34</v>
    </nc>
  </rcc>
  <rcc rId="261" sId="4">
    <nc r="G7">
      <v>17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6">
    <nc r="C16">
      <v>51</v>
    </nc>
  </rcc>
  <rcc rId="263" sId="6">
    <nc r="C10">
      <v>34</v>
    </nc>
  </rcc>
  <rcc rId="264" sId="6">
    <nc r="D10">
      <v>17</v>
    </nc>
  </rcc>
  <rcc rId="265" sId="6">
    <nc r="R5">
      <v>17</v>
    </nc>
  </rcc>
  <rcc rId="266" sId="6">
    <nc r="F28">
      <v>17</v>
    </nc>
  </rcc>
  <rcc rId="267" sId="6">
    <nc r="G28">
      <v>17</v>
    </nc>
  </rcc>
  <rcc rId="268" sId="6">
    <nc r="I28">
      <v>17</v>
    </nc>
  </rcc>
  <rcc rId="269" sId="6">
    <nc r="H7">
      <v>51</v>
    </nc>
  </rcc>
  <rcc rId="270" sId="6">
    <nc r="C17">
      <v>34</v>
    </nc>
  </rcc>
  <rcc rId="271" sId="6">
    <nc r="D17">
      <v>17</v>
    </nc>
  </rcc>
  <rcc rId="272" sId="6">
    <nc r="C13">
      <v>34</v>
    </nc>
  </rcc>
  <rcc rId="273" sId="6">
    <nc r="D13">
      <v>17</v>
    </nc>
  </rcc>
  <rcc rId="274" sId="6">
    <nc r="D40">
      <v>51</v>
    </nc>
  </rcc>
  <rcc rId="275" sId="6">
    <nc r="R6">
      <v>17</v>
    </nc>
  </rcc>
  <rcc rId="276" sId="6">
    <nc r="T6">
      <v>34</v>
    </nc>
  </rcc>
  <rcc rId="277" sId="6">
    <nc r="C14">
      <v>51</v>
    </nc>
  </rcc>
  <rcc rId="278" sId="6">
    <nc r="Q16">
      <v>51</v>
    </nc>
  </rcc>
  <rcc rId="279" sId="6">
    <nc r="H16">
      <v>34</v>
    </nc>
  </rcc>
  <rcc rId="280" sId="6">
    <nc r="I16">
      <v>17</v>
    </nc>
  </rcc>
  <rcc rId="281" sId="6">
    <nc r="F31">
      <v>17</v>
    </nc>
  </rcc>
  <rcc rId="282" sId="6">
    <nc r="I30">
      <v>34</v>
    </nc>
  </rcc>
  <rcc rId="283" sId="6">
    <nc r="C11">
      <v>34</v>
    </nc>
  </rcc>
  <rcc rId="284" sId="6">
    <nc r="E12">
      <v>17</v>
    </nc>
  </rcc>
  <rcc rId="285" sId="6">
    <nc r="C9">
      <v>17</v>
    </nc>
  </rcc>
  <rcc rId="286" sId="6">
    <nc r="D9">
      <v>17</v>
    </nc>
  </rcc>
  <rcc rId="287" sId="6">
    <nc r="E9">
      <v>17</v>
    </nc>
  </rcc>
  <rcc rId="288" sId="6">
    <nc r="F14">
      <v>51</v>
    </nc>
  </rcc>
  <rcc rId="289" sId="6">
    <nc r="Q18">
      <v>51</v>
    </nc>
  </rcc>
  <rcc rId="290" sId="6">
    <nc r="T5">
      <v>85</v>
    </nc>
  </rcc>
  <rcc rId="291" sId="6">
    <nc r="G8">
      <v>34</v>
    </nc>
  </rcc>
  <rcc rId="292" sId="6">
    <nc r="H8">
      <v>17</v>
    </nc>
  </rcc>
  <rcc rId="293" sId="6">
    <nc r="C15">
      <v>51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295" sId="3">
    <oc r="D11">
      <f>'التمام الصباحي'!F39*1000</f>
    </oc>
    <nc r="D11">
      <f>'التمام الصباحي'!F39*1000</f>
    </nc>
  </rcc>
  <rcc rId="296" sId="3">
    <oc r="E11">
      <f>D11/C11</f>
    </oc>
    <nc r="E11">
      <f>D11/C11</f>
    </nc>
  </rcc>
  <rcc rId="297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298" sId="3">
    <oc r="G11">
      <f>'التمام الصباحي'!L39*1000</f>
    </oc>
    <nc r="G11">
      <f>'التمام الصباحي'!L39*1000</f>
    </nc>
  </rcc>
  <rcc rId="299" sId="3">
    <oc r="H11">
      <f>G11/F11</f>
    </oc>
    <nc r="H11">
      <f>G11/F11</f>
    </nc>
  </rcc>
  <rcc rId="300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01" sId="3">
    <oc r="J11">
      <f>'التمام الصباحي'!R39*1000</f>
    </oc>
    <nc r="J11">
      <f>'التمام الصباحي'!R39*1000</f>
    </nc>
  </rcc>
  <rcc rId="302" sId="3">
    <oc r="K11">
      <f>J11/I11</f>
    </oc>
    <nc r="K11">
      <f>J11/I11</f>
    </nc>
  </rcc>
  <rcc rId="303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04" sId="13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05" sId="13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06" sId="13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07" sId="13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08" sId="15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09" sId="17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10" sId="19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11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12" sId="13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13" sId="13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14" sId="13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15" sId="15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16" sId="15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17" sId="17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18" sId="17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19" sId="17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20" sId="17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21" sId="17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22" sId="15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23" sId="15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24" sId="15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25" sId="15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26" sId="17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27" sId="17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28" sId="19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29" sId="19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30" sId="19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31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32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33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34" sId="15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الإمداد'!$A:$B,'خطة الإمداد'!$H:$H</formula>
    <oldFormula>'خطة الإمداد'!$A:$B,'خطة الإمداد'!$H:$H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4">
    <nc r="K24">
      <v>1873</v>
    </nc>
  </rcc>
  <rcc rId="25" sId="4">
    <nc r="H24">
      <v>10110</v>
    </nc>
  </rcc>
  <rcc rId="26" sId="4">
    <nc r="N24">
      <v>25315</v>
    </nc>
  </rcc>
  <rcc rId="27" sId="4">
    <nc r="I24">
      <v>18</v>
    </nc>
  </rcc>
  <rcc rId="28" sId="4">
    <nc r="F24">
      <v>80</v>
    </nc>
  </rcc>
  <rcc rId="29" sId="4">
    <nc r="L24">
      <v>165</v>
    </nc>
  </rcc>
  <rcc rId="30" sId="4" numFmtId="4">
    <nc r="O24">
      <v>911</v>
    </nc>
  </rcc>
  <rcc rId="31" sId="4">
    <nc r="P24">
      <v>1780</v>
    </nc>
  </rcc>
  <rcc rId="32" sId="4">
    <nc r="R24" t="inlineStr">
      <is>
        <t>جندي ابراهيم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4">
    <nc r="K13">
      <v>11200</v>
    </nc>
  </rcc>
  <rcc rId="34" sId="4">
    <nc r="H13">
      <v>40600</v>
    </nc>
  </rcc>
  <rcc rId="35" sId="4">
    <nc r="N13">
      <v>34200</v>
    </nc>
  </rcc>
  <rcc rId="36" sId="4">
    <nc r="I13">
      <v>35</v>
    </nc>
  </rcc>
  <rcc rId="37" sId="4">
    <nc r="F13">
      <v>125</v>
    </nc>
  </rcc>
  <rcc rId="38" sId="4">
    <nc r="L13">
      <v>86</v>
    </nc>
  </rcc>
  <rcc rId="39" sId="4">
    <nc r="R13" t="inlineStr">
      <is>
        <t>عميد اسامه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4">
    <nc r="K16">
      <v>1369</v>
    </nc>
  </rcc>
  <rcc rId="41" sId="4">
    <nc r="H16">
      <v>3958</v>
    </nc>
  </rcc>
  <rcc rId="42" sId="4" numFmtId="4">
    <nc r="O16">
      <v>392</v>
    </nc>
  </rcc>
  <rcc rId="43" sId="4">
    <nc r="I16">
      <v>26</v>
    </nc>
  </rcc>
  <rcc rId="44" sId="4">
    <nc r="F16">
      <v>41</v>
    </nc>
  </rcc>
  <rcc rId="45" sId="4">
    <nc r="R16" t="inlineStr">
      <is>
        <t>عقيد محمد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4">
    <nc r="H30">
      <v>32965</v>
    </nc>
  </rcc>
  <rcc rId="53" sId="4">
    <nc r="K30">
      <v>9420</v>
    </nc>
  </rcc>
  <rcc rId="54" sId="4">
    <nc r="F30">
      <v>129</v>
    </nc>
  </rcc>
  <rcc rId="55" sId="4">
    <nc r="I30">
      <v>76</v>
    </nc>
  </rcc>
  <rcc rId="56" sId="4">
    <nc r="R30" t="inlineStr">
      <is>
        <t xml:space="preserve">النقيب صلاح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" sId="4">
    <nc r="K25">
      <v>1309</v>
    </nc>
  </rcc>
  <rcc rId="58" sId="4">
    <nc r="H25">
      <v>8651</v>
    </nc>
  </rcc>
  <rcc rId="59" sId="4">
    <nc r="N25">
      <v>24670</v>
    </nc>
  </rcc>
  <rcc rId="60" sId="4" numFmtId="4">
    <nc r="O25">
      <v>660</v>
    </nc>
  </rcc>
  <rcc rId="61" sId="4">
    <nc r="P25">
      <v>1830</v>
    </nc>
  </rcc>
  <rcc rId="62" sId="4">
    <nc r="F25">
      <v>70</v>
    </nc>
  </rcc>
  <rcc rId="63" sId="4">
    <nc r="L25">
      <v>140</v>
    </nc>
  </rcc>
  <rcc rId="64" sId="4">
    <nc r="I25">
      <v>16</v>
    </nc>
  </rcc>
  <rcc rId="65" sId="4">
    <nc r="R25" t="inlineStr">
      <is>
        <t>عميد محمد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11" sqref="I11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71" t="s">
        <v>0</v>
      </c>
      <c r="B1" s="371"/>
      <c r="C1" s="371"/>
      <c r="D1" s="371"/>
      <c r="E1" s="371"/>
      <c r="X1" s="367"/>
      <c r="Y1" s="367"/>
    </row>
    <row r="2" spans="1:26" ht="15.75" x14ac:dyDescent="0.25">
      <c r="A2" s="371" t="s">
        <v>1</v>
      </c>
      <c r="B2" s="371"/>
      <c r="C2" s="371"/>
      <c r="D2" s="371"/>
      <c r="E2" s="371"/>
    </row>
    <row r="3" spans="1:26" ht="15.75" x14ac:dyDescent="0.25">
      <c r="A3" s="371" t="s">
        <v>2</v>
      </c>
      <c r="B3" s="371"/>
      <c r="C3" s="371"/>
      <c r="D3" s="371"/>
      <c r="E3" s="371"/>
    </row>
    <row r="5" spans="1:26" ht="18.75" thickBot="1" x14ac:dyDescent="0.3">
      <c r="G5" s="199"/>
      <c r="I5" s="370" t="s">
        <v>193</v>
      </c>
      <c r="J5" s="370"/>
      <c r="K5" s="370"/>
      <c r="L5" s="370"/>
      <c r="M5" s="370"/>
      <c r="N5" s="370"/>
      <c r="V5" s="200" t="s">
        <v>41</v>
      </c>
    </row>
    <row r="6" spans="1:26" ht="20.100000000000001" customHeight="1" thickBot="1" x14ac:dyDescent="0.25">
      <c r="A6" s="369" t="s">
        <v>14</v>
      </c>
      <c r="B6" s="369" t="s">
        <v>3</v>
      </c>
      <c r="C6" s="369" t="s">
        <v>4</v>
      </c>
      <c r="D6" s="369" t="s">
        <v>5</v>
      </c>
      <c r="E6" s="369"/>
      <c r="F6" s="369"/>
      <c r="G6" s="369"/>
      <c r="H6" s="369"/>
      <c r="I6" s="369" t="s">
        <v>4</v>
      </c>
      <c r="J6" s="369" t="s">
        <v>11</v>
      </c>
      <c r="K6" s="369"/>
      <c r="L6" s="369"/>
      <c r="M6" s="369"/>
      <c r="N6" s="369"/>
      <c r="O6" s="369" t="s">
        <v>4</v>
      </c>
      <c r="P6" s="369" t="s">
        <v>12</v>
      </c>
      <c r="Q6" s="369"/>
      <c r="R6" s="369"/>
      <c r="S6" s="369"/>
      <c r="T6" s="369"/>
      <c r="U6" s="369" t="s">
        <v>4</v>
      </c>
      <c r="V6" s="369" t="s">
        <v>13</v>
      </c>
      <c r="W6" s="369"/>
      <c r="X6" s="369"/>
      <c r="Y6" s="369"/>
      <c r="Z6" s="369"/>
    </row>
    <row r="7" spans="1:26" ht="20.100000000000001" customHeight="1" thickBot="1" x14ac:dyDescent="0.25">
      <c r="A7" s="369"/>
      <c r="B7" s="369"/>
      <c r="C7" s="369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69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69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69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70</v>
      </c>
      <c r="K8" s="221">
        <f>I8-J8</f>
        <v>20</v>
      </c>
      <c r="L8" s="335">
        <f>'أخذ التمام الصباحي'!G5</f>
        <v>0</v>
      </c>
      <c r="M8" s="335">
        <v>25</v>
      </c>
      <c r="N8" s="203">
        <f>J8/M8</f>
        <v>2.8</v>
      </c>
      <c r="O8" s="336">
        <v>30</v>
      </c>
      <c r="P8" s="335">
        <f>'أخذ التمام الصباحي'!I5</f>
        <v>24</v>
      </c>
      <c r="Q8" s="221">
        <f>O8-P8</f>
        <v>6</v>
      </c>
      <c r="R8" s="335">
        <f>'أخذ التمام الصباحي'!J5</f>
        <v>0</v>
      </c>
      <c r="S8" s="335">
        <v>8</v>
      </c>
      <c r="T8" s="203">
        <f>P8/S8</f>
        <v>3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90</v>
      </c>
      <c r="K9" s="221">
        <f>I9-J9</f>
        <v>0</v>
      </c>
      <c r="L9" s="355">
        <f>'أخذ التمام الصباحي'!G6</f>
        <v>51</v>
      </c>
      <c r="M9" s="335">
        <v>29</v>
      </c>
      <c r="N9" s="203">
        <f>J9/M9</f>
        <v>3.103448275862069</v>
      </c>
      <c r="O9" s="336">
        <v>30</v>
      </c>
      <c r="P9" s="338">
        <f>'أخذ التمام الصباحي'!I6</f>
        <v>19</v>
      </c>
      <c r="Q9" s="221">
        <f>O9-P9</f>
        <v>11</v>
      </c>
      <c r="R9" s="338">
        <f>'أخذ التمام الصباحي'!J6</f>
        <v>0</v>
      </c>
      <c r="S9" s="335">
        <v>9</v>
      </c>
      <c r="T9" s="203">
        <f>P9/S9</f>
        <v>2.1111111111111112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65">
        <v>90</v>
      </c>
      <c r="D10" s="335">
        <f>'أخذ التمام الصباحي'!C7</f>
        <v>60</v>
      </c>
      <c r="E10" s="221">
        <f t="shared" ref="E10:E23" si="0">C10-D10</f>
        <v>30</v>
      </c>
      <c r="F10" s="335">
        <f>'أخذ التمام الصباحي'!D7</f>
        <v>34</v>
      </c>
      <c r="G10" s="335">
        <v>36</v>
      </c>
      <c r="H10" s="204">
        <f t="shared" ref="H10:H23" si="1">D10/G10</f>
        <v>1.6666666666666667</v>
      </c>
      <c r="I10" s="336">
        <v>45</v>
      </c>
      <c r="J10" s="338">
        <f>'أخذ التمام الصباحي'!F7</f>
        <v>16</v>
      </c>
      <c r="K10" s="221">
        <f t="shared" ref="K10:K34" si="2">I10-J10</f>
        <v>29</v>
      </c>
      <c r="L10" s="355">
        <f>'أخذ التمام الصباحي'!G7</f>
        <v>17</v>
      </c>
      <c r="M10" s="335">
        <v>24</v>
      </c>
      <c r="N10" s="203">
        <f t="shared" ref="N10:N34" si="3">J10/M10</f>
        <v>0.66666666666666663</v>
      </c>
      <c r="O10" s="336">
        <v>45</v>
      </c>
      <c r="P10" s="338">
        <f>'أخذ التمام الصباحي'!I7</f>
        <v>31</v>
      </c>
      <c r="Q10" s="221">
        <f t="shared" ref="Q10:Q34" si="4">O10-P10</f>
        <v>14</v>
      </c>
      <c r="R10" s="338">
        <f>'أخذ التمام الصباحي'!J7</f>
        <v>0</v>
      </c>
      <c r="S10" s="335">
        <v>3.5</v>
      </c>
      <c r="T10" s="203">
        <f t="shared" ref="T10:T34" si="5">P10/S10</f>
        <v>8.8571428571428577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66">
        <v>30</v>
      </c>
      <c r="D11" s="338">
        <f>'أخذ التمام الصباحي'!C8</f>
        <v>17</v>
      </c>
      <c r="E11" s="221">
        <f t="shared" si="0"/>
        <v>13</v>
      </c>
      <c r="F11" s="338">
        <f>'أخذ التمام الصباحي'!D8</f>
        <v>0</v>
      </c>
      <c r="G11" s="335">
        <v>5</v>
      </c>
      <c r="H11" s="204">
        <f t="shared" si="1"/>
        <v>3.4</v>
      </c>
      <c r="I11" s="336">
        <v>60</v>
      </c>
      <c r="J11" s="338">
        <f>'أخذ التمام الصباحي'!F8</f>
        <v>41</v>
      </c>
      <c r="K11" s="221">
        <f t="shared" si="2"/>
        <v>19</v>
      </c>
      <c r="L11" s="355">
        <f>'أخذ التمام الصباحي'!G8</f>
        <v>17</v>
      </c>
      <c r="M11" s="335">
        <v>25</v>
      </c>
      <c r="N11" s="203">
        <f t="shared" si="3"/>
        <v>1.64</v>
      </c>
      <c r="O11" s="336">
        <v>30</v>
      </c>
      <c r="P11" s="338">
        <f>'أخذ التمام الصباحي'!I8</f>
        <v>14</v>
      </c>
      <c r="Q11" s="221">
        <f t="shared" si="4"/>
        <v>16</v>
      </c>
      <c r="R11" s="338">
        <f>'أخذ التمام الصباحي'!J8</f>
        <v>17</v>
      </c>
      <c r="S11" s="335">
        <v>8</v>
      </c>
      <c r="T11" s="203">
        <f t="shared" si="5"/>
        <v>1.75</v>
      </c>
      <c r="U11" s="336">
        <v>180</v>
      </c>
      <c r="V11" s="335">
        <f>'أخذ التمام الصباحي'!L8</f>
        <v>165</v>
      </c>
      <c r="W11" s="221">
        <f t="shared" ref="W11:W29" si="6">U11-V11</f>
        <v>15</v>
      </c>
      <c r="X11" s="335">
        <f>'أخذ التمام الصباحي'!M8</f>
        <v>17</v>
      </c>
      <c r="Y11" s="335">
        <v>6</v>
      </c>
      <c r="Z11" s="203">
        <f>V11/Y11</f>
        <v>27.5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84</v>
      </c>
      <c r="K12" s="221">
        <f t="shared" si="2"/>
        <v>6</v>
      </c>
      <c r="L12" s="355">
        <f>'أخذ التمام الصباحي'!G9</f>
        <v>34</v>
      </c>
      <c r="M12" s="335">
        <v>40</v>
      </c>
      <c r="N12" s="203">
        <f t="shared" si="3"/>
        <v>2.1</v>
      </c>
      <c r="O12" s="336">
        <v>30</v>
      </c>
      <c r="P12" s="338">
        <f>'أخذ التمام الصباحي'!I9</f>
        <v>25</v>
      </c>
      <c r="Q12" s="221">
        <f t="shared" si="4"/>
        <v>5</v>
      </c>
      <c r="R12" s="338">
        <f>'أخذ التمام الصباحي'!J9</f>
        <v>17</v>
      </c>
      <c r="S12" s="335">
        <v>12</v>
      </c>
      <c r="T12" s="203">
        <f t="shared" si="5"/>
        <v>2.0833333333333335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66">
        <v>30</v>
      </c>
      <c r="D13" s="338">
        <f>'أخذ التمام الصباحي'!C10</f>
        <v>22</v>
      </c>
      <c r="E13" s="221">
        <f t="shared" si="0"/>
        <v>8</v>
      </c>
      <c r="F13" s="338">
        <f>'أخذ التمام الصباحي'!D10</f>
        <v>0</v>
      </c>
      <c r="G13" s="335">
        <v>4</v>
      </c>
      <c r="H13" s="204">
        <f t="shared" si="1"/>
        <v>5.5</v>
      </c>
      <c r="I13" s="336">
        <v>90</v>
      </c>
      <c r="J13" s="338">
        <f>'أخذ التمام الصباحي'!F10</f>
        <v>60</v>
      </c>
      <c r="K13" s="221">
        <f t="shared" si="2"/>
        <v>30</v>
      </c>
      <c r="L13" s="355">
        <f>'أخذ التمام الصباحي'!G10</f>
        <v>34</v>
      </c>
      <c r="M13" s="335">
        <v>26</v>
      </c>
      <c r="N13" s="203">
        <f t="shared" si="3"/>
        <v>2.3076923076923075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173</v>
      </c>
      <c r="W13" s="221">
        <f t="shared" si="6"/>
        <v>7</v>
      </c>
      <c r="X13" s="335">
        <f>'أخذ التمام الصباحي'!M10</f>
        <v>0</v>
      </c>
      <c r="Y13" s="335">
        <v>10</v>
      </c>
      <c r="Z13" s="203">
        <f t="shared" ref="Z13:Z29" si="7">V13/Y13</f>
        <v>17.3</v>
      </c>
    </row>
    <row r="14" spans="1:26" ht="20.100000000000001" customHeight="1" thickBot="1" x14ac:dyDescent="0.25">
      <c r="A14" s="336">
        <v>7</v>
      </c>
      <c r="B14" s="202" t="s">
        <v>19</v>
      </c>
      <c r="C14" s="366">
        <v>30</v>
      </c>
      <c r="D14" s="338">
        <f>'أخذ التمام الصباحي'!C11</f>
        <v>14</v>
      </c>
      <c r="E14" s="221">
        <f t="shared" si="0"/>
        <v>16</v>
      </c>
      <c r="F14" s="338">
        <f>'أخذ التمام الصباحي'!D11</f>
        <v>0</v>
      </c>
      <c r="G14" s="335">
        <v>9</v>
      </c>
      <c r="H14" s="204">
        <f t="shared" si="1"/>
        <v>1.5555555555555556</v>
      </c>
      <c r="I14" s="336">
        <v>90</v>
      </c>
      <c r="J14" s="338">
        <f>'أخذ التمام الصباحي'!F11</f>
        <v>64</v>
      </c>
      <c r="K14" s="221">
        <f t="shared" si="2"/>
        <v>26</v>
      </c>
      <c r="L14" s="355">
        <f>'أخذ التمام الصباحي'!G11</f>
        <v>0</v>
      </c>
      <c r="M14" s="335">
        <v>24</v>
      </c>
      <c r="N14" s="203">
        <f t="shared" si="3"/>
        <v>2.6666666666666665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155</v>
      </c>
      <c r="W14" s="221">
        <f t="shared" si="6"/>
        <v>25</v>
      </c>
      <c r="X14" s="338">
        <f>'أخذ التمام الصباحي'!M11</f>
        <v>17</v>
      </c>
      <c r="Y14" s="335">
        <v>22</v>
      </c>
      <c r="Z14" s="203">
        <f t="shared" si="7"/>
        <v>7.0454545454545459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135</v>
      </c>
      <c r="K15" s="221">
        <f t="shared" si="2"/>
        <v>45</v>
      </c>
      <c r="L15" s="355">
        <f>'أخذ التمام الصباحي'!G12</f>
        <v>34</v>
      </c>
      <c r="M15" s="335">
        <v>52</v>
      </c>
      <c r="N15" s="203">
        <f t="shared" si="3"/>
        <v>2.5961538461538463</v>
      </c>
      <c r="O15" s="336">
        <v>60</v>
      </c>
      <c r="P15" s="335">
        <f>'أخذ التمام الصباحي'!I12</f>
        <v>39</v>
      </c>
      <c r="Q15" s="221">
        <f t="shared" si="4"/>
        <v>21</v>
      </c>
      <c r="R15" s="335">
        <f>'أخذ التمام الصباحي'!J12</f>
        <v>17</v>
      </c>
      <c r="S15" s="335">
        <v>14</v>
      </c>
      <c r="T15" s="203">
        <f t="shared" si="5"/>
        <v>2.7857142857142856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125</v>
      </c>
      <c r="K16" s="221">
        <f t="shared" si="2"/>
        <v>55</v>
      </c>
      <c r="L16" s="355">
        <f>'أخذ التمام الصباحي'!G13</f>
        <v>51</v>
      </c>
      <c r="M16" s="335">
        <v>42</v>
      </c>
      <c r="N16" s="203">
        <f t="shared" si="3"/>
        <v>2.9761904761904763</v>
      </c>
      <c r="O16" s="336">
        <v>45</v>
      </c>
      <c r="P16" s="338">
        <f>'أخذ التمام الصباحي'!I13</f>
        <v>35</v>
      </c>
      <c r="Q16" s="221">
        <f t="shared" si="4"/>
        <v>10</v>
      </c>
      <c r="R16" s="338">
        <f>'أخذ التمام الصباحي'!J13</f>
        <v>0</v>
      </c>
      <c r="S16" s="335">
        <v>11</v>
      </c>
      <c r="T16" s="203">
        <f t="shared" si="5"/>
        <v>3.1818181818181817</v>
      </c>
      <c r="U16" s="336">
        <v>120</v>
      </c>
      <c r="V16" s="335">
        <f>'أخذ التمام الصباحي'!L13</f>
        <v>86</v>
      </c>
      <c r="W16" s="221">
        <f t="shared" si="6"/>
        <v>34</v>
      </c>
      <c r="X16" s="335">
        <f>'أخذ التمام الصباحي'!M13</f>
        <v>51</v>
      </c>
      <c r="Y16" s="335">
        <v>31</v>
      </c>
      <c r="Z16" s="203">
        <f t="shared" si="7"/>
        <v>2.774193548387097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85</v>
      </c>
      <c r="K17" s="221">
        <f t="shared" si="2"/>
        <v>5</v>
      </c>
      <c r="L17" s="355">
        <f>'أخذ التمام الصباحي'!G14</f>
        <v>17</v>
      </c>
      <c r="M17" s="335">
        <v>12</v>
      </c>
      <c r="N17" s="203">
        <f t="shared" si="3"/>
        <v>7.083333333333333</v>
      </c>
      <c r="O17" s="336">
        <v>30</v>
      </c>
      <c r="P17" s="338">
        <f>'أخذ التمام الصباحي'!I14</f>
        <v>25</v>
      </c>
      <c r="Q17" s="221">
        <f t="shared" si="4"/>
        <v>5</v>
      </c>
      <c r="R17" s="338">
        <f>'أخذ التمام الصباحي'!J14</f>
        <v>0</v>
      </c>
      <c r="S17" s="335">
        <v>6</v>
      </c>
      <c r="T17" s="203">
        <f>P17/S17</f>
        <v>4.166666666666667</v>
      </c>
      <c r="U17" s="336">
        <v>180</v>
      </c>
      <c r="V17" s="338">
        <f>'أخذ التمام الصباحي'!L14</f>
        <v>130</v>
      </c>
      <c r="W17" s="221">
        <f t="shared" si="6"/>
        <v>50</v>
      </c>
      <c r="X17" s="338">
        <f>'أخذ التمام الصباحي'!M14</f>
        <v>85</v>
      </c>
      <c r="Y17" s="335">
        <v>64</v>
      </c>
      <c r="Z17" s="203">
        <f t="shared" si="7"/>
        <v>2.03125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72</v>
      </c>
      <c r="K18" s="221">
        <f t="shared" si="2"/>
        <v>18</v>
      </c>
      <c r="L18" s="355">
        <f>'أخذ التمام الصباحي'!G15</f>
        <v>17</v>
      </c>
      <c r="M18" s="335">
        <v>10</v>
      </c>
      <c r="N18" s="203">
        <f t="shared" si="3"/>
        <v>7.2</v>
      </c>
      <c r="O18" s="336">
        <v>30</v>
      </c>
      <c r="P18" s="338">
        <f>'أخذ التمام الصباحي'!I15</f>
        <v>16</v>
      </c>
      <c r="Q18" s="221">
        <f t="shared" si="4"/>
        <v>14</v>
      </c>
      <c r="R18" s="338">
        <f>'أخذ التمام الصباحي'!J15</f>
        <v>0</v>
      </c>
      <c r="S18" s="335">
        <v>4</v>
      </c>
      <c r="T18" s="203">
        <f t="shared" si="5"/>
        <v>4</v>
      </c>
      <c r="U18" s="336">
        <v>60</v>
      </c>
      <c r="V18" s="338">
        <f>'أخذ التمام الصباحي'!L15</f>
        <v>23</v>
      </c>
      <c r="W18" s="194">
        <f t="shared" si="6"/>
        <v>37</v>
      </c>
      <c r="X18" s="338">
        <f>'أخذ التمام الصباحي'!M15</f>
        <v>34</v>
      </c>
      <c r="Y18" s="335">
        <v>5</v>
      </c>
      <c r="Z18" s="335">
        <f t="shared" si="7"/>
        <v>4.5999999999999996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41</v>
      </c>
      <c r="K19" s="221">
        <f t="shared" si="2"/>
        <v>19</v>
      </c>
      <c r="L19" s="355">
        <f>'أخذ التمام الصباحي'!G16</f>
        <v>0</v>
      </c>
      <c r="M19" s="335">
        <v>5</v>
      </c>
      <c r="N19" s="203">
        <f t="shared" si="3"/>
        <v>8.1999999999999993</v>
      </c>
      <c r="O19" s="336">
        <v>30</v>
      </c>
      <c r="P19" s="338">
        <f>'أخذ التمام الصباحي'!I16</f>
        <v>26</v>
      </c>
      <c r="Q19" s="221">
        <f t="shared" si="4"/>
        <v>4</v>
      </c>
      <c r="R19" s="338">
        <f>'أخذ التمام الصباحي'!J16</f>
        <v>0</v>
      </c>
      <c r="S19" s="335">
        <v>2</v>
      </c>
      <c r="T19" s="203">
        <f t="shared" si="5"/>
        <v>13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70</v>
      </c>
      <c r="K20" s="221">
        <f t="shared" si="2"/>
        <v>20</v>
      </c>
      <c r="L20" s="355">
        <f>'أخذ التمام الصباحي'!G17</f>
        <v>0</v>
      </c>
      <c r="M20" s="335">
        <v>4</v>
      </c>
      <c r="N20" s="203">
        <f t="shared" si="3"/>
        <v>17.5</v>
      </c>
      <c r="O20" s="336">
        <v>30</v>
      </c>
      <c r="P20" s="338">
        <f>'أخذ التمام الصباحي'!I17</f>
        <v>22</v>
      </c>
      <c r="Q20" s="221">
        <f t="shared" si="4"/>
        <v>8</v>
      </c>
      <c r="R20" s="338">
        <f>'أخذ التمام الصباحي'!J17</f>
        <v>0</v>
      </c>
      <c r="S20" s="335">
        <v>3</v>
      </c>
      <c r="T20" s="203">
        <f t="shared" si="5"/>
        <v>7.333333333333333</v>
      </c>
      <c r="U20" s="336">
        <v>180</v>
      </c>
      <c r="V20" s="335">
        <f>'أخذ التمام الصباحي'!L17</f>
        <v>155</v>
      </c>
      <c r="W20" s="221">
        <f t="shared" si="6"/>
        <v>25</v>
      </c>
      <c r="X20" s="335">
        <f>'أخذ التمام الصباحي'!M17</f>
        <v>0</v>
      </c>
      <c r="Y20" s="335">
        <v>10</v>
      </c>
      <c r="Z20" s="203">
        <f t="shared" si="7"/>
        <v>15.5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85</v>
      </c>
      <c r="K21" s="221">
        <f t="shared" si="2"/>
        <v>5</v>
      </c>
      <c r="L21" s="355">
        <f>'أخذ التمام الصباحي'!G18</f>
        <v>17</v>
      </c>
      <c r="M21" s="335">
        <v>30</v>
      </c>
      <c r="N21" s="203">
        <f t="shared" si="3"/>
        <v>2.8333333333333335</v>
      </c>
      <c r="O21" s="336">
        <v>30</v>
      </c>
      <c r="P21" s="338">
        <f>'أخذ التمام الصباحي'!I18</f>
        <v>26</v>
      </c>
      <c r="Q21" s="221">
        <f t="shared" si="4"/>
        <v>4</v>
      </c>
      <c r="R21" s="338">
        <f>'أخذ التمام الصباحي'!J18</f>
        <v>17</v>
      </c>
      <c r="S21" s="335">
        <v>9</v>
      </c>
      <c r="T21" s="203">
        <f t="shared" si="5"/>
        <v>2.8888888888888888</v>
      </c>
      <c r="U21" s="336">
        <v>180</v>
      </c>
      <c r="V21" s="338">
        <f>'أخذ التمام الصباحي'!L18</f>
        <v>153</v>
      </c>
      <c r="W21" s="221">
        <f t="shared" si="6"/>
        <v>27</v>
      </c>
      <c r="X21" s="338">
        <f>'أخذ التمام الصباحي'!M18</f>
        <v>17</v>
      </c>
      <c r="Y21" s="335">
        <v>27</v>
      </c>
      <c r="Z21" s="203">
        <f t="shared" si="7"/>
        <v>5.666666666666667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62</v>
      </c>
      <c r="K22" s="221">
        <f t="shared" si="2"/>
        <v>28</v>
      </c>
      <c r="L22" s="355">
        <f>'أخذ التمام الصباحي'!G19</f>
        <v>0</v>
      </c>
      <c r="M22" s="335">
        <v>8</v>
      </c>
      <c r="N22" s="203">
        <f t="shared" si="3"/>
        <v>7.75</v>
      </c>
      <c r="O22" s="336">
        <v>30</v>
      </c>
      <c r="P22" s="338">
        <f>'أخذ التمام الصباحي'!I19</f>
        <v>8</v>
      </c>
      <c r="Q22" s="221">
        <f t="shared" si="4"/>
        <v>22</v>
      </c>
      <c r="R22" s="338">
        <f>'أخذ التمام الصباحي'!J19</f>
        <v>0</v>
      </c>
      <c r="S22" s="335">
        <v>2</v>
      </c>
      <c r="T22" s="203">
        <f t="shared" si="5"/>
        <v>4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66">
        <v>30</v>
      </c>
      <c r="D23" s="194">
        <f>'أخذ التمام الصباحي'!C20</f>
        <v>22</v>
      </c>
      <c r="E23" s="194">
        <f t="shared" si="0"/>
        <v>8</v>
      </c>
      <c r="F23" s="194">
        <f>'أخذ التمام الصباحي'!D20</f>
        <v>0</v>
      </c>
      <c r="G23" s="194">
        <v>0.6</v>
      </c>
      <c r="H23" s="194">
        <f t="shared" si="1"/>
        <v>36.666666666666671</v>
      </c>
      <c r="I23" s="336">
        <v>60</v>
      </c>
      <c r="J23" s="338">
        <f>'أخذ التمام الصباحي'!F20</f>
        <v>56</v>
      </c>
      <c r="K23" s="221">
        <f t="shared" si="2"/>
        <v>4</v>
      </c>
      <c r="L23" s="355">
        <f>'أخذ التمام الصباحي'!G20</f>
        <v>0</v>
      </c>
      <c r="M23" s="335">
        <v>3</v>
      </c>
      <c r="N23" s="203">
        <f t="shared" si="3"/>
        <v>18.666666666666668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85</v>
      </c>
      <c r="W23" s="221">
        <f t="shared" si="6"/>
        <v>35</v>
      </c>
      <c r="X23" s="335">
        <f>'أخذ التمام الصباحي'!M20</f>
        <v>34</v>
      </c>
      <c r="Y23" s="335">
        <v>12</v>
      </c>
      <c r="Z23" s="203">
        <f t="shared" si="7"/>
        <v>7.083333333333333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41</v>
      </c>
      <c r="K24" s="221">
        <f t="shared" si="2"/>
        <v>19</v>
      </c>
      <c r="L24" s="355">
        <f>'أخذ التمام الصباحي'!G21</f>
        <v>17</v>
      </c>
      <c r="M24" s="335">
        <v>6</v>
      </c>
      <c r="N24" s="203">
        <f t="shared" si="3"/>
        <v>6.833333333333333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96</v>
      </c>
      <c r="W24" s="221">
        <f t="shared" si="6"/>
        <v>24</v>
      </c>
      <c r="X24" s="338">
        <f>'أخذ التمام الصباحي'!M21</f>
        <v>0</v>
      </c>
      <c r="Y24" s="335">
        <v>9</v>
      </c>
      <c r="Z24" s="203">
        <f t="shared" si="7"/>
        <v>10.666666666666666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87</v>
      </c>
      <c r="K25" s="221">
        <f t="shared" si="2"/>
        <v>3</v>
      </c>
      <c r="L25" s="355">
        <f>'أخذ التمام الصباحي'!G22</f>
        <v>0</v>
      </c>
      <c r="M25" s="335">
        <v>15</v>
      </c>
      <c r="N25" s="203">
        <f t="shared" si="3"/>
        <v>5.8</v>
      </c>
      <c r="O25" s="336">
        <v>30</v>
      </c>
      <c r="P25" s="335">
        <f>'أخذ التمام الصباحي'!I22</f>
        <v>17</v>
      </c>
      <c r="Q25" s="221">
        <f t="shared" si="4"/>
        <v>13</v>
      </c>
      <c r="R25" s="335">
        <f>'أخذ التمام الصباحي'!J22</f>
        <v>0</v>
      </c>
      <c r="S25" s="335">
        <v>3</v>
      </c>
      <c r="T25" s="203">
        <f t="shared" si="5"/>
        <v>5.666666666666667</v>
      </c>
      <c r="U25" s="336">
        <v>180</v>
      </c>
      <c r="V25" s="338">
        <f>'أخذ التمام الصباحي'!L22</f>
        <v>125</v>
      </c>
      <c r="W25" s="221">
        <f t="shared" si="6"/>
        <v>55</v>
      </c>
      <c r="X25" s="338">
        <f>'أخذ التمام الصباحي'!M22</f>
        <v>51</v>
      </c>
      <c r="Y25" s="335">
        <v>52</v>
      </c>
      <c r="Z25" s="203">
        <f t="shared" si="7"/>
        <v>2.4038461538461537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72</v>
      </c>
      <c r="K26" s="221">
        <f t="shared" si="2"/>
        <v>18</v>
      </c>
      <c r="L26" s="355">
        <f>'أخذ التمام الصباحي'!G23</f>
        <v>0</v>
      </c>
      <c r="M26" s="335">
        <v>17</v>
      </c>
      <c r="N26" s="203">
        <f t="shared" si="3"/>
        <v>4.2352941176470589</v>
      </c>
      <c r="O26" s="336">
        <v>30</v>
      </c>
      <c r="P26" s="338">
        <f>'أخذ التمام الصباحي'!I23</f>
        <v>21</v>
      </c>
      <c r="Q26" s="221">
        <f t="shared" si="4"/>
        <v>9</v>
      </c>
      <c r="R26" s="338">
        <f>'أخذ التمام الصباحي'!J23</f>
        <v>0</v>
      </c>
      <c r="S26" s="335">
        <v>4</v>
      </c>
      <c r="T26" s="203">
        <f t="shared" si="5"/>
        <v>5.25</v>
      </c>
      <c r="U26" s="336">
        <v>180</v>
      </c>
      <c r="V26" s="338">
        <f>'أخذ التمام الصباحي'!L23</f>
        <v>140</v>
      </c>
      <c r="W26" s="221">
        <f t="shared" si="6"/>
        <v>40</v>
      </c>
      <c r="X26" s="338">
        <f>'أخذ التمام الصباحي'!M23</f>
        <v>51</v>
      </c>
      <c r="Y26" s="335">
        <v>49</v>
      </c>
      <c r="Z26" s="203">
        <f t="shared" si="7"/>
        <v>2.8571428571428572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80</v>
      </c>
      <c r="K27" s="221">
        <f t="shared" si="2"/>
        <v>10</v>
      </c>
      <c r="L27" s="355">
        <f>'أخذ التمام الصباحي'!G24</f>
        <v>0</v>
      </c>
      <c r="M27" s="335">
        <v>12</v>
      </c>
      <c r="N27" s="203">
        <f t="shared" si="3"/>
        <v>6.666666666666667</v>
      </c>
      <c r="O27" s="336">
        <v>30</v>
      </c>
      <c r="P27" s="338">
        <f>'أخذ التمام الصباحي'!I24</f>
        <v>18</v>
      </c>
      <c r="Q27" s="221">
        <f t="shared" si="4"/>
        <v>12</v>
      </c>
      <c r="R27" s="338">
        <f>'أخذ التمام الصباحي'!J24</f>
        <v>0</v>
      </c>
      <c r="S27" s="335">
        <v>2</v>
      </c>
      <c r="T27" s="203">
        <f t="shared" si="5"/>
        <v>9</v>
      </c>
      <c r="U27" s="336">
        <v>180</v>
      </c>
      <c r="V27" s="338">
        <f>'أخذ التمام الصباحي'!L24</f>
        <v>165</v>
      </c>
      <c r="W27" s="221">
        <f t="shared" si="6"/>
        <v>15</v>
      </c>
      <c r="X27" s="338">
        <f>'أخذ التمام الصباحي'!M24</f>
        <v>0</v>
      </c>
      <c r="Y27" s="335">
        <v>30</v>
      </c>
      <c r="Z27" s="203">
        <f t="shared" si="7"/>
        <v>5.5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70</v>
      </c>
      <c r="K28" s="221">
        <f t="shared" si="2"/>
        <v>20</v>
      </c>
      <c r="L28" s="355">
        <f>'أخذ التمام الصباحي'!G25</f>
        <v>0</v>
      </c>
      <c r="M28" s="335">
        <v>9</v>
      </c>
      <c r="N28" s="203">
        <f t="shared" si="3"/>
        <v>7.7777777777777777</v>
      </c>
      <c r="O28" s="336">
        <v>30</v>
      </c>
      <c r="P28" s="338">
        <f>'أخذ التمام الصباحي'!I25</f>
        <v>16</v>
      </c>
      <c r="Q28" s="221">
        <f t="shared" si="4"/>
        <v>14</v>
      </c>
      <c r="R28" s="338">
        <f>'أخذ التمام الصباحي'!J25</f>
        <v>0</v>
      </c>
      <c r="S28" s="335">
        <v>2</v>
      </c>
      <c r="T28" s="203">
        <f t="shared" si="5"/>
        <v>8</v>
      </c>
      <c r="U28" s="336">
        <v>180</v>
      </c>
      <c r="V28" s="338">
        <f>'أخذ التمام الصباحي'!L25</f>
        <v>140</v>
      </c>
      <c r="W28" s="221">
        <f t="shared" si="6"/>
        <v>40</v>
      </c>
      <c r="X28" s="338">
        <f>'أخذ التمام الصباحي'!M25</f>
        <v>51</v>
      </c>
      <c r="Y28" s="335">
        <v>26</v>
      </c>
      <c r="Z28" s="203">
        <f t="shared" si="7"/>
        <v>5.384615384615385</v>
      </c>
    </row>
    <row r="29" spans="1:26" ht="18.75" customHeight="1" thickBot="1" x14ac:dyDescent="0.25">
      <c r="A29" s="336">
        <v>22</v>
      </c>
      <c r="B29" s="202" t="s">
        <v>112</v>
      </c>
      <c r="C29" s="366">
        <v>90</v>
      </c>
      <c r="D29" s="194">
        <f>'أخذ التمام الصباحي'!C26</f>
        <v>82</v>
      </c>
      <c r="E29" s="194">
        <f t="shared" ref="E29" si="8">C29-D29</f>
        <v>8</v>
      </c>
      <c r="F29" s="194">
        <f>'أخذ التمام الصباحي'!D26</f>
        <v>0</v>
      </c>
      <c r="G29" s="194">
        <v>5</v>
      </c>
      <c r="H29" s="194">
        <f t="shared" ref="H29" si="9">D29/G29</f>
        <v>16.399999999999999</v>
      </c>
      <c r="I29" s="336">
        <v>45</v>
      </c>
      <c r="J29" s="338">
        <f>'أخذ التمام الصباحي'!F26</f>
        <v>28</v>
      </c>
      <c r="K29" s="221">
        <f t="shared" si="2"/>
        <v>17</v>
      </c>
      <c r="L29" s="355">
        <f>'أخذ التمام الصباحي'!G26</f>
        <v>0</v>
      </c>
      <c r="M29" s="335">
        <v>9</v>
      </c>
      <c r="N29" s="203">
        <f t="shared" si="3"/>
        <v>3.1111111111111112</v>
      </c>
      <c r="O29" s="336">
        <v>45</v>
      </c>
      <c r="P29" s="338">
        <f>'أخذ التمام الصباحي'!I26</f>
        <v>28</v>
      </c>
      <c r="Q29" s="221">
        <f t="shared" si="4"/>
        <v>17</v>
      </c>
      <c r="R29" s="338">
        <f>'أخذ التمام الصباحي'!J26</f>
        <v>0</v>
      </c>
      <c r="S29" s="335">
        <v>2</v>
      </c>
      <c r="T29" s="203">
        <f t="shared" si="5"/>
        <v>14</v>
      </c>
      <c r="U29" s="336">
        <v>180</v>
      </c>
      <c r="V29" s="338">
        <f>'أخذ التمام الصباحي'!L26</f>
        <v>166</v>
      </c>
      <c r="W29" s="221">
        <f t="shared" si="6"/>
        <v>14</v>
      </c>
      <c r="X29" s="338">
        <f>'أخذ التمام الصباحي'!M26</f>
        <v>0</v>
      </c>
      <c r="Y29" s="335">
        <v>21</v>
      </c>
      <c r="Z29" s="203">
        <f t="shared" si="7"/>
        <v>7.9047619047619051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109</v>
      </c>
      <c r="K30" s="221">
        <f t="shared" si="2"/>
        <v>26</v>
      </c>
      <c r="L30" s="355">
        <f>'أخذ التمام الصباحي'!G27</f>
        <v>0</v>
      </c>
      <c r="M30" s="335">
        <v>6</v>
      </c>
      <c r="N30" s="203">
        <f t="shared" si="3"/>
        <v>18.166666666666668</v>
      </c>
      <c r="O30" s="336">
        <v>45</v>
      </c>
      <c r="P30" s="338">
        <f>'أخذ التمام الصباحي'!I27</f>
        <v>31</v>
      </c>
      <c r="Q30" s="221">
        <f t="shared" si="4"/>
        <v>14</v>
      </c>
      <c r="R30" s="338">
        <f>'أخذ التمام الصباحي'!J27</f>
        <v>0</v>
      </c>
      <c r="S30" s="335">
        <v>2</v>
      </c>
      <c r="T30" s="203">
        <f t="shared" si="5"/>
        <v>15.5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133</v>
      </c>
      <c r="K31" s="221">
        <f t="shared" si="2"/>
        <v>47</v>
      </c>
      <c r="L31" s="355">
        <f>'أخذ التمام الصباحي'!G28</f>
        <v>34</v>
      </c>
      <c r="M31" s="339">
        <v>20</v>
      </c>
      <c r="N31" s="203">
        <f t="shared" si="3"/>
        <v>6.65</v>
      </c>
      <c r="O31" s="336">
        <v>90</v>
      </c>
      <c r="P31" s="338">
        <f>'أخذ التمام الصباحي'!I28</f>
        <v>65</v>
      </c>
      <c r="Q31" s="221">
        <f t="shared" si="4"/>
        <v>25</v>
      </c>
      <c r="R31" s="338">
        <f>'أخذ التمام الصباحي'!J28</f>
        <v>17</v>
      </c>
      <c r="S31" s="339">
        <v>7</v>
      </c>
      <c r="T31" s="203">
        <f t="shared" si="5"/>
        <v>9.2857142857142865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121</v>
      </c>
      <c r="K32" s="221">
        <f t="shared" si="2"/>
        <v>59</v>
      </c>
      <c r="L32" s="355">
        <f>'أخذ التمام الصباحي'!G29</f>
        <v>0</v>
      </c>
      <c r="M32" s="339">
        <v>24</v>
      </c>
      <c r="N32" s="203">
        <f t="shared" si="3"/>
        <v>5.041666666666667</v>
      </c>
      <c r="O32" s="336">
        <v>90</v>
      </c>
      <c r="P32" s="338">
        <f>'أخذ التمام الصباحي'!I29</f>
        <v>73</v>
      </c>
      <c r="Q32" s="221">
        <f t="shared" si="4"/>
        <v>17</v>
      </c>
      <c r="R32" s="338">
        <f>'أخذ التمام الصباحي'!J29</f>
        <v>0</v>
      </c>
      <c r="S32" s="339">
        <v>7</v>
      </c>
      <c r="T32" s="203">
        <f t="shared" si="5"/>
        <v>10.428571428571429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129</v>
      </c>
      <c r="K33" s="221">
        <f t="shared" si="2"/>
        <v>51</v>
      </c>
      <c r="L33" s="355">
        <f>'أخذ التمام الصباحي'!G30</f>
        <v>51</v>
      </c>
      <c r="M33" s="339">
        <v>27</v>
      </c>
      <c r="N33" s="203">
        <f t="shared" si="3"/>
        <v>4.7777777777777777</v>
      </c>
      <c r="O33" s="336">
        <v>90</v>
      </c>
      <c r="P33" s="338">
        <f>'أخذ التمام الصباحي'!I30</f>
        <v>76</v>
      </c>
      <c r="Q33" s="221">
        <f t="shared" si="4"/>
        <v>14</v>
      </c>
      <c r="R33" s="338">
        <f>'أخذ التمام الصباحي'!J30</f>
        <v>0</v>
      </c>
      <c r="S33" s="339">
        <v>6</v>
      </c>
      <c r="T33" s="203">
        <f t="shared" si="5"/>
        <v>12.666666666666666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155</v>
      </c>
      <c r="K34" s="221">
        <f t="shared" si="2"/>
        <v>25</v>
      </c>
      <c r="L34" s="355">
        <f>'أخذ التمام الصباحي'!G31</f>
        <v>85</v>
      </c>
      <c r="M34" s="339">
        <v>38</v>
      </c>
      <c r="N34" s="203">
        <f t="shared" si="3"/>
        <v>4.0789473684210522</v>
      </c>
      <c r="O34" s="336">
        <v>90</v>
      </c>
      <c r="P34" s="338">
        <f>'أخذ التمام الصباحي'!I31</f>
        <v>74</v>
      </c>
      <c r="Q34" s="221">
        <f t="shared" si="4"/>
        <v>16</v>
      </c>
      <c r="R34" s="338">
        <f>'أخذ التمام الصباحي'!J31</f>
        <v>17</v>
      </c>
      <c r="S34" s="339">
        <v>8</v>
      </c>
      <c r="T34" s="203">
        <f t="shared" si="5"/>
        <v>9.25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1" t="s">
        <v>34</v>
      </c>
      <c r="B39" s="381"/>
      <c r="C39" s="206">
        <f>SUM(C8:C38)</f>
        <v>300</v>
      </c>
      <c r="D39" s="206">
        <f t="shared" ref="D39:Z39" si="16">SUM(D8:D38)</f>
        <v>217</v>
      </c>
      <c r="E39" s="206">
        <f t="shared" si="16"/>
        <v>83</v>
      </c>
      <c r="F39" s="206">
        <f t="shared" si="16"/>
        <v>34</v>
      </c>
      <c r="G39" s="206">
        <f t="shared" si="16"/>
        <v>59.6</v>
      </c>
      <c r="H39" s="206">
        <f t="shared" si="16"/>
        <v>65.188888888888897</v>
      </c>
      <c r="I39" s="206">
        <f t="shared" si="16"/>
        <v>3525</v>
      </c>
      <c r="J39" s="206">
        <f t="shared" si="16"/>
        <v>2181</v>
      </c>
      <c r="K39" s="206">
        <f t="shared" si="16"/>
        <v>1344</v>
      </c>
      <c r="L39" s="206">
        <f t="shared" si="16"/>
        <v>476</v>
      </c>
      <c r="M39" s="206">
        <f t="shared" si="16"/>
        <v>654</v>
      </c>
      <c r="N39" s="206">
        <f t="shared" si="16"/>
        <v>163.22939305863346</v>
      </c>
      <c r="O39" s="206">
        <f t="shared" si="16"/>
        <v>1380</v>
      </c>
      <c r="P39" s="206">
        <f t="shared" si="16"/>
        <v>729</v>
      </c>
      <c r="Q39" s="206">
        <f t="shared" si="16"/>
        <v>651</v>
      </c>
      <c r="R39" s="206">
        <f t="shared" si="16"/>
        <v>102</v>
      </c>
      <c r="S39" s="206">
        <f t="shared" si="16"/>
        <v>159.5</v>
      </c>
      <c r="T39" s="206">
        <f t="shared" si="16"/>
        <v>158.20562770562771</v>
      </c>
      <c r="U39" s="206">
        <f t="shared" si="16"/>
        <v>2580</v>
      </c>
      <c r="V39" s="206">
        <f t="shared" si="16"/>
        <v>1957</v>
      </c>
      <c r="W39" s="206">
        <f t="shared" si="16"/>
        <v>623</v>
      </c>
      <c r="X39" s="206">
        <f t="shared" si="16"/>
        <v>408</v>
      </c>
      <c r="Y39" s="206">
        <f t="shared" si="16"/>
        <v>404</v>
      </c>
      <c r="Z39" s="206">
        <f t="shared" si="16"/>
        <v>124.21793106087463</v>
      </c>
    </row>
    <row r="40" spans="1:26" ht="20.100000000000001" customHeight="1" thickBot="1" x14ac:dyDescent="0.25">
      <c r="A40" s="368" t="s">
        <v>35</v>
      </c>
      <c r="B40" s="368"/>
      <c r="C40" s="372">
        <f>C39+I39+O39+U39</f>
        <v>7785</v>
      </c>
      <c r="D40" s="373"/>
      <c r="E40" s="373"/>
      <c r="F40" s="373"/>
      <c r="G40" s="373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3"/>
      <c r="S40" s="373"/>
      <c r="T40" s="373"/>
      <c r="U40" s="373"/>
      <c r="V40" s="373"/>
      <c r="W40" s="373"/>
      <c r="X40" s="373"/>
      <c r="Y40" s="373"/>
      <c r="Z40" s="374"/>
    </row>
    <row r="41" spans="1:26" ht="20.100000000000001" customHeight="1" thickBot="1" x14ac:dyDescent="0.25">
      <c r="A41" s="368" t="s">
        <v>36</v>
      </c>
      <c r="B41" s="368"/>
      <c r="C41" s="372">
        <f>D39+J39+P39+V39</f>
        <v>5084</v>
      </c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373"/>
      <c r="X41" s="373"/>
      <c r="Y41" s="373"/>
      <c r="Z41" s="374"/>
    </row>
    <row r="42" spans="1:26" ht="20.100000000000001" customHeight="1" thickBot="1" x14ac:dyDescent="0.25">
      <c r="A42" s="368" t="s">
        <v>37</v>
      </c>
      <c r="B42" s="368"/>
      <c r="C42" s="372">
        <f>E39+K39+Q39+W39</f>
        <v>2701</v>
      </c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373"/>
      <c r="Z42" s="374"/>
    </row>
    <row r="43" spans="1:26" ht="20.100000000000001" customHeight="1" thickBot="1" x14ac:dyDescent="0.25">
      <c r="A43" s="368" t="s">
        <v>38</v>
      </c>
      <c r="B43" s="368"/>
      <c r="C43" s="375">
        <f>C41/C40</f>
        <v>0.65305073859987151</v>
      </c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77"/>
    </row>
    <row r="44" spans="1:26" ht="20.100000000000001" customHeight="1" thickBot="1" x14ac:dyDescent="0.25">
      <c r="A44" s="368" t="s">
        <v>39</v>
      </c>
      <c r="B44" s="368"/>
      <c r="C44" s="372">
        <f>F39+L39+R39+X39</f>
        <v>1020</v>
      </c>
      <c r="D44" s="373"/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373"/>
      <c r="Z44" s="374"/>
    </row>
    <row r="45" spans="1:26" ht="15.75" thickBot="1" x14ac:dyDescent="0.25">
      <c r="A45" s="368" t="s">
        <v>40</v>
      </c>
      <c r="B45" s="368"/>
      <c r="C45" s="378">
        <f>C44/'التمام الصباحي'!$C$41:$Z$41</f>
        <v>0.20062942564909519</v>
      </c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  <c r="Y45" s="379"/>
      <c r="Z45" s="380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I11" sqref="I11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1" t="s">
        <v>0</v>
      </c>
      <c r="B1" s="371"/>
      <c r="C1" s="371"/>
      <c r="D1" s="371"/>
      <c r="E1" s="371"/>
      <c r="X1" s="367"/>
      <c r="Y1" s="367"/>
    </row>
    <row r="2" spans="1:25" ht="15.75" x14ac:dyDescent="0.25">
      <c r="A2" s="371" t="s">
        <v>1</v>
      </c>
      <c r="B2" s="371"/>
      <c r="C2" s="371"/>
      <c r="D2" s="371"/>
      <c r="E2" s="371"/>
    </row>
    <row r="3" spans="1:25" ht="15.75" x14ac:dyDescent="0.25">
      <c r="A3" s="371" t="s">
        <v>2</v>
      </c>
      <c r="B3" s="371"/>
      <c r="C3" s="371"/>
      <c r="D3" s="371"/>
      <c r="E3" s="371"/>
    </row>
    <row r="5" spans="1:25" ht="32.25" customHeight="1" thickBot="1" x14ac:dyDescent="0.3">
      <c r="G5" s="199"/>
      <c r="H5" s="370" t="s">
        <v>162</v>
      </c>
      <c r="I5" s="370"/>
      <c r="J5" s="370"/>
      <c r="K5" s="370"/>
      <c r="L5" s="370"/>
      <c r="M5" s="370"/>
      <c r="N5" s="370"/>
      <c r="O5" s="370"/>
      <c r="T5" s="200" t="s">
        <v>41</v>
      </c>
    </row>
    <row r="6" spans="1:25" ht="20.100000000000001" customHeight="1" thickBot="1" x14ac:dyDescent="0.25">
      <c r="A6" s="369" t="s">
        <v>14</v>
      </c>
      <c r="B6" s="369" t="s">
        <v>3</v>
      </c>
      <c r="C6" s="369" t="s">
        <v>4</v>
      </c>
      <c r="D6" s="483" t="s">
        <v>5</v>
      </c>
      <c r="E6" s="484"/>
      <c r="F6" s="484"/>
      <c r="G6" s="485"/>
      <c r="H6" s="369" t="s">
        <v>4</v>
      </c>
      <c r="I6" s="483" t="s">
        <v>11</v>
      </c>
      <c r="J6" s="484"/>
      <c r="K6" s="484"/>
      <c r="L6" s="485"/>
      <c r="M6" s="369" t="s">
        <v>4</v>
      </c>
      <c r="N6" s="483" t="s">
        <v>12</v>
      </c>
      <c r="O6" s="484"/>
      <c r="P6" s="484"/>
      <c r="Q6" s="485"/>
      <c r="R6" s="369" t="s">
        <v>4</v>
      </c>
      <c r="S6" s="483" t="s">
        <v>13</v>
      </c>
      <c r="T6" s="484"/>
      <c r="U6" s="484"/>
      <c r="V6" s="485"/>
    </row>
    <row r="7" spans="1:25" ht="20.100000000000001" customHeight="1" thickBot="1" x14ac:dyDescent="0.25">
      <c r="A7" s="369"/>
      <c r="B7" s="369"/>
      <c r="C7" s="369"/>
      <c r="D7" s="201" t="s">
        <v>6</v>
      </c>
      <c r="E7" s="201" t="s">
        <v>7</v>
      </c>
      <c r="F7" s="201" t="s">
        <v>9</v>
      </c>
      <c r="G7" s="201" t="s">
        <v>10</v>
      </c>
      <c r="H7" s="369"/>
      <c r="I7" s="201" t="s">
        <v>6</v>
      </c>
      <c r="J7" s="201" t="s">
        <v>7</v>
      </c>
      <c r="K7" s="201" t="s">
        <v>9</v>
      </c>
      <c r="L7" s="201" t="s">
        <v>10</v>
      </c>
      <c r="M7" s="369"/>
      <c r="N7" s="201" t="s">
        <v>6</v>
      </c>
      <c r="O7" s="201" t="s">
        <v>7</v>
      </c>
      <c r="P7" s="201" t="s">
        <v>9</v>
      </c>
      <c r="Q7" s="201" t="s">
        <v>10</v>
      </c>
      <c r="R7" s="369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45</v>
      </c>
      <c r="J8" s="221">
        <f>'خطة الإمداد'!E32</f>
        <v>45</v>
      </c>
      <c r="K8" s="261">
        <v>19</v>
      </c>
      <c r="L8" s="203">
        <f>I8/K8</f>
        <v>2.3684210526315788</v>
      </c>
      <c r="M8" s="262">
        <v>30</v>
      </c>
      <c r="N8" s="261">
        <f>M8-O8</f>
        <v>16</v>
      </c>
      <c r="O8" s="221">
        <f>'خطة الإمداد'!F32</f>
        <v>14</v>
      </c>
      <c r="P8" s="261">
        <v>5</v>
      </c>
      <c r="Q8" s="203">
        <f>N8/P8</f>
        <v>3.2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12</v>
      </c>
      <c r="E10" s="261">
        <f>'خطة الإمداد'!D35</f>
        <v>18</v>
      </c>
      <c r="F10" s="261">
        <v>4</v>
      </c>
      <c r="G10" s="204">
        <f>D10/F10</f>
        <v>3</v>
      </c>
      <c r="H10" s="262">
        <v>60</v>
      </c>
      <c r="I10" s="261">
        <f t="shared" ref="I10:I27" si="1">H10-J10</f>
        <v>16</v>
      </c>
      <c r="J10" s="221">
        <f>'خطة الإمداد'!E35</f>
        <v>44</v>
      </c>
      <c r="K10" s="261">
        <v>21</v>
      </c>
      <c r="L10" s="203">
        <f t="shared" ref="L10:L21" si="2">I10/K10</f>
        <v>0.76190476190476186</v>
      </c>
      <c r="M10" s="262">
        <v>30</v>
      </c>
      <c r="N10" s="261">
        <f t="shared" ref="N10:N27" si="3">M10-O10</f>
        <v>6</v>
      </c>
      <c r="O10" s="221">
        <f>'خطة الإمداد'!F35</f>
        <v>24</v>
      </c>
      <c r="P10" s="261">
        <v>5</v>
      </c>
      <c r="Q10" s="203">
        <f>N10/P10</f>
        <v>1.2</v>
      </c>
      <c r="R10" s="262">
        <v>180</v>
      </c>
      <c r="S10" s="221">
        <f t="shared" ref="S10:S27" si="4">R10-T10</f>
        <v>159</v>
      </c>
      <c r="T10" s="261">
        <f>'خطة الإمداد'!G35</f>
        <v>21</v>
      </c>
      <c r="U10" s="261">
        <v>3</v>
      </c>
      <c r="V10" s="203">
        <f>S10/U10</f>
        <v>53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الإمداد'!D36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14</v>
      </c>
      <c r="J11" s="221">
        <f>'خطة الإمداد'!E36</f>
        <v>46</v>
      </c>
      <c r="K11" s="261">
        <v>34</v>
      </c>
      <c r="L11" s="203">
        <f t="shared" si="2"/>
        <v>0.41176470588235292</v>
      </c>
      <c r="M11" s="262">
        <v>30</v>
      </c>
      <c r="N11" s="261">
        <f t="shared" si="3"/>
        <v>13</v>
      </c>
      <c r="O11" s="221">
        <f>'خطة الإمداد'!F36</f>
        <v>17</v>
      </c>
      <c r="P11" s="261">
        <v>8</v>
      </c>
      <c r="Q11" s="203">
        <f>N11/P11</f>
        <v>1.625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18</v>
      </c>
      <c r="E12" s="261">
        <f>'خطة الإمداد'!D37</f>
        <v>12</v>
      </c>
      <c r="F12" s="261">
        <v>4</v>
      </c>
      <c r="G12" s="204">
        <f>D12/F12</f>
        <v>4.5</v>
      </c>
      <c r="H12" s="262">
        <v>90</v>
      </c>
      <c r="I12" s="261">
        <f t="shared" si="1"/>
        <v>34</v>
      </c>
      <c r="J12" s="221">
        <f>'خطة الإمداد'!E37</f>
        <v>56</v>
      </c>
      <c r="K12" s="261">
        <v>19</v>
      </c>
      <c r="L12" s="203">
        <f t="shared" si="2"/>
        <v>1.7894736842105263</v>
      </c>
      <c r="M12" s="263"/>
      <c r="N12" s="263"/>
      <c r="O12" s="263"/>
      <c r="P12" s="263"/>
      <c r="Q12" s="205"/>
      <c r="R12" s="262">
        <v>180</v>
      </c>
      <c r="S12" s="221">
        <f t="shared" si="4"/>
        <v>163</v>
      </c>
      <c r="T12" s="261">
        <f>'خطة الإمداد'!G37</f>
        <v>17</v>
      </c>
      <c r="U12" s="261">
        <v>8</v>
      </c>
      <c r="V12" s="203">
        <f>S12/U12</f>
        <v>20.375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5</v>
      </c>
      <c r="E13" s="261">
        <f>'خطة الإمداد'!D38</f>
        <v>25</v>
      </c>
      <c r="F13" s="261">
        <v>4</v>
      </c>
      <c r="G13" s="204">
        <f>D13/F13</f>
        <v>1.25</v>
      </c>
      <c r="H13" s="262">
        <v>90</v>
      </c>
      <c r="I13" s="261">
        <f t="shared" si="1"/>
        <v>40</v>
      </c>
      <c r="J13" s="221">
        <f>'خطة الإمداد'!E38</f>
        <v>50</v>
      </c>
      <c r="K13" s="261">
        <v>16</v>
      </c>
      <c r="L13" s="203">
        <f t="shared" si="2"/>
        <v>2.5</v>
      </c>
      <c r="M13" s="263"/>
      <c r="N13" s="263"/>
      <c r="O13" s="263"/>
      <c r="P13" s="263"/>
      <c r="Q13" s="205"/>
      <c r="R13" s="262">
        <v>180</v>
      </c>
      <c r="S13" s="221">
        <f t="shared" si="4"/>
        <v>133</v>
      </c>
      <c r="T13" s="261">
        <f>'خطة الإمداد'!G38</f>
        <v>47</v>
      </c>
      <c r="U13" s="261">
        <v>19</v>
      </c>
      <c r="V13" s="203">
        <f>S13/U13</f>
        <v>7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83</v>
      </c>
      <c r="J14" s="221">
        <f>'خطة الإمداد'!E39</f>
        <v>97</v>
      </c>
      <c r="K14" s="261">
        <v>39</v>
      </c>
      <c r="L14" s="203">
        <f t="shared" si="2"/>
        <v>2.1282051282051282</v>
      </c>
      <c r="M14" s="262">
        <v>60</v>
      </c>
      <c r="N14" s="261">
        <f t="shared" si="3"/>
        <v>25</v>
      </c>
      <c r="O14" s="221">
        <f>'خطة الإمداد'!F39</f>
        <v>35</v>
      </c>
      <c r="P14" s="261">
        <v>7</v>
      </c>
      <c r="Q14" s="203">
        <f t="shared" ref="Q14:Q21" si="5">N14/P14</f>
        <v>3.5714285714285716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83</v>
      </c>
      <c r="J15" s="221">
        <f>'خطة الإمداد'!E40</f>
        <v>97</v>
      </c>
      <c r="K15" s="261">
        <v>36</v>
      </c>
      <c r="L15" s="203">
        <f t="shared" si="2"/>
        <v>2.3055555555555554</v>
      </c>
      <c r="M15" s="262">
        <v>45</v>
      </c>
      <c r="N15" s="261">
        <f t="shared" si="3"/>
        <v>24</v>
      </c>
      <c r="O15" s="221">
        <f>'خطة الإمداد'!F40</f>
        <v>21</v>
      </c>
      <c r="P15" s="261">
        <v>8</v>
      </c>
      <c r="Q15" s="203">
        <f t="shared" si="5"/>
        <v>3</v>
      </c>
      <c r="R15" s="262">
        <v>120</v>
      </c>
      <c r="S15" s="221">
        <f t="shared" si="4"/>
        <v>55</v>
      </c>
      <c r="T15" s="261">
        <f>'خطة الإمداد'!G40</f>
        <v>65</v>
      </c>
      <c r="U15" s="261">
        <v>26</v>
      </c>
      <c r="V15" s="203">
        <f>S15/U15</f>
        <v>2.1153846153846154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73</v>
      </c>
      <c r="J16" s="221">
        <f>'خطة الإمداد'!E41</f>
        <v>17</v>
      </c>
      <c r="K16" s="261">
        <v>6</v>
      </c>
      <c r="L16" s="203">
        <f t="shared" si="2"/>
        <v>12.166666666666666</v>
      </c>
      <c r="M16" s="262">
        <v>30</v>
      </c>
      <c r="N16" s="261">
        <f t="shared" si="3"/>
        <v>19</v>
      </c>
      <c r="O16" s="221">
        <f>'خطة الإمداد'!F41</f>
        <v>11</v>
      </c>
      <c r="P16" s="261">
        <v>2</v>
      </c>
      <c r="Q16" s="203">
        <f t="shared" si="5"/>
        <v>9.5</v>
      </c>
      <c r="R16" s="262">
        <v>180</v>
      </c>
      <c r="S16" s="221">
        <f t="shared" si="4"/>
        <v>66</v>
      </c>
      <c r="T16" s="261">
        <f>'خطة الإمداد'!G41</f>
        <v>114</v>
      </c>
      <c r="U16" s="261">
        <v>56</v>
      </c>
      <c r="V16" s="203">
        <f>S16/U16</f>
        <v>1.1785714285714286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62</v>
      </c>
      <c r="J17" s="221">
        <f>'خطة الإمداد'!E42</f>
        <v>28</v>
      </c>
      <c r="K17" s="261">
        <v>5</v>
      </c>
      <c r="L17" s="203">
        <f t="shared" si="2"/>
        <v>12.4</v>
      </c>
      <c r="M17" s="262">
        <v>30</v>
      </c>
      <c r="N17" s="261">
        <f t="shared" si="3"/>
        <v>12</v>
      </c>
      <c r="O17" s="221">
        <f>'خطة الإمداد'!F42</f>
        <v>18</v>
      </c>
      <c r="P17" s="261">
        <v>1</v>
      </c>
      <c r="Q17" s="203">
        <f t="shared" si="5"/>
        <v>12</v>
      </c>
      <c r="R17" s="262">
        <v>60</v>
      </c>
      <c r="S17" s="194">
        <f t="shared" si="4"/>
        <v>18</v>
      </c>
      <c r="T17" s="261">
        <f>'خطة الإمداد'!G42</f>
        <v>42</v>
      </c>
      <c r="U17" s="261">
        <v>2</v>
      </c>
      <c r="V17" s="261">
        <f>S17/U17</f>
        <v>9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36</v>
      </c>
      <c r="J18" s="221">
        <f>'خطة الإمداد'!E43</f>
        <v>24</v>
      </c>
      <c r="K18" s="261">
        <v>2</v>
      </c>
      <c r="L18" s="203">
        <f t="shared" si="2"/>
        <v>18</v>
      </c>
      <c r="M18" s="262">
        <v>30</v>
      </c>
      <c r="N18" s="261">
        <f t="shared" si="3"/>
        <v>24</v>
      </c>
      <c r="O18" s="221">
        <f>'خطة الإمداد'!F43</f>
        <v>6</v>
      </c>
      <c r="P18" s="261">
        <v>5</v>
      </c>
      <c r="Q18" s="203">
        <f t="shared" si="5"/>
        <v>4.8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66</v>
      </c>
      <c r="J19" s="221">
        <f>'خطة الإمداد'!E44</f>
        <v>24</v>
      </c>
      <c r="K19" s="261">
        <v>6</v>
      </c>
      <c r="L19" s="203">
        <f t="shared" si="2"/>
        <v>11</v>
      </c>
      <c r="M19" s="262">
        <v>30</v>
      </c>
      <c r="N19" s="261">
        <f t="shared" si="3"/>
        <v>19</v>
      </c>
      <c r="O19" s="221">
        <f>'خطة الإمداد'!F44</f>
        <v>11</v>
      </c>
      <c r="P19" s="261">
        <v>2</v>
      </c>
      <c r="Q19" s="203">
        <f t="shared" si="5"/>
        <v>9.5</v>
      </c>
      <c r="R19" s="262">
        <v>180</v>
      </c>
      <c r="S19" s="221">
        <f t="shared" si="4"/>
        <v>145</v>
      </c>
      <c r="T19" s="261">
        <f>'خطة الإمداد'!G44</f>
        <v>35</v>
      </c>
      <c r="U19" s="261">
        <v>16</v>
      </c>
      <c r="V19" s="203">
        <f>S19/U19</f>
        <v>9.0625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55</v>
      </c>
      <c r="J20" s="221">
        <f>'خطة الإمداد'!E45</f>
        <v>35</v>
      </c>
      <c r="K20" s="261">
        <v>7</v>
      </c>
      <c r="L20" s="203">
        <f t="shared" si="2"/>
        <v>7.8571428571428568</v>
      </c>
      <c r="M20" s="262">
        <v>30</v>
      </c>
      <c r="N20" s="261">
        <f t="shared" si="3"/>
        <v>17</v>
      </c>
      <c r="O20" s="221">
        <f>'خطة الإمداد'!F45</f>
        <v>13</v>
      </c>
      <c r="P20" s="261">
        <v>1</v>
      </c>
      <c r="Q20" s="203">
        <f t="shared" si="5"/>
        <v>17</v>
      </c>
      <c r="R20" s="262">
        <v>180</v>
      </c>
      <c r="S20" s="221">
        <f t="shared" si="4"/>
        <v>126</v>
      </c>
      <c r="T20" s="261">
        <f>'خطة الإمداد'!G45</f>
        <v>54</v>
      </c>
      <c r="U20" s="261">
        <v>18</v>
      </c>
      <c r="V20" s="203">
        <f>S20/U20</f>
        <v>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54</v>
      </c>
      <c r="J21" s="221">
        <f>'خطة الإمداد'!E46</f>
        <v>36</v>
      </c>
      <c r="K21" s="261">
        <v>5</v>
      </c>
      <c r="L21" s="203">
        <f t="shared" si="2"/>
        <v>10.8</v>
      </c>
      <c r="M21" s="262">
        <v>30</v>
      </c>
      <c r="N21" s="261">
        <f t="shared" si="3"/>
        <v>6</v>
      </c>
      <c r="O21" s="221">
        <f>'خطة الإمداد'!F46</f>
        <v>24</v>
      </c>
      <c r="P21" s="261">
        <v>1</v>
      </c>
      <c r="Q21" s="203">
        <f t="shared" si="5"/>
        <v>6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21.4</v>
      </c>
      <c r="E22" s="194">
        <f>'خطة الإمداد'!D47</f>
        <v>8.6</v>
      </c>
      <c r="F22" s="194">
        <v>0.2</v>
      </c>
      <c r="G22" s="194">
        <f>D22/F22</f>
        <v>106.99999999999999</v>
      </c>
      <c r="H22" s="262">
        <v>60</v>
      </c>
      <c r="I22" s="261">
        <f t="shared" si="1"/>
        <v>53</v>
      </c>
      <c r="J22" s="221">
        <f>'خطة الإمداد'!E47</f>
        <v>7</v>
      </c>
      <c r="K22" s="261">
        <v>1</v>
      </c>
      <c r="L22" s="203">
        <f t="shared" ref="L22:L27" si="6">I22/K22</f>
        <v>53</v>
      </c>
      <c r="M22" s="263"/>
      <c r="N22" s="263"/>
      <c r="O22" s="263"/>
      <c r="P22" s="263"/>
      <c r="Q22" s="205"/>
      <c r="R22" s="262">
        <v>120</v>
      </c>
      <c r="S22" s="221">
        <f t="shared" si="4"/>
        <v>73</v>
      </c>
      <c r="T22" s="261">
        <f>'خطة الإمداد'!G47</f>
        <v>47</v>
      </c>
      <c r="U22" s="261">
        <v>14</v>
      </c>
      <c r="V22" s="203">
        <f t="shared" ref="V22:V27" si="7">S22/U22</f>
        <v>5.2142857142857144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35</v>
      </c>
      <c r="J23" s="221">
        <f>'خطة الإمداد'!E48</f>
        <v>25</v>
      </c>
      <c r="K23" s="261">
        <v>1</v>
      </c>
      <c r="L23" s="203">
        <f t="shared" si="6"/>
        <v>35</v>
      </c>
      <c r="M23" s="263"/>
      <c r="N23" s="263"/>
      <c r="O23" s="263"/>
      <c r="P23" s="263"/>
      <c r="Q23" s="205"/>
      <c r="R23" s="262">
        <v>120</v>
      </c>
      <c r="S23" s="221">
        <f t="shared" si="4"/>
        <v>87</v>
      </c>
      <c r="T23" s="261">
        <f>'خطة الإمداد'!G48</f>
        <v>33</v>
      </c>
      <c r="U23" s="261">
        <v>7</v>
      </c>
      <c r="V23" s="203">
        <f t="shared" si="7"/>
        <v>12.428571428571429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72</v>
      </c>
      <c r="J24" s="221">
        <f>'خطة الإمداد'!E49</f>
        <v>18</v>
      </c>
      <c r="K24" s="261">
        <v>11</v>
      </c>
      <c r="L24" s="203">
        <f t="shared" si="6"/>
        <v>6.5454545454545459</v>
      </c>
      <c r="M24" s="262">
        <v>30</v>
      </c>
      <c r="N24" s="261">
        <f t="shared" si="3"/>
        <v>14</v>
      </c>
      <c r="O24" s="221">
        <f>'خطة الإمداد'!F49</f>
        <v>16</v>
      </c>
      <c r="P24" s="261">
        <v>1</v>
      </c>
      <c r="Q24" s="203">
        <f>N24/P24</f>
        <v>14</v>
      </c>
      <c r="R24" s="262">
        <v>180</v>
      </c>
      <c r="S24" s="221">
        <f t="shared" si="4"/>
        <v>73</v>
      </c>
      <c r="T24" s="261">
        <f>'خطة الإمداد'!G49</f>
        <v>107</v>
      </c>
      <c r="U24" s="261">
        <v>42</v>
      </c>
      <c r="V24" s="203">
        <f t="shared" si="7"/>
        <v>1.7380952380952381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55</v>
      </c>
      <c r="J25" s="221">
        <f>'خطة الإمداد'!E50</f>
        <v>35</v>
      </c>
      <c r="K25" s="261">
        <v>14</v>
      </c>
      <c r="L25" s="203">
        <f t="shared" si="6"/>
        <v>3.9285714285714284</v>
      </c>
      <c r="M25" s="262">
        <v>30</v>
      </c>
      <c r="N25" s="261">
        <f t="shared" si="3"/>
        <v>17</v>
      </c>
      <c r="O25" s="221">
        <f>'خطة الإمداد'!F50</f>
        <v>13</v>
      </c>
      <c r="P25" s="261">
        <v>2</v>
      </c>
      <c r="Q25" s="203">
        <f>N25/P25</f>
        <v>8.5</v>
      </c>
      <c r="R25" s="262">
        <v>180</v>
      </c>
      <c r="S25" s="221">
        <f t="shared" si="4"/>
        <v>91</v>
      </c>
      <c r="T25" s="261">
        <f>'خطة الإمداد'!G50</f>
        <v>89</v>
      </c>
      <c r="U25" s="261">
        <v>35</v>
      </c>
      <c r="V25" s="203">
        <f t="shared" si="7"/>
        <v>2.6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68</v>
      </c>
      <c r="J26" s="221">
        <f>'خطة الإمداد'!E51</f>
        <v>22</v>
      </c>
      <c r="K26" s="261">
        <v>6</v>
      </c>
      <c r="L26" s="203">
        <f t="shared" si="6"/>
        <v>11.333333333333334</v>
      </c>
      <c r="M26" s="262">
        <v>30</v>
      </c>
      <c r="N26" s="261">
        <f t="shared" si="3"/>
        <v>16</v>
      </c>
      <c r="O26" s="221">
        <f>'خطة الإمداد'!F51</f>
        <v>14</v>
      </c>
      <c r="P26" s="261">
        <v>1</v>
      </c>
      <c r="Q26" s="203">
        <f>N26/P26</f>
        <v>16</v>
      </c>
      <c r="R26" s="262">
        <v>180</v>
      </c>
      <c r="S26" s="221">
        <f t="shared" si="4"/>
        <v>135</v>
      </c>
      <c r="T26" s="261">
        <f>'خطة الإمداد'!G51</f>
        <v>45</v>
      </c>
      <c r="U26" s="261">
        <v>21</v>
      </c>
      <c r="V26" s="203">
        <f t="shared" si="7"/>
        <v>6.4285714285714288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61</v>
      </c>
      <c r="J27" s="221">
        <f>'خطة الإمداد'!E52</f>
        <v>29</v>
      </c>
      <c r="K27" s="261">
        <v>7</v>
      </c>
      <c r="L27" s="203">
        <f t="shared" si="6"/>
        <v>8.7142857142857135</v>
      </c>
      <c r="M27" s="262">
        <v>30</v>
      </c>
      <c r="N27" s="261">
        <f t="shared" si="3"/>
        <v>14</v>
      </c>
      <c r="O27" s="221">
        <f>'خطة الإمداد'!F52</f>
        <v>16</v>
      </c>
      <c r="P27" s="261">
        <v>1</v>
      </c>
      <c r="Q27" s="203">
        <f>N27/P27</f>
        <v>14</v>
      </c>
      <c r="R27" s="262">
        <v>180</v>
      </c>
      <c r="S27" s="221">
        <f t="shared" si="4"/>
        <v>114</v>
      </c>
      <c r="T27" s="261">
        <f>'خطة الإمداد'!G52</f>
        <v>66</v>
      </c>
      <c r="U27" s="261">
        <v>22</v>
      </c>
      <c r="V27" s="203">
        <f t="shared" si="7"/>
        <v>5.1818181818181817</v>
      </c>
    </row>
    <row r="28" spans="1:23" ht="24.75" customHeight="1" thickBot="1" x14ac:dyDescent="0.25">
      <c r="A28" s="381" t="s">
        <v>34</v>
      </c>
      <c r="B28" s="381"/>
      <c r="C28" s="206">
        <f>SUM(C8:C27)</f>
        <v>150</v>
      </c>
      <c r="D28" s="206">
        <f>SUM(D8:D27)</f>
        <v>86.4</v>
      </c>
      <c r="E28" s="206">
        <f t="shared" ref="E28:V28" si="8">SUM(E8:E27)</f>
        <v>63.6</v>
      </c>
      <c r="F28" s="206">
        <f t="shared" si="8"/>
        <v>21.2</v>
      </c>
      <c r="G28" s="206">
        <f t="shared" si="8"/>
        <v>119.08333333333331</v>
      </c>
      <c r="H28" s="262">
        <f t="shared" si="8"/>
        <v>1740</v>
      </c>
      <c r="I28" s="206">
        <f t="shared" si="8"/>
        <v>1005</v>
      </c>
      <c r="J28" s="206">
        <f t="shared" si="8"/>
        <v>735</v>
      </c>
      <c r="K28" s="206">
        <f t="shared" si="8"/>
        <v>255</v>
      </c>
      <c r="L28" s="207">
        <f t="shared" si="8"/>
        <v>203.01077943384442</v>
      </c>
      <c r="M28" s="262">
        <f t="shared" si="8"/>
        <v>495</v>
      </c>
      <c r="N28" s="206">
        <f t="shared" si="8"/>
        <v>242</v>
      </c>
      <c r="O28" s="206">
        <f t="shared" si="8"/>
        <v>253</v>
      </c>
      <c r="P28" s="206">
        <f t="shared" si="8"/>
        <v>50</v>
      </c>
      <c r="Q28" s="207">
        <f t="shared" si="8"/>
        <v>123.89642857142857</v>
      </c>
      <c r="R28" s="262">
        <f t="shared" si="8"/>
        <v>2220</v>
      </c>
      <c r="S28" s="206">
        <f t="shared" si="8"/>
        <v>1438</v>
      </c>
      <c r="T28" s="206">
        <f t="shared" si="8"/>
        <v>782</v>
      </c>
      <c r="U28" s="206">
        <f t="shared" si="8"/>
        <v>289</v>
      </c>
      <c r="V28" s="207">
        <f t="shared" si="8"/>
        <v>142.32279803529801</v>
      </c>
    </row>
    <row r="29" spans="1:23" ht="20.100000000000001" customHeight="1" thickBot="1" x14ac:dyDescent="0.25">
      <c r="A29" s="368" t="s">
        <v>35</v>
      </c>
      <c r="B29" s="368"/>
      <c r="C29" s="372">
        <f>C28+H28+M28+R28</f>
        <v>4605</v>
      </c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4"/>
    </row>
    <row r="30" spans="1:23" ht="20.100000000000001" customHeight="1" thickBot="1" x14ac:dyDescent="0.25">
      <c r="A30" s="368" t="s">
        <v>36</v>
      </c>
      <c r="B30" s="368"/>
      <c r="C30" s="372">
        <f>D28+I28+N28+S28</f>
        <v>2771.4</v>
      </c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4"/>
    </row>
    <row r="31" spans="1:23" ht="20.100000000000001" customHeight="1" thickBot="1" x14ac:dyDescent="0.25">
      <c r="A31" s="368" t="s">
        <v>37</v>
      </c>
      <c r="B31" s="368"/>
      <c r="C31" s="372">
        <f>E28+J28+O28+T28</f>
        <v>1833.6</v>
      </c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  <c r="V31" s="374"/>
    </row>
    <row r="32" spans="1:23" ht="20.100000000000001" customHeight="1" thickBot="1" x14ac:dyDescent="0.25">
      <c r="A32" s="368" t="s">
        <v>38</v>
      </c>
      <c r="B32" s="368"/>
      <c r="C32" s="375">
        <f>C30/C29</f>
        <v>0.6018241042345277</v>
      </c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7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391" t="s">
        <v>94</v>
      </c>
      <c r="R5" s="391"/>
      <c r="S5" s="391"/>
      <c r="T5" s="391"/>
      <c r="U5" s="391"/>
    </row>
    <row r="6" spans="1:21" ht="15.75" customHeight="1" thickBot="1" x14ac:dyDescent="0.25">
      <c r="A6" s="453" t="s">
        <v>3</v>
      </c>
      <c r="B6" s="492">
        <v>80</v>
      </c>
      <c r="C6" s="493"/>
      <c r="D6" s="492">
        <v>92</v>
      </c>
      <c r="E6" s="493"/>
      <c r="F6" s="492">
        <v>95</v>
      </c>
      <c r="G6" s="493"/>
      <c r="H6" s="492" t="s">
        <v>50</v>
      </c>
      <c r="I6" s="493"/>
      <c r="K6" s="453" t="s">
        <v>3</v>
      </c>
      <c r="L6" s="73">
        <v>80</v>
      </c>
      <c r="M6" s="73">
        <v>92</v>
      </c>
      <c r="N6" s="73">
        <v>95</v>
      </c>
      <c r="O6" s="73" t="s">
        <v>50</v>
      </c>
      <c r="Q6" s="494" t="s">
        <v>3</v>
      </c>
      <c r="R6" s="495" t="s">
        <v>95</v>
      </c>
      <c r="S6" s="495" t="s">
        <v>96</v>
      </c>
      <c r="T6" s="495" t="s">
        <v>97</v>
      </c>
      <c r="U6" s="497" t="s">
        <v>98</v>
      </c>
    </row>
    <row r="7" spans="1:21" ht="15.75" thickBot="1" x14ac:dyDescent="0.25">
      <c r="A7" s="455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55"/>
      <c r="L7" s="74" t="s">
        <v>7</v>
      </c>
      <c r="M7" s="74" t="s">
        <v>7</v>
      </c>
      <c r="N7" s="74" t="s">
        <v>7</v>
      </c>
      <c r="O7" s="74" t="s">
        <v>7</v>
      </c>
      <c r="Q7" s="494"/>
      <c r="R7" s="496"/>
      <c r="S7" s="496"/>
      <c r="T7" s="496"/>
      <c r="U7" s="497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20</v>
      </c>
      <c r="E8" s="10">
        <f>'التمام الصباحي'!N8</f>
        <v>2.8</v>
      </c>
      <c r="F8" s="72">
        <f>'التمام الصباحي'!Q8</f>
        <v>6</v>
      </c>
      <c r="G8" s="10">
        <f>'التمام الصباحي'!T8</f>
        <v>3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13</v>
      </c>
      <c r="C9" s="9">
        <f>'التمام الصباحي'!H11</f>
        <v>3.4</v>
      </c>
      <c r="D9" s="72">
        <f>'التمام الصباحي'!K11</f>
        <v>19</v>
      </c>
      <c r="E9" s="10">
        <f>'التمام الصباحي'!N11</f>
        <v>1.64</v>
      </c>
      <c r="F9" s="72">
        <f>'التمام الصباحي'!Q11</f>
        <v>16</v>
      </c>
      <c r="G9" s="10">
        <f>'التمام الصباحي'!T11</f>
        <v>1.75</v>
      </c>
      <c r="H9" s="5">
        <f>'التمام الصباحي'!W11</f>
        <v>15</v>
      </c>
      <c r="I9" s="10">
        <f>'التمام الصباحي'!Z11</f>
        <v>27.5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490">
        <f>IF((ROUNDDOWN((SUM(M9:M10)/51)-(R9+R10),0.9))&lt;0,0,(ROUNDDOWN((SUM(M9:M10)/51)-(R9+R10),0.9)))</f>
        <v>0</v>
      </c>
      <c r="T9" s="490">
        <f>IF((ROUNDDOWN((SUM(O9:O10)/51)-(R9+R10),0.9))&lt;0,0,(ROUNDDOWN((SUM(O9:O10)/51)-(R9+R10),0.9)))</f>
        <v>0</v>
      </c>
      <c r="U9" s="49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6</v>
      </c>
      <c r="E10" s="10">
        <f>'التمام الصباحي'!N12</f>
        <v>2.1</v>
      </c>
      <c r="F10" s="72">
        <f>'التمام الصباحي'!Q12</f>
        <v>5</v>
      </c>
      <c r="G10" s="10">
        <f>'التمام الصباحي'!T12</f>
        <v>2.0833333333333335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491"/>
      <c r="T10" s="491"/>
      <c r="U10" s="491"/>
    </row>
    <row r="11" spans="1:21" ht="17.25" thickTop="1" thickBot="1" x14ac:dyDescent="0.3">
      <c r="A11" s="77" t="s">
        <v>18</v>
      </c>
      <c r="B11" s="5">
        <f>'التمام الصباحي'!E13</f>
        <v>8</v>
      </c>
      <c r="C11" s="9">
        <f>'التمام الصباحي'!H13</f>
        <v>5.5</v>
      </c>
      <c r="D11" s="72">
        <f>'التمام الصباحي'!K13</f>
        <v>30</v>
      </c>
      <c r="E11" s="10">
        <f>'التمام الصباحي'!N13</f>
        <v>2.3076923076923075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7</v>
      </c>
      <c r="I11" s="10">
        <f>'التمام الصباحي'!Z13</f>
        <v>17.3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486">
        <f>IF((ROUNDDOWN((SUM(M11:M12)/51)-(R11+R12),0.9))&lt;0,0,(ROUNDDOWN((SUM(M11:M12)/51)-(R11+R12),0.9)))</f>
        <v>0</v>
      </c>
      <c r="T11" s="486">
        <f t="shared" ref="T11" si="5">IF((ROUNDDOWN((SUM(O11:O12)/51)-(R11+R12),0.9))&lt;0,0,(ROUNDDOWN((SUM(O11:O12)/51)-(R11+R12),0.9)))</f>
        <v>0</v>
      </c>
      <c r="U11" s="486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16</v>
      </c>
      <c r="C12" s="9">
        <f>'التمام الصباحي'!H14</f>
        <v>1.5555555555555556</v>
      </c>
      <c r="D12" s="72">
        <f>'التمام الصباحي'!K14</f>
        <v>26</v>
      </c>
      <c r="E12" s="10">
        <f>'التمام الصباحي'!N14</f>
        <v>2.6666666666666665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25</v>
      </c>
      <c r="I12" s="10">
        <f>'التمام الصباحي'!Z14</f>
        <v>7.0454545454545459</v>
      </c>
      <c r="K12" s="79" t="s">
        <v>19</v>
      </c>
      <c r="L12" s="41">
        <f t="shared" si="3"/>
        <v>0</v>
      </c>
      <c r="M12" s="41">
        <f t="shared" si="1"/>
        <v>17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486"/>
      <c r="T12" s="486"/>
      <c r="U12" s="486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45</v>
      </c>
      <c r="E13" s="10">
        <f>'التمام الصباحي'!N15</f>
        <v>2.5961538461538463</v>
      </c>
      <c r="F13" s="72">
        <f>'التمام الصباحي'!Q15</f>
        <v>21</v>
      </c>
      <c r="G13" s="10">
        <f>'التمام الصباحي'!T15</f>
        <v>2.7857142857142856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34</v>
      </c>
      <c r="N13" s="41">
        <f t="shared" si="2"/>
        <v>17</v>
      </c>
      <c r="O13" s="80"/>
      <c r="P13" s="81"/>
      <c r="Q13" s="86" t="s">
        <v>20</v>
      </c>
      <c r="R13" s="87">
        <f t="shared" si="0"/>
        <v>1</v>
      </c>
      <c r="S13" s="490">
        <f>IF((ROUNDDOWN((SUM(M13:M14)/51)-(R13+R14),0.9))&lt;0,0,(ROUNDDOWN((SUM(M13:M14)/51)-(R13+R14),0.9)))</f>
        <v>0</v>
      </c>
      <c r="T13" s="490">
        <f t="shared" ref="T13" si="7">IF((ROUNDDOWN((SUM(O13:O14)/51)-(R13+R14),0.9))&lt;0,0,(ROUNDDOWN((SUM(O13:O14)/51)-(R13+R14),0.9)))</f>
        <v>0</v>
      </c>
      <c r="U13" s="49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55</v>
      </c>
      <c r="E14" s="10">
        <f>'التمام الصباحي'!N16</f>
        <v>2.9761904761904763</v>
      </c>
      <c r="F14" s="72">
        <f>'التمام الصباحي'!Q16</f>
        <v>10</v>
      </c>
      <c r="G14" s="10">
        <f>'التمام الصباحي'!T16</f>
        <v>3.1818181818181817</v>
      </c>
      <c r="H14" s="5">
        <f>'التمام الصباحي'!W16</f>
        <v>34</v>
      </c>
      <c r="I14" s="10">
        <f>'التمام الصباحي'!Z16</f>
        <v>2.774193548387097</v>
      </c>
      <c r="K14" s="88" t="s">
        <v>21</v>
      </c>
      <c r="L14" s="80"/>
      <c r="M14" s="41">
        <f t="shared" si="1"/>
        <v>51</v>
      </c>
      <c r="N14" s="41">
        <f t="shared" si="2"/>
        <v>0</v>
      </c>
      <c r="O14" s="41">
        <f t="shared" si="4"/>
        <v>34</v>
      </c>
      <c r="P14" s="81"/>
      <c r="Q14" s="89" t="s">
        <v>21</v>
      </c>
      <c r="R14" s="90">
        <f t="shared" si="0"/>
        <v>1</v>
      </c>
      <c r="S14" s="491"/>
      <c r="T14" s="491"/>
      <c r="U14" s="49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5</v>
      </c>
      <c r="E15" s="10">
        <f>'التمام الصباحي'!N17</f>
        <v>7.083333333333333</v>
      </c>
      <c r="F15" s="72">
        <f>'التمام الصباحي'!Q17</f>
        <v>5</v>
      </c>
      <c r="G15" s="10">
        <f>'التمام الصباحي'!T17</f>
        <v>4.166666666666667</v>
      </c>
      <c r="H15" s="5">
        <f>'التمام الصباحي'!W17</f>
        <v>50</v>
      </c>
      <c r="I15" s="10">
        <f>'التمام الصباحي'!Z17</f>
        <v>2.03125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34</v>
      </c>
      <c r="P15" s="81"/>
      <c r="Q15" s="97" t="s">
        <v>22</v>
      </c>
      <c r="R15" s="98">
        <f t="shared" si="0"/>
        <v>0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18</v>
      </c>
      <c r="E16" s="10">
        <f>'التمام الصباحي'!N18</f>
        <v>7.2</v>
      </c>
      <c r="F16" s="72">
        <f>'التمام الصباحي'!Q18</f>
        <v>14</v>
      </c>
      <c r="G16" s="10">
        <f>'التمام الصباحي'!T18</f>
        <v>4</v>
      </c>
      <c r="H16" s="5">
        <f>'التمام الصباحي'!W18</f>
        <v>37</v>
      </c>
      <c r="I16" s="10">
        <f>'التمام الصباحي'!Z18</f>
        <v>4.5999999999999996</v>
      </c>
      <c r="K16" s="85" t="s">
        <v>23</v>
      </c>
      <c r="L16" s="80"/>
      <c r="M16" s="41">
        <f t="shared" si="1"/>
        <v>17</v>
      </c>
      <c r="N16" s="41">
        <f t="shared" si="2"/>
        <v>0</v>
      </c>
      <c r="O16" s="41">
        <f t="shared" si="4"/>
        <v>34</v>
      </c>
      <c r="P16" s="81"/>
      <c r="Q16" s="92" t="s">
        <v>23</v>
      </c>
      <c r="R16" s="93">
        <f t="shared" si="0"/>
        <v>1</v>
      </c>
      <c r="S16" s="488">
        <f>IF((ROUNDDOWN((SUM(M16:M17)/51)-(R16+R17),0.9))&lt;0,0,(ROUNDDOWN((SUM(M16:M17)/51)-(R16+R17),0.9)))</f>
        <v>0</v>
      </c>
      <c r="T16" s="488">
        <f>IF((ROUNDDOWN((SUM(O16:O17)/51)-(R16+R17),0.9))&lt;0,0,(ROUNDDOWN((SUM(O16:O17)/51)-(R16+R17),0.9)))</f>
        <v>0</v>
      </c>
      <c r="U16" s="488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19</v>
      </c>
      <c r="E17" s="10">
        <f>'التمام الصباحي'!N19</f>
        <v>8.1999999999999993</v>
      </c>
      <c r="F17" s="72">
        <f>'التمام الصباحي'!Q19</f>
        <v>4</v>
      </c>
      <c r="G17" s="10">
        <f>'التمام الصباحي'!T19</f>
        <v>13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489"/>
      <c r="T17" s="489"/>
      <c r="U17" s="489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20</v>
      </c>
      <c r="E18" s="10">
        <f>'التمام الصباحي'!N20</f>
        <v>17.5</v>
      </c>
      <c r="F18" s="72">
        <f>'التمام الصباحي'!Q20</f>
        <v>8</v>
      </c>
      <c r="G18" s="10">
        <f>'التمام الصباحي'!T20</f>
        <v>7.333333333333333</v>
      </c>
      <c r="H18" s="5">
        <f>'التمام الصباحي'!W20</f>
        <v>25</v>
      </c>
      <c r="I18" s="10">
        <f>'التمام الصباحي'!Z20</f>
        <v>15.5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5</v>
      </c>
      <c r="E19" s="10">
        <f>'التمام الصباحي'!N21</f>
        <v>2.8333333333333335</v>
      </c>
      <c r="F19" s="72">
        <f>'التمام الصباحي'!Q21</f>
        <v>4</v>
      </c>
      <c r="G19" s="10">
        <f>'التمام الصباحي'!T21</f>
        <v>2.8888888888888888</v>
      </c>
      <c r="H19" s="5">
        <f>'التمام الصباحي'!W21</f>
        <v>27</v>
      </c>
      <c r="I19" s="10">
        <f>'التمام الصباحي'!Z21</f>
        <v>5.666666666666667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0</v>
      </c>
      <c r="S19" s="490">
        <f>IF((ROUNDDOWN((SUM(M19:M20)/51)-(R19+R20),0.9))&lt;0,0,(ROUNDDOWN((SUM(M19:M20)/51)-(R19+R20),0.9)))</f>
        <v>0</v>
      </c>
      <c r="T19" s="490">
        <f>IF((ROUNDDOWN((SUM(O19:O20)/51)-(R19+R20),0.9))&lt;0,0,(ROUNDDOWN((SUM(O19:O20)/51)-(R19+R20),0.9)))</f>
        <v>0</v>
      </c>
      <c r="U19" s="490">
        <f>IF((ROUNDDOWN((SUM(L19:O20)/51)-(R19+R20+S19+T19),0.9))&lt;0,0,ROUNDDOWN((SUM(L19:O20)/51)-(R19+R20+S19+T19),0.9))</f>
        <v>1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28</v>
      </c>
      <c r="E20" s="10">
        <f>'التمام الصباحي'!N22</f>
        <v>7.75</v>
      </c>
      <c r="F20" s="72">
        <f>'التمام الصباحي'!Q22</f>
        <v>22</v>
      </c>
      <c r="G20" s="10">
        <f>'التمام الصباحي'!T22</f>
        <v>4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17</v>
      </c>
      <c r="O20" s="80"/>
      <c r="P20" s="81"/>
      <c r="Q20" s="89" t="s">
        <v>27</v>
      </c>
      <c r="R20" s="90">
        <f t="shared" si="0"/>
        <v>0</v>
      </c>
      <c r="S20" s="491"/>
      <c r="T20" s="491"/>
      <c r="U20" s="491"/>
    </row>
    <row r="21" spans="1:21" ht="17.25" thickTop="1" thickBot="1" x14ac:dyDescent="0.3">
      <c r="A21" s="77" t="s">
        <v>28</v>
      </c>
      <c r="B21" s="5">
        <f>'التمام الصباحي'!E23</f>
        <v>8</v>
      </c>
      <c r="C21" s="9">
        <f>'التمام الصباحي'!H23</f>
        <v>36.666666666666671</v>
      </c>
      <c r="D21" s="72">
        <f>'التمام الصباحي'!K23</f>
        <v>4</v>
      </c>
      <c r="E21" s="10">
        <f>'التمام الصباحي'!N23</f>
        <v>18.666666666666668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35</v>
      </c>
      <c r="I21" s="10">
        <f>'التمام الصباحي'!Z23</f>
        <v>7.083333333333333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34</v>
      </c>
      <c r="P21" s="81"/>
      <c r="Q21" s="92" t="s">
        <v>28</v>
      </c>
      <c r="R21" s="93">
        <f t="shared" si="0"/>
        <v>0</v>
      </c>
      <c r="S21" s="486">
        <f>IF((ROUNDDOWN((SUM(M21:M22)/51)-(R21+R22),0.9))&lt;0,0,(ROUNDDOWN((SUM(M21:M22)/51)-(R21+R22),0.9)))</f>
        <v>0</v>
      </c>
      <c r="T21" s="488">
        <f>IF((ROUNDDOWN((SUM(O21:O22)/51)-(R21+R22),0.9))&lt;0,0,(ROUNDDOWN((SUM(O21:O22)/51)-(R21+R22),0.9)))</f>
        <v>1</v>
      </c>
      <c r="U21" s="488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19</v>
      </c>
      <c r="E22" s="10">
        <f>'التمام الصباحي'!N24</f>
        <v>6.833333333333333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24</v>
      </c>
      <c r="I22" s="10">
        <f>'التمام الصباحي'!Z24</f>
        <v>10.666666666666666</v>
      </c>
      <c r="K22" s="79" t="s">
        <v>29</v>
      </c>
      <c r="L22" s="80"/>
      <c r="M22" s="41">
        <f t="shared" si="1"/>
        <v>17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486"/>
      <c r="T22" s="489"/>
      <c r="U22" s="489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3</v>
      </c>
      <c r="E23" s="10">
        <f>'التمام الصباحي'!N25</f>
        <v>5.8</v>
      </c>
      <c r="F23" s="72">
        <f>'التمام الصباحي'!Q25</f>
        <v>13</v>
      </c>
      <c r="G23" s="10">
        <f>'التمام الصباحي'!T25</f>
        <v>5.666666666666667</v>
      </c>
      <c r="H23" s="5">
        <f>'التمام الصباحي'!W25</f>
        <v>55</v>
      </c>
      <c r="I23" s="10">
        <f>'التمام الصباحي'!Z25</f>
        <v>2.4038461538461537</v>
      </c>
      <c r="K23" s="85" t="s">
        <v>30</v>
      </c>
      <c r="L23" s="80"/>
      <c r="M23" s="41">
        <f t="shared" si="1"/>
        <v>0</v>
      </c>
      <c r="N23" s="41">
        <f t="shared" si="2"/>
        <v>0</v>
      </c>
      <c r="O23" s="41">
        <f t="shared" si="4"/>
        <v>51</v>
      </c>
      <c r="P23" s="81"/>
      <c r="Q23" s="86" t="s">
        <v>30</v>
      </c>
      <c r="R23" s="87">
        <f t="shared" si="0"/>
        <v>1</v>
      </c>
      <c r="S23" s="490">
        <f>IF((ROUNDDOWN((SUM(M23:M24)/51)-(R23+R24),0.9))&lt;0,0,(ROUNDDOWN((SUM(M23:M24)/51)-(R23+R24),0.9)))</f>
        <v>0</v>
      </c>
      <c r="T23" s="490">
        <f>IF((ROUNDDOWN((SUM(O23:O24)/51)-(R23+R24),0.9))&lt;0,0,(ROUNDDOWN((SUM(O23:O24)/51)-(R23+R24),0.9)))</f>
        <v>0</v>
      </c>
      <c r="U23" s="490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18</v>
      </c>
      <c r="E24" s="10">
        <f>'التمام الصباحي'!N26</f>
        <v>4.2352941176470589</v>
      </c>
      <c r="F24" s="72">
        <f>'التمام الصباحي'!Q26</f>
        <v>9</v>
      </c>
      <c r="G24" s="10">
        <f>'التمام الصباحي'!T26</f>
        <v>5.25</v>
      </c>
      <c r="H24" s="5">
        <f>'التمام الصباحي'!W26</f>
        <v>40</v>
      </c>
      <c r="I24" s="10">
        <f>'التمام الصباحي'!Z26</f>
        <v>2.8571428571428572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34</v>
      </c>
      <c r="P24" s="81"/>
      <c r="Q24" s="89" t="s">
        <v>31</v>
      </c>
      <c r="R24" s="90">
        <f t="shared" si="0"/>
        <v>1</v>
      </c>
      <c r="S24" s="491"/>
      <c r="T24" s="491"/>
      <c r="U24" s="49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10</v>
      </c>
      <c r="E25" s="10">
        <f>'التمام الصباحي'!N27</f>
        <v>6.666666666666667</v>
      </c>
      <c r="F25" s="72">
        <f>'التمام الصباحي'!Q27</f>
        <v>12</v>
      </c>
      <c r="G25" s="10">
        <f>'التمام الصباحي'!T27</f>
        <v>9</v>
      </c>
      <c r="H25" s="5">
        <f>'التمام الصباحي'!W27</f>
        <v>15</v>
      </c>
      <c r="I25" s="10">
        <f>'التمام الصباحي'!Z27</f>
        <v>5.5</v>
      </c>
      <c r="K25" s="91" t="s">
        <v>32</v>
      </c>
      <c r="L25" s="80"/>
      <c r="M25" s="41">
        <f t="shared" si="1"/>
        <v>0</v>
      </c>
      <c r="N25" s="41">
        <f t="shared" si="2"/>
        <v>0</v>
      </c>
      <c r="O25" s="41">
        <f t="shared" si="4"/>
        <v>0</v>
      </c>
      <c r="P25" s="81"/>
      <c r="Q25" s="92" t="s">
        <v>32</v>
      </c>
      <c r="R25" s="93">
        <f t="shared" si="0"/>
        <v>0</v>
      </c>
      <c r="S25" s="486">
        <f>IF((ROUNDDOWN((SUM(M25:M26)/51)-(R25+R26),0.9))&lt;0,0,(ROUNDDOWN((SUM(M25:M26)/51)-(R25+R26),0.9)))</f>
        <v>0</v>
      </c>
      <c r="T25" s="486">
        <f>IF((ROUNDDOWN((SUM(O25:O26)/51)-(R25+R26),0.9))&lt;0,0,(ROUNDDOWN((SUM(O25:O26)/51)-(R25+R26),0.9)))</f>
        <v>0</v>
      </c>
      <c r="U25" s="486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20</v>
      </c>
      <c r="E26" s="10">
        <f>'التمام الصباحي'!N28</f>
        <v>7.7777777777777777</v>
      </c>
      <c r="F26" s="72">
        <f>'التمام الصباحي'!Q28</f>
        <v>14</v>
      </c>
      <c r="G26" s="10">
        <f>'التمام الصباحي'!T28</f>
        <v>8</v>
      </c>
      <c r="H26" s="5">
        <f>'التمام الصباحي'!W28</f>
        <v>40</v>
      </c>
      <c r="I26" s="10">
        <f>'التمام الصباحي'!Z28</f>
        <v>5.384615384615385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34</v>
      </c>
      <c r="P26" s="81"/>
      <c r="Q26" s="51" t="s">
        <v>33</v>
      </c>
      <c r="R26" s="103">
        <f t="shared" si="0"/>
        <v>1</v>
      </c>
      <c r="S26" s="487"/>
      <c r="T26" s="487"/>
      <c r="U26" s="487"/>
    </row>
    <row r="29" spans="1:21" ht="15.75" x14ac:dyDescent="0.2">
      <c r="K29" s="159" t="s">
        <v>117</v>
      </c>
      <c r="M29">
        <f>SUM(L8:O26)</f>
        <v>629</v>
      </c>
      <c r="U29" s="138">
        <f>SUM(R8:U26)</f>
        <v>9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00" t="s">
        <v>123</v>
      </c>
      <c r="C3" s="500"/>
      <c r="D3" s="500"/>
      <c r="F3" s="500" t="s">
        <v>124</v>
      </c>
      <c r="G3" s="500"/>
      <c r="H3" s="500"/>
      <c r="J3" s="409" t="s">
        <v>125</v>
      </c>
      <c r="K3" s="409"/>
      <c r="M3" s="409" t="s">
        <v>127</v>
      </c>
      <c r="N3" s="409"/>
      <c r="P3" s="409" t="s">
        <v>126</v>
      </c>
      <c r="Q3" s="409"/>
    </row>
    <row r="4" spans="2:20" ht="15.75" thickBot="1" x14ac:dyDescent="0.25">
      <c r="B4" s="453" t="s">
        <v>3</v>
      </c>
      <c r="C4" s="401" t="s">
        <v>84</v>
      </c>
      <c r="D4" s="401" t="s">
        <v>88</v>
      </c>
      <c r="F4" s="453" t="s">
        <v>3</v>
      </c>
      <c r="G4" s="401" t="s">
        <v>84</v>
      </c>
      <c r="H4" s="401" t="s">
        <v>88</v>
      </c>
      <c r="J4" s="453" t="s">
        <v>3</v>
      </c>
      <c r="K4" s="401" t="s">
        <v>85</v>
      </c>
      <c r="L4" s="512"/>
      <c r="M4" s="453" t="s">
        <v>3</v>
      </c>
      <c r="N4" s="401" t="s">
        <v>109</v>
      </c>
      <c r="P4" s="453" t="s">
        <v>3</v>
      </c>
      <c r="Q4" s="401" t="s">
        <v>90</v>
      </c>
    </row>
    <row r="5" spans="2:20" ht="15.75" thickBot="1" x14ac:dyDescent="0.25">
      <c r="B5" s="455"/>
      <c r="C5" s="401"/>
      <c r="D5" s="401"/>
      <c r="F5" s="455"/>
      <c r="G5" s="401"/>
      <c r="H5" s="401"/>
      <c r="J5" s="455"/>
      <c r="K5" s="401"/>
      <c r="L5" s="512"/>
      <c r="M5" s="455"/>
      <c r="N5" s="401"/>
      <c r="P5" s="455"/>
      <c r="Q5" s="401"/>
    </row>
    <row r="6" spans="2:20" ht="16.5" thickBot="1" x14ac:dyDescent="0.25">
      <c r="B6" s="165" t="s">
        <v>120</v>
      </c>
      <c r="C6" s="495">
        <f>IF(G20&gt;H20,$C$21*2*$K$21,IF(G20=H20,$C$21*2*$K$21,0))</f>
        <v>0</v>
      </c>
      <c r="D6" s="495">
        <f>IF(G20&gt;H20,$D$21*2*$L$21,IF(G20=H20,$D$21*2*$L$21,0))</f>
        <v>0</v>
      </c>
      <c r="F6" s="165" t="s">
        <v>120</v>
      </c>
      <c r="G6" s="495">
        <f>IF(H20&gt;G20,$C$21*2*$K$21,0)</f>
        <v>0</v>
      </c>
      <c r="H6" s="495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495">
        <f>C36*2*P25</f>
        <v>0</v>
      </c>
      <c r="P6" s="165" t="s">
        <v>30</v>
      </c>
      <c r="Q6" s="495">
        <f>C42*2*O28</f>
        <v>108</v>
      </c>
    </row>
    <row r="7" spans="2:20" ht="16.5" thickBot="1" x14ac:dyDescent="0.25">
      <c r="B7" s="165" t="s">
        <v>121</v>
      </c>
      <c r="C7" s="496"/>
      <c r="D7" s="496"/>
      <c r="F7" s="165" t="s">
        <v>121</v>
      </c>
      <c r="G7" s="496"/>
      <c r="H7" s="496"/>
      <c r="J7" s="165" t="s">
        <v>23</v>
      </c>
      <c r="K7" s="495">
        <f>C32*2*N23</f>
        <v>0</v>
      </c>
      <c r="M7" s="165" t="s">
        <v>27</v>
      </c>
      <c r="N7" s="496"/>
      <c r="P7" s="165" t="s">
        <v>31</v>
      </c>
      <c r="Q7" s="496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496"/>
      <c r="M8" s="165" t="s">
        <v>112</v>
      </c>
      <c r="N8" s="164"/>
      <c r="P8" s="165" t="s">
        <v>32</v>
      </c>
      <c r="Q8" s="495">
        <f>C44*2*O29</f>
        <v>170</v>
      </c>
    </row>
    <row r="9" spans="2:20" ht="16.5" thickBot="1" x14ac:dyDescent="0.25">
      <c r="B9" s="165" t="s">
        <v>16</v>
      </c>
      <c r="C9" s="495">
        <f>IF(G20&gt;H20,$C$24*2*$K$18,IF(G20=H20,$C$24*2*$K$18,0))</f>
        <v>64</v>
      </c>
      <c r="D9" s="495">
        <f>IF(G20&gt;H20,$D$24*2*$L$18,IF(G20=H20,$D$24*2*$L$18,0))</f>
        <v>0</v>
      </c>
      <c r="F9" s="165" t="s">
        <v>16</v>
      </c>
      <c r="G9" s="495">
        <f>IF(H20&gt;G20,$C$24*2*$K$18,0)</f>
        <v>0</v>
      </c>
      <c r="H9" s="495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495">
        <f>C39*2*P27</f>
        <v>304</v>
      </c>
      <c r="P9" s="165" t="s">
        <v>33</v>
      </c>
      <c r="Q9" s="496"/>
    </row>
    <row r="10" spans="2:20" ht="16.5" thickBot="1" x14ac:dyDescent="0.25">
      <c r="B10" s="165" t="s">
        <v>17</v>
      </c>
      <c r="C10" s="496"/>
      <c r="D10" s="496"/>
      <c r="F10" s="165" t="s">
        <v>17</v>
      </c>
      <c r="G10" s="496"/>
      <c r="H10" s="496"/>
      <c r="M10" s="165" t="s">
        <v>29</v>
      </c>
      <c r="N10" s="496"/>
    </row>
    <row r="11" spans="2:20" ht="16.5" thickBot="1" x14ac:dyDescent="0.25">
      <c r="B11" s="165" t="s">
        <v>18</v>
      </c>
      <c r="C11" s="495">
        <f>IF(G20&gt;H20,$C$26*2*$K$19,IF(G20=H20,$C$26*2*$K$19,0))</f>
        <v>64</v>
      </c>
      <c r="D11" s="495">
        <f>IF(G20&gt;H20,$D$26*2*$L$19,IF(G20=H20,$D$26*2*$L$19,0))</f>
        <v>0</v>
      </c>
      <c r="F11" s="165" t="s">
        <v>18</v>
      </c>
      <c r="G11" s="495">
        <f>IF(H20&gt;G20,$C$26*2*$K$19,0)</f>
        <v>0</v>
      </c>
      <c r="H11" s="495">
        <f>IF(H20&gt;G20,$D$26*2*$L$19,0)</f>
        <v>0</v>
      </c>
    </row>
    <row r="12" spans="2:20" ht="16.5" thickBot="1" x14ac:dyDescent="0.25">
      <c r="B12" s="165" t="s">
        <v>19</v>
      </c>
      <c r="C12" s="496"/>
      <c r="D12" s="496"/>
      <c r="F12" s="165" t="s">
        <v>19</v>
      </c>
      <c r="G12" s="496"/>
      <c r="H12" s="496"/>
      <c r="J12" s="501" t="s">
        <v>154</v>
      </c>
      <c r="K12" s="182">
        <f>K6+K7+K9</f>
        <v>0</v>
      </c>
      <c r="M12" s="501" t="s">
        <v>154</v>
      </c>
      <c r="N12" s="182">
        <f>SUM(N6:N10)</f>
        <v>304</v>
      </c>
      <c r="P12" s="501" t="s">
        <v>154</v>
      </c>
      <c r="Q12" s="182">
        <f>SUM(Q6:Q9)</f>
        <v>278</v>
      </c>
    </row>
    <row r="13" spans="2:20" ht="18" customHeight="1" thickBot="1" x14ac:dyDescent="0.25">
      <c r="B13" s="165" t="s">
        <v>20</v>
      </c>
      <c r="C13" s="495">
        <f>IF(G20&gt;H20,$C$28*2*$K$20,IF(G20=H20,$C$28*2*$K$20,0))</f>
        <v>234</v>
      </c>
      <c r="D13" s="495">
        <f>IF(G20&gt;H20,$D$28*2*$L$20,IF(G20=H20,$D$28*2*$L$20,0))</f>
        <v>0</v>
      </c>
      <c r="F13" s="165" t="s">
        <v>20</v>
      </c>
      <c r="G13" s="495">
        <f>IF(H20&gt;G20,$C$28*2*$K$20,0)</f>
        <v>0</v>
      </c>
      <c r="H13" s="495">
        <f>IF(H20&gt;G20,$D$28*2*$L$20,0)</f>
        <v>0</v>
      </c>
      <c r="J13" s="501"/>
      <c r="K13" s="182"/>
      <c r="M13" s="501"/>
      <c r="N13" s="182"/>
      <c r="P13" s="501"/>
      <c r="Q13" s="182"/>
    </row>
    <row r="14" spans="2:20" ht="16.5" thickBot="1" x14ac:dyDescent="0.25">
      <c r="B14" s="165" t="s">
        <v>21</v>
      </c>
      <c r="C14" s="496"/>
      <c r="D14" s="496"/>
      <c r="F14" s="165" t="s">
        <v>21</v>
      </c>
      <c r="G14" s="496"/>
      <c r="H14" s="496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362</v>
      </c>
      <c r="H16" s="166">
        <f>SUM(G6:H14)</f>
        <v>0</v>
      </c>
      <c r="J16" s="508" t="s">
        <v>130</v>
      </c>
      <c r="K16" s="502" t="s">
        <v>131</v>
      </c>
      <c r="L16" s="502"/>
      <c r="M16" s="502"/>
      <c r="N16" s="502" t="s">
        <v>85</v>
      </c>
      <c r="O16" s="502" t="s">
        <v>132</v>
      </c>
      <c r="P16" s="502" t="s">
        <v>86</v>
      </c>
      <c r="Q16" s="502" t="s">
        <v>119</v>
      </c>
      <c r="R16" s="498" t="s">
        <v>133</v>
      </c>
      <c r="S16" s="498" t="s">
        <v>134</v>
      </c>
      <c r="T16" s="498" t="s">
        <v>135</v>
      </c>
    </row>
    <row r="17" spans="2:20" ht="18" x14ac:dyDescent="0.2">
      <c r="B17" s="181"/>
      <c r="J17" s="509"/>
      <c r="K17" s="169" t="s">
        <v>136</v>
      </c>
      <c r="L17" s="169" t="s">
        <v>137</v>
      </c>
      <c r="M17" s="169" t="s">
        <v>138</v>
      </c>
      <c r="N17" s="503"/>
      <c r="O17" s="503"/>
      <c r="P17" s="503"/>
      <c r="Q17" s="503"/>
      <c r="R17" s="499"/>
      <c r="S17" s="499"/>
      <c r="T17" s="499"/>
    </row>
    <row r="18" spans="2:20" ht="16.5" thickBot="1" x14ac:dyDescent="0.25">
      <c r="B18" s="500" t="s">
        <v>129</v>
      </c>
      <c r="C18" s="500"/>
      <c r="D18" s="500"/>
      <c r="F18" s="500"/>
      <c r="G18" s="500"/>
      <c r="H18" s="500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53" t="s">
        <v>3</v>
      </c>
      <c r="C19" s="459" t="s">
        <v>84</v>
      </c>
      <c r="D19" s="459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55"/>
      <c r="C20" s="459"/>
      <c r="D20" s="459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495">
        <f>ROUNDDOWN(SUM(المستودعات!C5:F5)/51,0.9)</f>
        <v>0</v>
      </c>
      <c r="D21" s="495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496"/>
      <c r="D22" s="496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495">
        <f>ROUNDDOWN(SUM(المستودعات!C9:F10)/51,0.9)</f>
        <v>2</v>
      </c>
      <c r="D24" s="495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496"/>
      <c r="D25" s="496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495">
        <f>ROUNDDOWN(SUM(المستودعات!C11:F12)/51,0.9)</f>
        <v>1</v>
      </c>
      <c r="D26" s="495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496"/>
      <c r="D27" s="496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495">
        <f>ROUNDDOWN(SUM(المستودعات!C13:F14)/51,0.9)</f>
        <v>3</v>
      </c>
      <c r="D28" s="495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496"/>
      <c r="D29" s="496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456" t="s">
        <v>85</v>
      </c>
      <c r="C30" s="457"/>
      <c r="D30" s="458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10">
        <f>ROUNDDOWN(SUM(المستودعات!O5:Q5)/51,0.9)</f>
        <v>0</v>
      </c>
      <c r="D31" s="511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04">
        <f>ROUNDDOWN(SUM(المستودعات!O6:Q7)/51,0.9)</f>
        <v>0</v>
      </c>
      <c r="D32" s="505"/>
    </row>
    <row r="33" spans="2:4" ht="16.5" thickBot="1" x14ac:dyDescent="0.25">
      <c r="B33" s="165" t="s">
        <v>24</v>
      </c>
      <c r="C33" s="506"/>
      <c r="D33" s="507"/>
    </row>
    <row r="34" spans="2:4" ht="16.5" thickBot="1" x14ac:dyDescent="0.25">
      <c r="B34" s="165" t="s">
        <v>26</v>
      </c>
      <c r="C34" s="510">
        <f>ROUNDDOWN(SUM(المستودعات!O8:Q8)/51,0.9)</f>
        <v>0</v>
      </c>
      <c r="D34" s="511"/>
    </row>
    <row r="35" spans="2:4" ht="22.5" customHeight="1" thickBot="1" x14ac:dyDescent="0.25">
      <c r="B35" s="456" t="s">
        <v>128</v>
      </c>
      <c r="C35" s="457"/>
      <c r="D35" s="458"/>
    </row>
    <row r="36" spans="2:4" ht="16.5" thickBot="1" x14ac:dyDescent="0.25">
      <c r="B36" s="165" t="s">
        <v>25</v>
      </c>
      <c r="C36" s="504">
        <f>ROUNDDOWN(SUM(المستودعات!J23:K24)/51,0.9)</f>
        <v>0</v>
      </c>
      <c r="D36" s="505"/>
    </row>
    <row r="37" spans="2:4" ht="16.5" thickBot="1" x14ac:dyDescent="0.25">
      <c r="B37" s="165" t="s">
        <v>27</v>
      </c>
      <c r="C37" s="506"/>
      <c r="D37" s="507"/>
    </row>
    <row r="38" spans="2:4" ht="16.5" thickBot="1" x14ac:dyDescent="0.25">
      <c r="B38" s="96" t="s">
        <v>112</v>
      </c>
      <c r="C38" s="510"/>
      <c r="D38" s="511"/>
    </row>
    <row r="39" spans="2:4" ht="16.5" thickBot="1" x14ac:dyDescent="0.25">
      <c r="B39" s="165" t="s">
        <v>28</v>
      </c>
      <c r="C39" s="504">
        <f>ROUNDDOWN(SUM(المستودعات!C28:I29)/51,0.9)</f>
        <v>1</v>
      </c>
      <c r="D39" s="505"/>
    </row>
    <row r="40" spans="2:4" ht="16.5" thickBot="1" x14ac:dyDescent="0.25">
      <c r="B40" s="165" t="s">
        <v>29</v>
      </c>
      <c r="C40" s="506"/>
      <c r="D40" s="507"/>
    </row>
    <row r="41" spans="2:4" ht="21.75" customHeight="1" thickBot="1" x14ac:dyDescent="0.25">
      <c r="B41" s="456" t="s">
        <v>90</v>
      </c>
      <c r="C41" s="457"/>
      <c r="D41" s="458"/>
    </row>
    <row r="42" spans="2:4" ht="16.5" thickBot="1" x14ac:dyDescent="0.25">
      <c r="B42" s="165" t="s">
        <v>30</v>
      </c>
      <c r="C42" s="504">
        <f>ROUNDDOWN(SUM(المستودعات!Q15:Q16)/51,0.9)</f>
        <v>1</v>
      </c>
      <c r="D42" s="505"/>
    </row>
    <row r="43" spans="2:4" ht="16.5" thickBot="1" x14ac:dyDescent="0.25">
      <c r="B43" s="165" t="s">
        <v>31</v>
      </c>
      <c r="C43" s="506"/>
      <c r="D43" s="507"/>
    </row>
    <row r="44" spans="2:4" ht="16.5" thickBot="1" x14ac:dyDescent="0.25">
      <c r="B44" s="165" t="s">
        <v>32</v>
      </c>
      <c r="C44" s="504">
        <f>ROUNDDOWN(SUM(المستودعات!Q17:Q18)/51,0.9)</f>
        <v>1</v>
      </c>
      <c r="D44" s="505"/>
    </row>
    <row r="45" spans="2:4" ht="16.5" thickBot="1" x14ac:dyDescent="0.25">
      <c r="B45" s="165" t="s">
        <v>33</v>
      </c>
      <c r="C45" s="506"/>
      <c r="D45" s="507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13" t="s">
        <v>103</v>
      </c>
      <c r="D2" s="513"/>
      <c r="E2" s="513"/>
      <c r="F2" s="513"/>
    </row>
    <row r="3" spans="1:15" ht="15" thickBot="1" x14ac:dyDescent="0.25"/>
    <row r="4" spans="1:15" ht="15.75" thickBot="1" x14ac:dyDescent="0.25">
      <c r="A4" s="432" t="s">
        <v>3</v>
      </c>
      <c r="B4" s="382" t="s">
        <v>104</v>
      </c>
      <c r="C4" s="382"/>
      <c r="D4" s="433"/>
      <c r="E4" s="514" t="s">
        <v>84</v>
      </c>
      <c r="F4" s="515"/>
      <c r="G4" s="515"/>
      <c r="H4" s="390"/>
    </row>
    <row r="5" spans="1:15" ht="15.75" thickBot="1" x14ac:dyDescent="0.25">
      <c r="A5" s="432"/>
      <c r="B5" s="389" t="s">
        <v>81</v>
      </c>
      <c r="C5" s="515"/>
      <c r="D5" s="516"/>
      <c r="E5" s="112" t="s">
        <v>81</v>
      </c>
      <c r="F5" s="389" t="s">
        <v>87</v>
      </c>
      <c r="G5" s="515"/>
      <c r="H5" s="390"/>
      <c r="K5" s="453" t="str">
        <f>'خطة الإمداد'!J30</f>
        <v>المحطة</v>
      </c>
      <c r="L5" s="283">
        <f>'خطة الإمداد'!K30</f>
        <v>80</v>
      </c>
      <c r="M5" s="283">
        <f>'خطة الإمداد'!L30</f>
        <v>92</v>
      </c>
      <c r="N5" s="283">
        <f>'خطة الإمداد'!M30</f>
        <v>95</v>
      </c>
      <c r="O5" s="283" t="str">
        <f>'خطة الإمداد'!N30</f>
        <v>سولار</v>
      </c>
    </row>
    <row r="6" spans="1:15" ht="15.75" thickBot="1" x14ac:dyDescent="0.25">
      <c r="A6" s="432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55"/>
      <c r="L6" s="282" t="str">
        <f>'خطة الإمداد'!K31</f>
        <v>مطلوب</v>
      </c>
      <c r="M6" s="282" t="str">
        <f>'خطة الإمداد'!L31</f>
        <v>مطلوب</v>
      </c>
      <c r="N6" s="282" t="str">
        <f>'خطة الإمداد'!M31</f>
        <v>مطلوب</v>
      </c>
      <c r="O6" s="282" t="str">
        <f>'خطة الإمداد'!N31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الإمداد'!J32</f>
        <v>ماستر</v>
      </c>
      <c r="L7" s="41">
        <f>'خطة الإمداد'!K32</f>
        <v>0</v>
      </c>
      <c r="M7" s="41">
        <f>'خطة الإمداد'!L32</f>
        <v>34</v>
      </c>
      <c r="N7" s="41">
        <f>'خطة الإمداد'!M32</f>
        <v>0</v>
      </c>
      <c r="O7" s="41">
        <f>'خطة الإمداد'!N32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الإمداد'!J33</f>
        <v>النخيل</v>
      </c>
      <c r="L8" s="41">
        <f>'خطة الإمداد'!K33</f>
        <v>0</v>
      </c>
      <c r="M8" s="41">
        <f>'خطة الإمداد'!L33</f>
        <v>17</v>
      </c>
      <c r="N8" s="41">
        <f>'خطة الإمداد'!M33</f>
        <v>17</v>
      </c>
      <c r="O8" s="41">
        <f>'خطة الإمداد'!N33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الإمداد'!J34</f>
        <v>السلام</v>
      </c>
      <c r="L9" s="41">
        <f>'خطة الإمداد'!K34</f>
        <v>51</v>
      </c>
      <c r="M9" s="41">
        <f>'خطة الإمداد'!L34</f>
        <v>51</v>
      </c>
      <c r="N9" s="41">
        <f>'خطة الإمداد'!M34</f>
        <v>17</v>
      </c>
      <c r="O9" s="41">
        <f>'خطة الإمداد'!N34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الإمداد'!J35</f>
        <v>شبرا 1</v>
      </c>
      <c r="L10" s="41">
        <f>'خطة الإمداد'!K35</f>
        <v>17</v>
      </c>
      <c r="M10" s="41">
        <f>'خطة الإمداد'!L35</f>
        <v>34</v>
      </c>
      <c r="N10" s="41">
        <f>'خطة الإمداد'!M35</f>
        <v>17</v>
      </c>
      <c r="O10" s="41">
        <f>'خطة الإمداد'!N35</f>
        <v>17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الإمداد'!J36</f>
        <v>شبرا 2</v>
      </c>
      <c r="L11" s="41">
        <f>'خطة الإمداد'!K36</f>
        <v>0</v>
      </c>
      <c r="M11" s="41">
        <f>'خطة الإمداد'!L36</f>
        <v>34</v>
      </c>
      <c r="N11" s="41">
        <f>'خطة الإمداد'!M36</f>
        <v>17</v>
      </c>
      <c r="O11" s="41">
        <f>'خطة الإمداد'!N36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الإمداد'!J37</f>
        <v>شبرا 3</v>
      </c>
      <c r="L12" s="41">
        <f>'خطة الإمداد'!K37</f>
        <v>0</v>
      </c>
      <c r="M12" s="41">
        <f>'خطة الإمداد'!L37</f>
        <v>51</v>
      </c>
      <c r="N12" s="41">
        <f>'خطة الإمداد'!M37</f>
        <v>0</v>
      </c>
      <c r="O12" s="41">
        <f>'خطة الإمداد'!N37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الإمداد'!J38</f>
        <v>شبرا 4</v>
      </c>
      <c r="L13" s="41">
        <f>'خطة الإمداد'!K38</f>
        <v>17</v>
      </c>
      <c r="M13" s="41">
        <f>'خطة الإمداد'!L38</f>
        <v>34</v>
      </c>
      <c r="N13" s="41">
        <f>'خطة الإمداد'!M38</f>
        <v>0</v>
      </c>
      <c r="O13" s="41">
        <f>'خطة الإمداد'!N38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الإمداد'!J39</f>
        <v>شل 1</v>
      </c>
      <c r="L14" s="41">
        <f>'خطة الإمداد'!K39</f>
        <v>0</v>
      </c>
      <c r="M14" s="41">
        <f>'خطة الإمداد'!L39</f>
        <v>85</v>
      </c>
      <c r="N14" s="41">
        <f>'خطة الإمداد'!M39</f>
        <v>34</v>
      </c>
      <c r="O14" s="41">
        <f>'خطة الإمداد'!N39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1596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1064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3422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2245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13" t="s">
        <v>105</v>
      </c>
      <c r="D2" s="513"/>
      <c r="E2" s="513"/>
      <c r="F2" s="513"/>
    </row>
    <row r="3" spans="1:15" ht="15" thickBot="1" x14ac:dyDescent="0.25"/>
    <row r="4" spans="1:15" ht="15.75" thickBot="1" x14ac:dyDescent="0.25">
      <c r="A4" s="432" t="s">
        <v>3</v>
      </c>
      <c r="B4" s="389" t="s">
        <v>85</v>
      </c>
      <c r="C4" s="515"/>
      <c r="D4" s="515"/>
      <c r="E4" s="515"/>
      <c r="F4" s="515"/>
      <c r="G4" s="515"/>
      <c r="H4" s="390"/>
      <c r="I4" s="278" t="s">
        <v>119</v>
      </c>
    </row>
    <row r="5" spans="1:15" ht="15.75" thickBot="1" x14ac:dyDescent="0.25">
      <c r="A5" s="432"/>
      <c r="B5" s="120" t="s">
        <v>81</v>
      </c>
      <c r="C5" s="517" t="s">
        <v>87</v>
      </c>
      <c r="D5" s="492"/>
      <c r="E5" s="518"/>
      <c r="F5" s="492" t="s">
        <v>83</v>
      </c>
      <c r="G5" s="492"/>
      <c r="H5" s="493"/>
      <c r="I5" s="279" t="s">
        <v>83</v>
      </c>
      <c r="K5" s="453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2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55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51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الإمداد'!K40</f>
        <v>0</v>
      </c>
      <c r="M7" s="41">
        <f>'خطة الإمداد'!L40</f>
        <v>85</v>
      </c>
      <c r="N7" s="41">
        <f>'خطة الإمداد'!M40</f>
        <v>17</v>
      </c>
      <c r="O7" s="41">
        <f>'خطة الإمداد'!N40</f>
        <v>51</v>
      </c>
    </row>
    <row r="8" spans="1:15" ht="16.5" thickBot="1" x14ac:dyDescent="0.3">
      <c r="A8" s="110" t="s">
        <v>23</v>
      </c>
      <c r="B8" s="37">
        <f t="shared" ref="B8:B10" si="0">IF(O8&gt;50,O8,0)</f>
        <v>102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الإمداد'!K41</f>
        <v>0</v>
      </c>
      <c r="M8" s="41">
        <f>'خطة الإمداد'!L41</f>
        <v>17</v>
      </c>
      <c r="N8" s="41">
        <f>'خطة الإمداد'!M41</f>
        <v>0</v>
      </c>
      <c r="O8" s="41">
        <f>'خطة الإمداد'!N41</f>
        <v>102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الإمداد'!K42</f>
        <v>0</v>
      </c>
      <c r="M9" s="41">
        <f>'خطة الإمداد'!L42</f>
        <v>17</v>
      </c>
      <c r="N9" s="41">
        <f>'خطة الإمداد'!M42</f>
        <v>17</v>
      </c>
      <c r="O9" s="41">
        <f>'خطة الإمداد'!N42</f>
        <v>34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الإمداد'!K43</f>
        <v>0</v>
      </c>
      <c r="M10" s="41">
        <f>'خطة الإمداد'!L43</f>
        <v>17</v>
      </c>
      <c r="N10" s="41">
        <f>'خطة الإمداد'!M43</f>
        <v>0</v>
      </c>
      <c r="O10" s="41">
        <f>'خطة الإمداد'!N43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22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23"/>
      <c r="C16" s="52" t="s">
        <v>93</v>
      </c>
      <c r="D16" s="53">
        <f>[1]التعاون.ملخص!$D$6</f>
        <v>0</v>
      </c>
    </row>
    <row r="17" spans="2:4" ht="16.5" thickBot="1" x14ac:dyDescent="0.25">
      <c r="B17" s="523"/>
      <c r="C17" s="59" t="s">
        <v>87</v>
      </c>
      <c r="D17" s="60" t="e">
        <f>[1]موبيل.ملخص!$D$5</f>
        <v>#REF!</v>
      </c>
    </row>
    <row r="18" spans="2:4" ht="16.5" thickBot="1" x14ac:dyDescent="0.25">
      <c r="B18" s="520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19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20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19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21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K5:K6"/>
    <mergeCell ref="B19:B20"/>
    <mergeCell ref="B21:B22"/>
    <mergeCell ref="B15:B18"/>
    <mergeCell ref="A4:A6"/>
    <mergeCell ref="B4:H4"/>
    <mergeCell ref="C5:E5"/>
    <mergeCell ref="F5:H5"/>
    <mergeCell ref="C2:F2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51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102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13" t="s">
        <v>106</v>
      </c>
      <c r="D2" s="513"/>
      <c r="E2" s="513"/>
      <c r="F2" s="513"/>
    </row>
    <row r="3" spans="1:15" ht="15" thickBot="1" x14ac:dyDescent="0.25"/>
    <row r="4" spans="1:15" ht="15.75" thickBot="1" x14ac:dyDescent="0.25">
      <c r="A4" s="432" t="s">
        <v>3</v>
      </c>
      <c r="B4" s="389" t="s">
        <v>91</v>
      </c>
      <c r="C4" s="515"/>
      <c r="D4" s="515"/>
      <c r="E4" s="515"/>
      <c r="F4" s="515"/>
      <c r="G4" s="515"/>
      <c r="H4" s="515"/>
      <c r="I4" s="390"/>
    </row>
    <row r="5" spans="1:15" ht="15.75" thickBot="1" x14ac:dyDescent="0.25">
      <c r="A5" s="432"/>
      <c r="B5" s="494" t="s">
        <v>81</v>
      </c>
      <c r="C5" s="494"/>
      <c r="D5" s="510"/>
      <c r="E5" s="527" t="s">
        <v>83</v>
      </c>
      <c r="F5" s="528"/>
      <c r="G5" s="511" t="s">
        <v>87</v>
      </c>
      <c r="H5" s="494"/>
      <c r="I5" s="494"/>
      <c r="K5" s="453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2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55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الإمداد'!K44</f>
        <v>0</v>
      </c>
      <c r="M7" s="41">
        <f>'خطة الإمداد'!L44</f>
        <v>17</v>
      </c>
      <c r="N7" s="41">
        <f>'خطة الإمداد'!M44</f>
        <v>0</v>
      </c>
      <c r="O7" s="41">
        <f>'خطة الإمداد'!N44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0</v>
      </c>
      <c r="I8" s="80"/>
      <c r="K8" s="110" t="s">
        <v>27</v>
      </c>
      <c r="L8" s="41">
        <f>'خطة الإمداد'!K45</f>
        <v>0</v>
      </c>
      <c r="M8" s="41">
        <f>'خطة الإمداد'!L45</f>
        <v>34</v>
      </c>
      <c r="N8" s="41">
        <f>'خطة الإمداد'!M45</f>
        <v>0</v>
      </c>
      <c r="O8" s="41">
        <f>'خطة الإمداد'!N45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الإمداد'!K46</f>
        <v>0</v>
      </c>
      <c r="M9" s="41">
        <f>'خطة الإمداد'!L46</f>
        <v>34</v>
      </c>
      <c r="N9" s="41">
        <f>'خطة الإمداد'!M46</f>
        <v>17</v>
      </c>
      <c r="O9" s="41">
        <f>'خطة الإمداد'!N46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الإمداد'!K47</f>
        <v>0</v>
      </c>
      <c r="M10" s="41">
        <f>'خطة الإمداد'!L47</f>
        <v>0</v>
      </c>
      <c r="N10" s="41">
        <f>'خطة الإمداد'!M47</f>
        <v>0</v>
      </c>
      <c r="O10" s="41">
        <f>'خطة الإمداد'!N47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24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25"/>
      <c r="C15" s="52" t="s">
        <v>93</v>
      </c>
      <c r="D15" s="57">
        <f>[1]التعاون.ملخص!$D$7</f>
        <v>166</v>
      </c>
    </row>
    <row r="16" spans="1:15" ht="16.5" thickBot="1" x14ac:dyDescent="0.3">
      <c r="B16" s="526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100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24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25"/>
      <c r="C20" s="70" t="s">
        <v>93</v>
      </c>
      <c r="D20" s="71">
        <f>[1]التعاون.ملخص!$D$9</f>
        <v>232</v>
      </c>
    </row>
    <row r="21" spans="2:4" ht="16.5" thickBot="1" x14ac:dyDescent="0.3">
      <c r="B21" s="526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0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13" t="s">
        <v>108</v>
      </c>
      <c r="C2" s="513"/>
      <c r="D2" s="513"/>
      <c r="E2" s="513"/>
    </row>
    <row r="3" spans="1:13" ht="15" thickBot="1" x14ac:dyDescent="0.25"/>
    <row r="4" spans="1:13" ht="15.75" thickBot="1" x14ac:dyDescent="0.25">
      <c r="A4" s="453" t="s">
        <v>3</v>
      </c>
      <c r="B4" s="389" t="s">
        <v>90</v>
      </c>
      <c r="C4" s="515"/>
      <c r="D4" s="515"/>
      <c r="E4" s="515"/>
      <c r="F4" s="390"/>
    </row>
    <row r="5" spans="1:13" ht="15.75" thickBot="1" x14ac:dyDescent="0.25">
      <c r="A5" s="454"/>
      <c r="B5" s="389" t="s">
        <v>83</v>
      </c>
      <c r="C5" s="515"/>
      <c r="D5" s="514" t="s">
        <v>81</v>
      </c>
      <c r="E5" s="516"/>
      <c r="F5" s="109" t="s">
        <v>107</v>
      </c>
      <c r="I5" s="453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55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55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الإمداد'!K48</f>
        <v>0</v>
      </c>
      <c r="K7" s="41">
        <f>'خطة الإمداد'!L48</f>
        <v>17</v>
      </c>
      <c r="L7" s="41">
        <f>'خطة الإمداد'!M48</f>
        <v>0</v>
      </c>
      <c r="M7" s="41">
        <f>'خطة الإمداد'!N48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الإمداد'!K49</f>
        <v>0</v>
      </c>
      <c r="K8" s="41">
        <f>'خطة الإمداد'!L49</f>
        <v>17</v>
      </c>
      <c r="L8" s="41">
        <f>'خطة الإمداد'!M49</f>
        <v>0</v>
      </c>
      <c r="M8" s="41">
        <f>'خطة الإمداد'!N49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الإمداد'!K50</f>
        <v>0</v>
      </c>
      <c r="K9" s="41">
        <f>'خطة الإمداد'!L50</f>
        <v>34</v>
      </c>
      <c r="L9" s="41">
        <f>'خطة الإمداد'!M50</f>
        <v>0</v>
      </c>
      <c r="M9" s="41">
        <f>'خطة الإمداد'!N50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الإمداد'!K51</f>
        <v>0</v>
      </c>
      <c r="K10" s="41">
        <f>'خطة الإمداد'!L51</f>
        <v>17</v>
      </c>
      <c r="L10" s="41">
        <f>'خطة الإمداد'!M51</f>
        <v>0</v>
      </c>
      <c r="M10" s="41">
        <f>'خطة الإمداد'!N51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22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21"/>
      <c r="C16" s="52" t="s">
        <v>93</v>
      </c>
      <c r="D16" s="53">
        <f>[1]التعاون.ملخص!$D$10</f>
        <v>0</v>
      </c>
    </row>
    <row r="17" spans="2:4" ht="16.5" thickBot="1" x14ac:dyDescent="0.25">
      <c r="B17" s="522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21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394" t="s">
        <v>0</v>
      </c>
      <c r="B1" s="394"/>
      <c r="C1" s="394"/>
      <c r="D1" s="394"/>
      <c r="E1" s="394"/>
      <c r="Q1" s="392"/>
      <c r="R1" s="392"/>
    </row>
    <row r="2" spans="1:18" ht="15.75" x14ac:dyDescent="0.25">
      <c r="A2" s="394" t="s">
        <v>1</v>
      </c>
      <c r="B2" s="394"/>
      <c r="C2" s="394"/>
      <c r="D2" s="394"/>
      <c r="E2" s="394"/>
    </row>
    <row r="3" spans="1:18" ht="15.75" x14ac:dyDescent="0.25">
      <c r="A3" s="394" t="s">
        <v>2</v>
      </c>
      <c r="B3" s="394"/>
      <c r="C3" s="394"/>
      <c r="D3" s="394"/>
      <c r="E3" s="394"/>
    </row>
    <row r="4" spans="1:18" ht="48.75" customHeight="1" thickBot="1" x14ac:dyDescent="0.3">
      <c r="F4" s="391" t="s">
        <v>194</v>
      </c>
      <c r="G4" s="391"/>
      <c r="H4" s="391"/>
      <c r="I4" s="391"/>
      <c r="J4" s="391"/>
      <c r="K4" s="391"/>
      <c r="L4" s="391"/>
      <c r="M4" s="391"/>
      <c r="P4" s="391" t="s">
        <v>51</v>
      </c>
      <c r="Q4" s="391"/>
      <c r="R4" s="30"/>
    </row>
    <row r="5" spans="1:18" ht="20.100000000000001" customHeight="1" thickBot="1" x14ac:dyDescent="0.25">
      <c r="A5" s="401" t="s">
        <v>14</v>
      </c>
      <c r="B5" s="401" t="s">
        <v>3</v>
      </c>
      <c r="C5" s="382" t="s">
        <v>5</v>
      </c>
      <c r="D5" s="382"/>
      <c r="E5" s="382"/>
      <c r="F5" s="382" t="s">
        <v>11</v>
      </c>
      <c r="G5" s="382"/>
      <c r="H5" s="382"/>
      <c r="I5" s="382" t="s">
        <v>12</v>
      </c>
      <c r="J5" s="382"/>
      <c r="K5" s="382"/>
      <c r="L5" s="382" t="s">
        <v>50</v>
      </c>
      <c r="M5" s="382"/>
      <c r="N5" s="382"/>
      <c r="O5" s="389" t="s">
        <v>45</v>
      </c>
      <c r="P5" s="390"/>
      <c r="Q5" s="398" t="s">
        <v>49</v>
      </c>
    </row>
    <row r="6" spans="1:18" ht="20.100000000000001" customHeight="1" thickBot="1" x14ac:dyDescent="0.25">
      <c r="A6" s="401"/>
      <c r="B6" s="401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399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24721</v>
      </c>
      <c r="G7" s="2">
        <f>F7*6.75</f>
        <v>166866.75</v>
      </c>
      <c r="H7" s="2">
        <f>F7*0.33</f>
        <v>8157.93</v>
      </c>
      <c r="I7" s="2">
        <f>'أخذ التمام الصباحي'!K5</f>
        <v>8083</v>
      </c>
      <c r="J7" s="2">
        <f>I7*7.75</f>
        <v>62643.25</v>
      </c>
      <c r="K7" s="2">
        <f>I7*0.45</f>
        <v>3637.35</v>
      </c>
      <c r="L7" s="6"/>
      <c r="M7" s="6"/>
      <c r="N7" s="6"/>
      <c r="O7" s="7">
        <f>SUM(D7,G7,J7,M7)/100</f>
        <v>2295.1</v>
      </c>
      <c r="P7" s="10">
        <f>'أخذ التمام الصباحي'!Q5</f>
        <v>2120</v>
      </c>
      <c r="Q7" s="7">
        <f t="shared" ref="Q7:Q27" si="0">P7-O7</f>
        <v>-175.09999999999991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29980</v>
      </c>
      <c r="G8" s="287">
        <f>F8*6.75</f>
        <v>202365</v>
      </c>
      <c r="H8" s="287">
        <f>F8*0.33</f>
        <v>9893.4</v>
      </c>
      <c r="I8" s="287">
        <f>'أخذ التمام الصباحي'!K6</f>
        <v>9324</v>
      </c>
      <c r="J8" s="287">
        <f>I8*7.75</f>
        <v>72261</v>
      </c>
      <c r="K8" s="287">
        <f>I8*0.45</f>
        <v>4195.8</v>
      </c>
      <c r="L8" s="6"/>
      <c r="M8" s="6"/>
      <c r="N8" s="6"/>
      <c r="O8" s="7">
        <f>SUM(D8,G8,J8,M8)/100</f>
        <v>2746.26</v>
      </c>
      <c r="P8" s="10">
        <f>'أخذ التمام الصباحي'!Q6</f>
        <v>2490</v>
      </c>
      <c r="Q8" s="7">
        <f t="shared" si="0"/>
        <v>-256.26000000000022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39560</v>
      </c>
      <c r="D9" s="5">
        <f t="shared" ref="D9" si="1">C9*5.5</f>
        <v>217580</v>
      </c>
      <c r="E9" s="5">
        <f>C9*0.25</f>
        <v>9890</v>
      </c>
      <c r="F9" s="292">
        <f>'أخذ التمام الصباحي'!H7</f>
        <v>21055</v>
      </c>
      <c r="G9" s="292">
        <f t="shared" ref="G9:G27" si="2">F9*6.75</f>
        <v>142121.25</v>
      </c>
      <c r="H9" s="292">
        <f t="shared" ref="H9:H27" si="3">F9*0.33</f>
        <v>6948.1500000000005</v>
      </c>
      <c r="I9" s="292">
        <f>'أخذ التمام الصباحي'!K7</f>
        <v>3777</v>
      </c>
      <c r="J9" s="292">
        <f t="shared" ref="J9:J27" si="4">I9*7.75</f>
        <v>29271.75</v>
      </c>
      <c r="K9" s="292">
        <f t="shared" ref="K9:K27" si="5">I9*0.45</f>
        <v>1699.65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3889.73</v>
      </c>
      <c r="P9" s="10">
        <f>'أخذ التمام الصباحي'!Q7</f>
        <v>3610</v>
      </c>
      <c r="Q9" s="7">
        <f t="shared" si="0"/>
        <v>-279.73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3803</v>
      </c>
      <c r="D10" s="5">
        <f t="shared" ref="D10:D22" si="7">C10*5.5</f>
        <v>20916.5</v>
      </c>
      <c r="E10" s="5">
        <f>C10*0.25</f>
        <v>950.75</v>
      </c>
      <c r="F10" s="292">
        <f>'أخذ التمام الصباحي'!H8</f>
        <v>23083</v>
      </c>
      <c r="G10" s="292">
        <f t="shared" si="2"/>
        <v>155810.25</v>
      </c>
      <c r="H10" s="292">
        <f t="shared" si="3"/>
        <v>7617.39</v>
      </c>
      <c r="I10" s="292">
        <f>'أخذ التمام الصباحي'!K8</f>
        <v>8268</v>
      </c>
      <c r="J10" s="292">
        <f t="shared" si="4"/>
        <v>64077</v>
      </c>
      <c r="K10" s="292">
        <f t="shared" si="5"/>
        <v>3720.6</v>
      </c>
      <c r="L10" s="2">
        <f>'أخذ التمام الصباحي'!N8</f>
        <v>4820</v>
      </c>
      <c r="M10" s="2">
        <f t="shared" ref="M10:M27" si="8">L10*5.5</f>
        <v>26510</v>
      </c>
      <c r="N10" s="2">
        <f>L10*0.26</f>
        <v>1253.2</v>
      </c>
      <c r="O10" s="7">
        <f t="shared" ref="O10:O27" si="9">SUM(D10,G10,J10,M10)/100</f>
        <v>2673.1374999999998</v>
      </c>
      <c r="P10" s="10">
        <f>'أخذ التمام الصباحي'!Q8</f>
        <v>2150</v>
      </c>
      <c r="Q10" s="7">
        <f t="shared" si="0"/>
        <v>-523.13749999999982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36386</v>
      </c>
      <c r="G11" s="292">
        <f t="shared" si="2"/>
        <v>245605.5</v>
      </c>
      <c r="H11" s="292">
        <f t="shared" si="3"/>
        <v>12007.380000000001</v>
      </c>
      <c r="I11" s="292">
        <f>'أخذ التمام الصباحي'!K9</f>
        <v>11500</v>
      </c>
      <c r="J11" s="292">
        <f t="shared" si="4"/>
        <v>89125</v>
      </c>
      <c r="K11" s="292">
        <f t="shared" si="5"/>
        <v>5175</v>
      </c>
      <c r="L11" s="6"/>
      <c r="M11" s="6"/>
      <c r="N11" s="6"/>
      <c r="O11" s="7">
        <f t="shared" si="9"/>
        <v>3347.3049999999998</v>
      </c>
      <c r="P11" s="10">
        <f>'أخذ التمام الصباحي'!Q9</f>
        <v>3280</v>
      </c>
      <c r="Q11" s="7">
        <f t="shared" si="0"/>
        <v>-67.304999999999836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3205</v>
      </c>
      <c r="D12" s="5">
        <f t="shared" si="7"/>
        <v>17627.5</v>
      </c>
      <c r="E12" s="5">
        <f t="shared" si="10"/>
        <v>801.25</v>
      </c>
      <c r="F12" s="292">
        <f>'أخذ التمام الصباحي'!H10</f>
        <v>23719</v>
      </c>
      <c r="G12" s="292">
        <f t="shared" si="2"/>
        <v>160103.25</v>
      </c>
      <c r="H12" s="292">
        <f t="shared" si="3"/>
        <v>7827.27</v>
      </c>
      <c r="I12" s="6"/>
      <c r="J12" s="6"/>
      <c r="K12" s="6"/>
      <c r="L12" s="20">
        <f>'أخذ التمام الصباحي'!N10</f>
        <v>6851</v>
      </c>
      <c r="M12" s="2">
        <f t="shared" si="8"/>
        <v>37680.5</v>
      </c>
      <c r="N12" s="2">
        <f>L12*0.26</f>
        <v>1781.26</v>
      </c>
      <c r="O12" s="7">
        <f t="shared" si="9"/>
        <v>2154.1125000000002</v>
      </c>
      <c r="P12" s="10">
        <f>'أخذ التمام الصباحي'!Q10</f>
        <v>2317</v>
      </c>
      <c r="Q12" s="7">
        <f t="shared" si="0"/>
        <v>162.88749999999982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6456</v>
      </c>
      <c r="D13" s="5">
        <f t="shared" si="7"/>
        <v>35508</v>
      </c>
      <c r="E13" s="5">
        <f t="shared" si="10"/>
        <v>1614</v>
      </c>
      <c r="F13" s="292">
        <f>'أخذ التمام الصباحي'!H11</f>
        <v>15556</v>
      </c>
      <c r="G13" s="292">
        <f t="shared" si="2"/>
        <v>105003</v>
      </c>
      <c r="H13" s="292">
        <f t="shared" si="3"/>
        <v>5133.4800000000005</v>
      </c>
      <c r="I13" s="6"/>
      <c r="J13" s="6"/>
      <c r="K13" s="6"/>
      <c r="L13" s="20">
        <f>'أخذ التمام الصباحي'!N11</f>
        <v>17032</v>
      </c>
      <c r="M13" s="2">
        <f t="shared" si="8"/>
        <v>93676</v>
      </c>
      <c r="N13" s="2">
        <f>L13*0.26</f>
        <v>4428.32</v>
      </c>
      <c r="O13" s="7">
        <f t="shared" si="9"/>
        <v>2341.87</v>
      </c>
      <c r="P13" s="10">
        <f>'أخذ التمام الصباحي'!Q11</f>
        <v>2540</v>
      </c>
      <c r="Q13" s="7">
        <f t="shared" si="0"/>
        <v>198.13000000000011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46415</v>
      </c>
      <c r="G14" s="292">
        <f t="shared" si="2"/>
        <v>313301.25</v>
      </c>
      <c r="H14" s="292">
        <f t="shared" si="3"/>
        <v>15316.95</v>
      </c>
      <c r="I14" s="292">
        <f>'أخذ التمام الصباحي'!K12</f>
        <v>11577</v>
      </c>
      <c r="J14" s="292">
        <f t="shared" si="4"/>
        <v>89721.75</v>
      </c>
      <c r="K14" s="292">
        <f t="shared" si="5"/>
        <v>5209.6500000000005</v>
      </c>
      <c r="L14" s="6"/>
      <c r="M14" s="6"/>
      <c r="N14" s="6"/>
      <c r="O14" s="7">
        <f t="shared" si="9"/>
        <v>4030.23</v>
      </c>
      <c r="P14" s="10">
        <f>'أخذ التمام الصباحي'!Q12</f>
        <v>3590</v>
      </c>
      <c r="Q14" s="7">
        <f t="shared" si="0"/>
        <v>-440.23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40600</v>
      </c>
      <c r="G15" s="292">
        <f t="shared" si="2"/>
        <v>274050</v>
      </c>
      <c r="H15" s="292">
        <f t="shared" si="3"/>
        <v>13398</v>
      </c>
      <c r="I15" s="292">
        <f>'أخذ التمام الصباحي'!K13</f>
        <v>11200</v>
      </c>
      <c r="J15" s="292">
        <f t="shared" si="4"/>
        <v>86800</v>
      </c>
      <c r="K15" s="292">
        <f t="shared" si="5"/>
        <v>5040</v>
      </c>
      <c r="L15" s="20">
        <f>'أخذ التمام الصباحي'!N13</f>
        <v>34200</v>
      </c>
      <c r="M15" s="2">
        <f t="shared" si="8"/>
        <v>188100</v>
      </c>
      <c r="N15" s="2">
        <f>L15*0.26</f>
        <v>8892</v>
      </c>
      <c r="O15" s="7">
        <f t="shared" si="9"/>
        <v>5489.5</v>
      </c>
      <c r="P15" s="10">
        <f>'أخذ التمام الصباحي'!Q13</f>
        <v>0</v>
      </c>
      <c r="Q15" s="7">
        <f t="shared" si="0"/>
        <v>-5489.5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7463</v>
      </c>
      <c r="G16" s="292">
        <f t="shared" si="2"/>
        <v>50375.25</v>
      </c>
      <c r="H16" s="292">
        <f t="shared" si="3"/>
        <v>2462.79</v>
      </c>
      <c r="I16" s="292">
        <f>'أخذ التمام الصباحي'!K14</f>
        <v>2715</v>
      </c>
      <c r="J16" s="292">
        <f t="shared" si="4"/>
        <v>21041.25</v>
      </c>
      <c r="K16" s="292">
        <f t="shared" si="5"/>
        <v>1221.75</v>
      </c>
      <c r="L16" s="20">
        <f>'أخذ التمام الصباحي'!N14</f>
        <v>56123</v>
      </c>
      <c r="M16" s="2">
        <f t="shared" si="8"/>
        <v>308676.5</v>
      </c>
      <c r="N16" s="139">
        <f>L16*0.26</f>
        <v>14591.980000000001</v>
      </c>
      <c r="O16" s="7">
        <f t="shared" si="9"/>
        <v>3800.93</v>
      </c>
      <c r="P16" s="10">
        <f>'أخذ التمام الصباحي'!Q14</f>
        <v>7010</v>
      </c>
      <c r="Q16" s="7">
        <f t="shared" si="0"/>
        <v>3209.07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9240</v>
      </c>
      <c r="G17" s="292">
        <f t="shared" si="2"/>
        <v>62370</v>
      </c>
      <c r="H17" s="292">
        <f t="shared" si="3"/>
        <v>3049.2000000000003</v>
      </c>
      <c r="I17" s="292">
        <f>'أخذ التمام الصباحي'!K15</f>
        <v>2793</v>
      </c>
      <c r="J17" s="292">
        <f t="shared" si="4"/>
        <v>21645.75</v>
      </c>
      <c r="K17" s="292">
        <f t="shared" si="5"/>
        <v>1256.8500000000001</v>
      </c>
      <c r="L17" s="20">
        <f>'أخذ التمام الصباحي'!N15</f>
        <v>5031</v>
      </c>
      <c r="M17" s="2">
        <f t="shared" si="8"/>
        <v>27670.5</v>
      </c>
      <c r="N17" s="139">
        <f>L17*0.26</f>
        <v>1308.06</v>
      </c>
      <c r="O17" s="7">
        <f t="shared" si="9"/>
        <v>1116.8625</v>
      </c>
      <c r="P17" s="10">
        <f>'أخذ التمام الصباحي'!Q15</f>
        <v>1405</v>
      </c>
      <c r="Q17" s="7">
        <f t="shared" si="0"/>
        <v>288.13750000000005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3958</v>
      </c>
      <c r="G18" s="292">
        <f t="shared" si="2"/>
        <v>26716.5</v>
      </c>
      <c r="H18" s="292">
        <f t="shared" si="3"/>
        <v>1306.1400000000001</v>
      </c>
      <c r="I18" s="292">
        <f>'أخذ التمام الصباحي'!K16</f>
        <v>1369</v>
      </c>
      <c r="J18" s="292">
        <f t="shared" si="4"/>
        <v>10609.75</v>
      </c>
      <c r="K18" s="292">
        <f t="shared" si="5"/>
        <v>616.05000000000007</v>
      </c>
      <c r="L18" s="6"/>
      <c r="M18" s="6"/>
      <c r="N18" s="6"/>
      <c r="O18" s="7">
        <f t="shared" si="9"/>
        <v>373.26249999999999</v>
      </c>
      <c r="P18" s="10">
        <f>'أخذ التمام الصباحي'!Q16</f>
        <v>392</v>
      </c>
      <c r="Q18" s="7">
        <f t="shared" si="0"/>
        <v>18.737500000000011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4164</v>
      </c>
      <c r="G19" s="292">
        <f t="shared" si="2"/>
        <v>28107</v>
      </c>
      <c r="H19" s="292">
        <f t="shared" si="3"/>
        <v>1374.1200000000001</v>
      </c>
      <c r="I19" s="292">
        <f>'أخذ التمام الصباحي'!K17</f>
        <v>674</v>
      </c>
      <c r="J19" s="292">
        <f t="shared" si="4"/>
        <v>5223.5</v>
      </c>
      <c r="K19" s="292">
        <f t="shared" si="5"/>
        <v>303.3</v>
      </c>
      <c r="L19" s="20">
        <f>'أخذ التمام الصباحي'!N17</f>
        <v>7673</v>
      </c>
      <c r="M19" s="2">
        <f t="shared" si="8"/>
        <v>42201.5</v>
      </c>
      <c r="N19" s="2">
        <f>L19*0.26</f>
        <v>1994.98</v>
      </c>
      <c r="O19" s="7">
        <f t="shared" si="9"/>
        <v>755.32</v>
      </c>
      <c r="P19" s="10">
        <f>'أخذ التمام الصباحي'!Q17</f>
        <v>1410</v>
      </c>
      <c r="Q19" s="7">
        <f t="shared" si="0"/>
        <v>654.67999999999995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19306</v>
      </c>
      <c r="G20" s="292">
        <f t="shared" si="2"/>
        <v>130315.5</v>
      </c>
      <c r="H20" s="292">
        <f t="shared" si="3"/>
        <v>6370.9800000000005</v>
      </c>
      <c r="I20" s="292">
        <f>'أخذ التمام الصباحي'!K18</f>
        <v>4846</v>
      </c>
      <c r="J20" s="292">
        <f t="shared" si="4"/>
        <v>37556.5</v>
      </c>
      <c r="K20" s="292">
        <f t="shared" si="5"/>
        <v>2180.7000000000003</v>
      </c>
      <c r="L20" s="20">
        <f>'أخذ التمام الصباحي'!N18</f>
        <v>27488</v>
      </c>
      <c r="M20" s="2">
        <f t="shared" si="8"/>
        <v>151184</v>
      </c>
      <c r="N20" s="139">
        <f>L20*0.26</f>
        <v>7146.88</v>
      </c>
      <c r="O20" s="7">
        <f t="shared" si="9"/>
        <v>3190.56</v>
      </c>
      <c r="P20" s="10">
        <f>'أخذ التمام الصباحي'!Q18</f>
        <v>4250</v>
      </c>
      <c r="Q20" s="7">
        <f t="shared" si="0"/>
        <v>1059.44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9219</v>
      </c>
      <c r="G21" s="292">
        <f t="shared" si="2"/>
        <v>62228.25</v>
      </c>
      <c r="H21" s="292">
        <f t="shared" si="3"/>
        <v>3042.27</v>
      </c>
      <c r="I21" s="292">
        <f>'أخذ التمام الصباحي'!K19</f>
        <v>1962</v>
      </c>
      <c r="J21" s="292">
        <f t="shared" si="4"/>
        <v>15205.5</v>
      </c>
      <c r="K21" s="292">
        <f t="shared" si="5"/>
        <v>882.9</v>
      </c>
      <c r="L21" s="6"/>
      <c r="M21" s="6"/>
      <c r="N21" s="6"/>
      <c r="O21" s="7">
        <f t="shared" si="9"/>
        <v>774.33749999999998</v>
      </c>
      <c r="P21" s="10">
        <f>'أخذ التمام الصباحي'!Q19</f>
        <v>970</v>
      </c>
      <c r="Q21" s="7">
        <f t="shared" si="0"/>
        <v>195.66250000000002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225</v>
      </c>
      <c r="D22" s="5">
        <f t="shared" si="7"/>
        <v>1237.5</v>
      </c>
      <c r="E22" s="5">
        <f>C22*0.25</f>
        <v>56.25</v>
      </c>
      <c r="F22" s="292">
        <f>'أخذ التمام الصباحي'!H20</f>
        <v>1485</v>
      </c>
      <c r="G22" s="292">
        <f t="shared" si="2"/>
        <v>10023.75</v>
      </c>
      <c r="H22" s="292">
        <f t="shared" si="3"/>
        <v>490.05</v>
      </c>
      <c r="I22" s="6"/>
      <c r="J22" s="6"/>
      <c r="K22" s="6"/>
      <c r="L22" s="20">
        <f>'أخذ التمام الصباحي'!N20</f>
        <v>8295</v>
      </c>
      <c r="M22" s="2">
        <f t="shared" si="8"/>
        <v>45622.5</v>
      </c>
      <c r="N22" s="2">
        <f t="shared" ref="N22:N27" si="11">L22*0.26</f>
        <v>2156.7000000000003</v>
      </c>
      <c r="O22" s="7">
        <f t="shared" si="9"/>
        <v>568.83749999999998</v>
      </c>
      <c r="P22" s="10">
        <f>'أخذ التمام الصباحي'!Q20</f>
        <v>780</v>
      </c>
      <c r="Q22" s="7">
        <f t="shared" si="0"/>
        <v>211.16250000000002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2920</v>
      </c>
      <c r="G23" s="292">
        <f t="shared" si="2"/>
        <v>19710</v>
      </c>
      <c r="H23" s="292">
        <f t="shared" si="3"/>
        <v>963.6</v>
      </c>
      <c r="I23" s="6"/>
      <c r="J23" s="6"/>
      <c r="K23" s="6"/>
      <c r="L23" s="20">
        <f>'أخذ التمام الصباحي'!N21</f>
        <v>4202</v>
      </c>
      <c r="M23" s="2">
        <f t="shared" si="8"/>
        <v>23111</v>
      </c>
      <c r="N23" s="183">
        <f t="shared" si="11"/>
        <v>1092.52</v>
      </c>
      <c r="O23" s="7">
        <f t="shared" si="9"/>
        <v>428.21</v>
      </c>
      <c r="P23" s="10">
        <f>'أخذ التمام الصباحي'!Q21</f>
        <v>490</v>
      </c>
      <c r="Q23" s="7">
        <f t="shared" si="0"/>
        <v>61.79000000000002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13423</v>
      </c>
      <c r="G24" s="292">
        <f t="shared" si="2"/>
        <v>90605.25</v>
      </c>
      <c r="H24" s="292">
        <f t="shared" si="3"/>
        <v>4429.59</v>
      </c>
      <c r="I24" s="292">
        <f>'أخذ التمام الصباحي'!K22</f>
        <v>2573</v>
      </c>
      <c r="J24" s="292">
        <f t="shared" si="4"/>
        <v>19940.75</v>
      </c>
      <c r="K24" s="292">
        <f t="shared" si="5"/>
        <v>1157.8500000000001</v>
      </c>
      <c r="L24" s="20">
        <f>'أخذ التمام الصباحي'!N22</f>
        <v>60846</v>
      </c>
      <c r="M24" s="2">
        <f t="shared" si="8"/>
        <v>334653</v>
      </c>
      <c r="N24" s="183">
        <f t="shared" si="11"/>
        <v>15819.960000000001</v>
      </c>
      <c r="O24" s="7">
        <f t="shared" si="9"/>
        <v>4451.99</v>
      </c>
      <c r="P24" s="10">
        <f>'أخذ التمام الصباحي'!Q22</f>
        <v>6100</v>
      </c>
      <c r="Q24" s="7">
        <f t="shared" si="0"/>
        <v>1648.0100000000002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15134</v>
      </c>
      <c r="G25" s="292">
        <f t="shared" si="2"/>
        <v>102154.5</v>
      </c>
      <c r="H25" s="292">
        <f t="shared" si="3"/>
        <v>4994.22</v>
      </c>
      <c r="I25" s="292">
        <f>'أخذ التمام الصباحي'!K23</f>
        <v>3611</v>
      </c>
      <c r="J25" s="292">
        <f t="shared" si="4"/>
        <v>27985.25</v>
      </c>
      <c r="K25" s="292">
        <f t="shared" si="5"/>
        <v>1624.95</v>
      </c>
      <c r="L25" s="20">
        <f>'أخذ التمام الصباحي'!N23</f>
        <v>52040</v>
      </c>
      <c r="M25" s="2">
        <f t="shared" si="8"/>
        <v>286220</v>
      </c>
      <c r="N25" s="183">
        <f t="shared" si="11"/>
        <v>13530.4</v>
      </c>
      <c r="O25" s="7">
        <f t="shared" si="9"/>
        <v>4163.5974999999999</v>
      </c>
      <c r="P25" s="10">
        <f>'أخذ التمام الصباحي'!Q23</f>
        <v>5505</v>
      </c>
      <c r="Q25" s="7">
        <f t="shared" si="0"/>
        <v>1341.4025000000001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10110</v>
      </c>
      <c r="G26" s="292">
        <f t="shared" si="2"/>
        <v>68242.5</v>
      </c>
      <c r="H26" s="292">
        <f t="shared" si="3"/>
        <v>3336.3</v>
      </c>
      <c r="I26" s="292">
        <f>'أخذ التمام الصباحي'!K24</f>
        <v>1873</v>
      </c>
      <c r="J26" s="292">
        <f t="shared" si="4"/>
        <v>14515.75</v>
      </c>
      <c r="K26" s="292">
        <f t="shared" si="5"/>
        <v>842.85</v>
      </c>
      <c r="L26" s="20">
        <f>'أخذ التمام الصباحي'!N24</f>
        <v>25315</v>
      </c>
      <c r="M26" s="2">
        <f t="shared" si="8"/>
        <v>139232.5</v>
      </c>
      <c r="N26" s="183">
        <f t="shared" si="11"/>
        <v>6581.9000000000005</v>
      </c>
      <c r="O26" s="7">
        <f t="shared" si="9"/>
        <v>2219.9074999999998</v>
      </c>
      <c r="P26" s="10">
        <f>'أخذ التمام الصباحي'!Q24</f>
        <v>2691</v>
      </c>
      <c r="Q26" s="7">
        <f t="shared" si="0"/>
        <v>471.0925000000002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8651</v>
      </c>
      <c r="G27" s="292">
        <f t="shared" si="2"/>
        <v>58394.25</v>
      </c>
      <c r="H27" s="292">
        <f t="shared" si="3"/>
        <v>2854.83</v>
      </c>
      <c r="I27" s="292">
        <f>'أخذ التمام الصباحي'!K25</f>
        <v>1309</v>
      </c>
      <c r="J27" s="292">
        <f t="shared" si="4"/>
        <v>10144.75</v>
      </c>
      <c r="K27" s="292">
        <f t="shared" si="5"/>
        <v>589.05000000000007</v>
      </c>
      <c r="L27" s="20">
        <f>'أخذ التمام الصباحي'!N25</f>
        <v>24670</v>
      </c>
      <c r="M27" s="2">
        <f t="shared" si="8"/>
        <v>135685</v>
      </c>
      <c r="N27" s="183">
        <f t="shared" si="11"/>
        <v>6414.2</v>
      </c>
      <c r="O27" s="7">
        <f t="shared" si="9"/>
        <v>2042.24</v>
      </c>
      <c r="P27" s="10">
        <f>'أخذ التمام الصباحي'!Q25</f>
        <v>2490</v>
      </c>
      <c r="Q27" s="7">
        <f t="shared" si="0"/>
        <v>447.76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3687</v>
      </c>
      <c r="D28" s="5">
        <f t="shared" ref="D28" si="12">C28*5.5</f>
        <v>20278.5</v>
      </c>
      <c r="E28" s="5">
        <f t="shared" ref="E28" si="13">C28*0.25</f>
        <v>921.75</v>
      </c>
      <c r="F28" s="301">
        <f>'أخذ التمام الصباحي'!H26</f>
        <v>8642</v>
      </c>
      <c r="G28" s="301">
        <f t="shared" ref="G28" si="14">F28*6.75</f>
        <v>58333.5</v>
      </c>
      <c r="H28" s="301">
        <f t="shared" ref="H28" si="15">F28*0.33</f>
        <v>2851.86</v>
      </c>
      <c r="I28" s="301">
        <f>'أخذ التمام الصباحي'!K26</f>
        <v>1740</v>
      </c>
      <c r="J28" s="301">
        <f t="shared" ref="J28" si="16">I28*7.75</f>
        <v>13485</v>
      </c>
      <c r="K28" s="301">
        <f t="shared" ref="K28" si="17">I28*0.45</f>
        <v>783</v>
      </c>
      <c r="L28" s="301">
        <f>'أخذ التمام الصباحي'!N26</f>
        <v>15941</v>
      </c>
      <c r="M28" s="301">
        <f t="shared" ref="M28" si="18">L28*5.5</f>
        <v>87675.5</v>
      </c>
      <c r="N28" s="301">
        <f t="shared" ref="N28" si="19">L28*0.26</f>
        <v>4144.66</v>
      </c>
      <c r="O28" s="7">
        <f t="shared" ref="O28" si="20">SUM(D28,G28,J28,M28)/100</f>
        <v>1797.7249999999999</v>
      </c>
      <c r="P28" s="10">
        <f>'أخذ التمام الصباحي'!Q26</f>
        <v>1300</v>
      </c>
      <c r="Q28" s="7">
        <f t="shared" ref="Q28" si="21">P28-O28</f>
        <v>-497.72499999999991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7148</v>
      </c>
      <c r="G29" s="321">
        <f t="shared" ref="G29:G33" si="24">F29*6.75</f>
        <v>48249</v>
      </c>
      <c r="H29" s="321">
        <f t="shared" ref="H29:H33" si="25">F29*0.33</f>
        <v>2358.84</v>
      </c>
      <c r="I29" s="5">
        <f>'أخذ التمام الصباحي'!K27</f>
        <v>2532</v>
      </c>
      <c r="J29" s="321">
        <f t="shared" ref="J29:J33" si="26">I29*7.75</f>
        <v>19623</v>
      </c>
      <c r="K29" s="321">
        <f t="shared" ref="K29:K33" si="27">I29*0.45</f>
        <v>1139.4000000000001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678.72</v>
      </c>
      <c r="P29" s="10">
        <f>'أخذ التمام الصباحي'!Q27</f>
        <v>650</v>
      </c>
      <c r="Q29" s="7">
        <f t="shared" ref="Q29:Q33" si="31">P29-O29</f>
        <v>-28.720000000000027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30183</v>
      </c>
      <c r="G30" s="321">
        <f t="shared" si="24"/>
        <v>203735.25</v>
      </c>
      <c r="H30" s="321">
        <f t="shared" si="25"/>
        <v>9960.3900000000012</v>
      </c>
      <c r="I30" s="5">
        <f>'أخذ التمام الصباحي'!K28</f>
        <v>10901</v>
      </c>
      <c r="J30" s="321">
        <f t="shared" si="26"/>
        <v>84482.75</v>
      </c>
      <c r="K30" s="321">
        <f t="shared" si="27"/>
        <v>4905.45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2882.18</v>
      </c>
      <c r="P30" s="10">
        <f>'أخذ التمام الصباحي'!Q28</f>
        <v>444</v>
      </c>
      <c r="Q30" s="7">
        <f t="shared" si="31"/>
        <v>-2438.1799999999998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30239</v>
      </c>
      <c r="G31" s="321">
        <f t="shared" si="24"/>
        <v>204113.25</v>
      </c>
      <c r="H31" s="321">
        <f t="shared" si="25"/>
        <v>9978.8700000000008</v>
      </c>
      <c r="I31" s="5">
        <f>'أخذ التمام الصباحي'!K29</f>
        <v>9831</v>
      </c>
      <c r="J31" s="321">
        <f t="shared" si="26"/>
        <v>76190.25</v>
      </c>
      <c r="K31" s="321">
        <f t="shared" si="27"/>
        <v>4423.95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2803.0349999999999</v>
      </c>
      <c r="P31" s="10">
        <f>'أخذ التمام الصباحي'!Q29</f>
        <v>3300</v>
      </c>
      <c r="Q31" s="7">
        <f t="shared" si="31"/>
        <v>496.96500000000015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32965</v>
      </c>
      <c r="G32" s="321">
        <f t="shared" si="24"/>
        <v>222513.75</v>
      </c>
      <c r="H32" s="321">
        <f t="shared" si="25"/>
        <v>10878.45</v>
      </c>
      <c r="I32" s="5">
        <f>'أخذ التمام الصباحي'!K30</f>
        <v>9420</v>
      </c>
      <c r="J32" s="321">
        <f t="shared" si="26"/>
        <v>73005</v>
      </c>
      <c r="K32" s="321">
        <f t="shared" si="27"/>
        <v>4239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2955.1875</v>
      </c>
      <c r="P32" s="10">
        <f>'أخذ التمام الصباحي'!Q30</f>
        <v>480</v>
      </c>
      <c r="Q32" s="7">
        <f t="shared" si="31"/>
        <v>-2475.1875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60002</v>
      </c>
      <c r="G33" s="321">
        <f t="shared" si="24"/>
        <v>405013.5</v>
      </c>
      <c r="H33" s="321">
        <f t="shared" si="25"/>
        <v>19800.66</v>
      </c>
      <c r="I33" s="5">
        <f>'أخذ التمام الصباحي'!K31</f>
        <v>13530</v>
      </c>
      <c r="J33" s="321">
        <f t="shared" si="26"/>
        <v>104857.5</v>
      </c>
      <c r="K33" s="321">
        <f t="shared" si="27"/>
        <v>6088.5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5098.71</v>
      </c>
      <c r="P33" s="10">
        <f>'أخذ التمام الصباحي'!Q31</f>
        <v>6200</v>
      </c>
      <c r="Q33" s="7">
        <f t="shared" si="31"/>
        <v>1101.29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0" t="s">
        <v>34</v>
      </c>
      <c r="B38" s="400"/>
      <c r="C38" s="43">
        <f>SUM(C7:C37)</f>
        <v>56936</v>
      </c>
      <c r="D38" s="43">
        <f t="shared" ref="D38:Q38" si="42">SUM(D7:D37)</f>
        <v>313148</v>
      </c>
      <c r="E38" s="43">
        <f t="shared" si="42"/>
        <v>14234</v>
      </c>
      <c r="F38" s="43">
        <f t="shared" si="42"/>
        <v>535767</v>
      </c>
      <c r="G38" s="43">
        <f t="shared" si="42"/>
        <v>3616427.25</v>
      </c>
      <c r="H38" s="43">
        <f t="shared" si="42"/>
        <v>176803.11000000002</v>
      </c>
      <c r="I38" s="43">
        <f t="shared" si="42"/>
        <v>135408</v>
      </c>
      <c r="J38" s="43">
        <f t="shared" si="42"/>
        <v>1049412</v>
      </c>
      <c r="K38" s="43">
        <f t="shared" si="42"/>
        <v>60933.599999999991</v>
      </c>
      <c r="L38" s="43">
        <f t="shared" si="42"/>
        <v>350527</v>
      </c>
      <c r="M38" s="43">
        <f t="shared" si="42"/>
        <v>1927898.5</v>
      </c>
      <c r="N38" s="43">
        <f t="shared" si="42"/>
        <v>91137.01999999999</v>
      </c>
      <c r="O38" s="43">
        <f t="shared" si="42"/>
        <v>69068.857499999998</v>
      </c>
      <c r="P38" s="43">
        <f t="shared" si="42"/>
        <v>67964</v>
      </c>
      <c r="Q38" s="43">
        <f t="shared" si="42"/>
        <v>-1104.8574999999987</v>
      </c>
    </row>
    <row r="39" spans="1:17" ht="32.25" customHeight="1" thickBot="1" x14ac:dyDescent="0.25">
      <c r="A39" s="393" t="s">
        <v>75</v>
      </c>
      <c r="B39" s="393"/>
      <c r="C39" s="383">
        <f>C38+F38+I38+L38</f>
        <v>1078638</v>
      </c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5"/>
    </row>
    <row r="40" spans="1:17" ht="30.75" customHeight="1" thickBot="1" x14ac:dyDescent="0.25">
      <c r="A40" s="393" t="s">
        <v>47</v>
      </c>
      <c r="B40" s="393"/>
      <c r="C40" s="386">
        <f>D38+G38+J38+M38</f>
        <v>6906885.75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8"/>
    </row>
    <row r="41" spans="1:17" ht="30.75" customHeight="1" thickBot="1" x14ac:dyDescent="0.25">
      <c r="A41" s="393" t="s">
        <v>48</v>
      </c>
      <c r="B41" s="393"/>
      <c r="C41" s="395">
        <f>E38+H38+K38+N38</f>
        <v>343107.73</v>
      </c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7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13" t="s">
        <v>108</v>
      </c>
      <c r="C2" s="513"/>
      <c r="D2" s="513"/>
      <c r="E2" s="513"/>
    </row>
    <row r="3" spans="1:13" ht="15" thickBot="1" x14ac:dyDescent="0.25"/>
    <row r="4" spans="1:13" ht="15.75" thickBot="1" x14ac:dyDescent="0.25">
      <c r="A4" s="453" t="s">
        <v>3</v>
      </c>
      <c r="B4" s="389" t="s">
        <v>165</v>
      </c>
      <c r="C4" s="515"/>
      <c r="D4" s="515"/>
      <c r="E4" s="515"/>
      <c r="F4" s="390"/>
    </row>
    <row r="5" spans="1:13" ht="15.75" thickBot="1" x14ac:dyDescent="0.25">
      <c r="A5" s="454"/>
      <c r="B5" s="389" t="s">
        <v>83</v>
      </c>
      <c r="C5" s="515"/>
      <c r="D5" s="514" t="s">
        <v>81</v>
      </c>
      <c r="E5" s="516"/>
      <c r="F5" s="308" t="s">
        <v>107</v>
      </c>
      <c r="I5" s="453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55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55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الإمداد'!K48</f>
        <v>0</v>
      </c>
      <c r="K7" s="41">
        <f>'خطة الإمداد'!L48</f>
        <v>17</v>
      </c>
      <c r="L7" s="41">
        <f>'خطة الإمداد'!M48</f>
        <v>0</v>
      </c>
      <c r="M7" s="41">
        <f>'خطة الإمداد'!N48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الإمداد'!K49</f>
        <v>0</v>
      </c>
      <c r="K8" s="41">
        <f>'خطة الإمداد'!L49</f>
        <v>17</v>
      </c>
      <c r="L8" s="41">
        <f>'خطة الإمداد'!M49</f>
        <v>0</v>
      </c>
      <c r="M8" s="41">
        <f>'خطة الإمداد'!N49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الإمداد'!K50</f>
        <v>0</v>
      </c>
      <c r="K9" s="41">
        <f>'خطة الإمداد'!L50</f>
        <v>34</v>
      </c>
      <c r="L9" s="41">
        <f>'خطة الإمداد'!M50</f>
        <v>0</v>
      </c>
      <c r="M9" s="41">
        <f>'خطة الإمداد'!N50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الإمداد'!K51</f>
        <v>0</v>
      </c>
      <c r="K10" s="41">
        <f>'خطة الإمداد'!L51</f>
        <v>17</v>
      </c>
      <c r="L10" s="41">
        <f>'خطة الإمداد'!M51</f>
        <v>0</v>
      </c>
      <c r="M10" s="41">
        <f>'خطة الإمداد'!N51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22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21"/>
      <c r="C16" s="52" t="s">
        <v>93</v>
      </c>
      <c r="D16" s="53">
        <f>[1]التعاون.ملخص!$D$10</f>
        <v>0</v>
      </c>
    </row>
    <row r="17" spans="2:4" ht="16.5" thickBot="1" x14ac:dyDescent="0.25">
      <c r="B17" s="522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21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32" t="str">
        <f>'منطقة القاهرة'!A4</f>
        <v>المحطة</v>
      </c>
      <c r="B1" s="382" t="str">
        <f>'منطقة القاهرة'!B4</f>
        <v xml:space="preserve">الهايكستب </v>
      </c>
      <c r="C1" s="382">
        <f>'منطقة القاهرة'!C4</f>
        <v>0</v>
      </c>
      <c r="D1" s="433">
        <f>'منطقة القاهرة'!D4</f>
        <v>0</v>
      </c>
      <c r="E1" s="514" t="str">
        <f>'منطقة القاهرة'!E4</f>
        <v>مسطرد</v>
      </c>
      <c r="F1" s="515">
        <f>'منطقة القاهرة'!F4</f>
        <v>0</v>
      </c>
      <c r="G1" s="515">
        <f>'منطقة القاهرة'!G4</f>
        <v>0</v>
      </c>
      <c r="H1" s="390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32">
        <f>'منطقة القاهرة'!A5</f>
        <v>0</v>
      </c>
      <c r="B2" s="389" t="str">
        <f>'منطقة القاهرة'!B5</f>
        <v>تعاون</v>
      </c>
      <c r="C2" s="515">
        <f>'منطقة القاهرة'!C5</f>
        <v>0</v>
      </c>
      <c r="D2" s="516">
        <f>'منطقة القاهرة'!D5</f>
        <v>0</v>
      </c>
      <c r="E2" s="269" t="str">
        <f>'منطقة القاهرة'!E5</f>
        <v>تعاون</v>
      </c>
      <c r="F2" s="389" t="str">
        <f>'منطقة القاهرة'!F5</f>
        <v>موبيل</v>
      </c>
      <c r="G2" s="515">
        <f>'منطقة القاهرة'!G5</f>
        <v>0</v>
      </c>
      <c r="H2" s="390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1596</v>
      </c>
    </row>
    <row r="3" spans="1:13" ht="16.5" thickBot="1" x14ac:dyDescent="0.3">
      <c r="A3" s="432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1064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3422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22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2245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21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22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32" t="str">
        <f>'منطقة السويس'!A4</f>
        <v>المحطة</v>
      </c>
      <c r="B13" s="389" t="str">
        <f>'منطقة السويس'!B4</f>
        <v>السويس</v>
      </c>
      <c r="C13" s="515">
        <f>'منطقة السويس'!C4</f>
        <v>0</v>
      </c>
      <c r="D13" s="515">
        <f>'منطقة السويس'!D4</f>
        <v>0</v>
      </c>
      <c r="E13" s="515">
        <f>'منطقة السويس'!E4</f>
        <v>0</v>
      </c>
      <c r="F13" s="515">
        <f>'منطقة السويس'!F4</f>
        <v>0</v>
      </c>
      <c r="G13" s="515">
        <f>'منطقة السويس'!G4</f>
        <v>0</v>
      </c>
      <c r="H13" s="390">
        <f>'منطقة السويس'!H4</f>
        <v>0</v>
      </c>
      <c r="I13" s="276" t="s">
        <v>119</v>
      </c>
      <c r="K13" s="523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32">
        <f>'منطقة السويس'!A5</f>
        <v>0</v>
      </c>
      <c r="B14" s="120" t="str">
        <f>'منطقة السويس'!B5</f>
        <v>تعاون</v>
      </c>
      <c r="C14" s="517" t="str">
        <f>'منطقة السويس'!C5</f>
        <v>موبيل</v>
      </c>
      <c r="D14" s="492">
        <f>'منطقة السويس'!D5</f>
        <v>0</v>
      </c>
      <c r="E14" s="518">
        <f>'منطقة السويس'!E5</f>
        <v>0</v>
      </c>
      <c r="F14" s="492" t="str">
        <f>'منطقة السويس'!F5</f>
        <v>مصر</v>
      </c>
      <c r="G14" s="492">
        <f>'منطقة السويس'!G5</f>
        <v>0</v>
      </c>
      <c r="H14" s="493">
        <f>'منطقة السويس'!H5</f>
        <v>0</v>
      </c>
      <c r="I14" s="275" t="s">
        <v>83</v>
      </c>
      <c r="K14" s="523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32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20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51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19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102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20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19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21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24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32" t="str">
        <f>'منطقة الاسكندرية'!A4</f>
        <v>المحطة</v>
      </c>
      <c r="B22" s="389" t="str">
        <f>'منطقة الاسكندرية'!B4</f>
        <v>الماكس</v>
      </c>
      <c r="C22" s="515">
        <f>'منطقة الاسكندرية'!C4</f>
        <v>0</v>
      </c>
      <c r="D22" s="515">
        <f>'منطقة الاسكندرية'!D4</f>
        <v>0</v>
      </c>
      <c r="E22" s="515">
        <f>'منطقة الاسكندرية'!E4</f>
        <v>0</v>
      </c>
      <c r="F22" s="515">
        <f>'منطقة الاسكندرية'!F4</f>
        <v>0</v>
      </c>
      <c r="G22" s="515">
        <f>'منطقة الاسكندرية'!G4</f>
        <v>0</v>
      </c>
      <c r="H22" s="515">
        <f>'منطقة الاسكندرية'!H4</f>
        <v>0</v>
      </c>
      <c r="I22" s="390">
        <f>'منطقة الاسكندرية'!I4</f>
        <v>0</v>
      </c>
      <c r="K22" s="525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166</v>
      </c>
    </row>
    <row r="23" spans="1:13" ht="16.5" thickBot="1" x14ac:dyDescent="0.3">
      <c r="A23" s="432">
        <f>'منطقة الاسكندرية'!A5</f>
        <v>0</v>
      </c>
      <c r="B23" s="494" t="str">
        <f>'منطقة الاسكندرية'!B5</f>
        <v>تعاون</v>
      </c>
      <c r="C23" s="494">
        <f>'منطقة الاسكندرية'!C5</f>
        <v>0</v>
      </c>
      <c r="D23" s="510">
        <f>'منطقة الاسكندرية'!D5</f>
        <v>0</v>
      </c>
      <c r="E23" s="527" t="str">
        <f>'منطقة الاسكندرية'!E5</f>
        <v>مصر</v>
      </c>
      <c r="F23" s="528">
        <f>'منطقة الاسكندرية'!F5</f>
        <v>0</v>
      </c>
      <c r="G23" s="511" t="str">
        <f>'منطقة الاسكندرية'!G5</f>
        <v>موبيل</v>
      </c>
      <c r="H23" s="494">
        <f>'منطقة الاسكندرية'!H5</f>
        <v>0</v>
      </c>
      <c r="I23" s="494">
        <f>'منطقة الاسكندرية'!I5</f>
        <v>0</v>
      </c>
      <c r="K23" s="526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32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100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0</v>
      </c>
      <c r="I26" s="80"/>
      <c r="K26" s="524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25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232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26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29"/>
      <c r="D30" s="529"/>
    </row>
    <row r="31" spans="1:13" ht="16.5" thickBot="1" x14ac:dyDescent="0.3">
      <c r="A31" s="453" t="str">
        <f>'منطقة طنطا'!A4</f>
        <v>المحطة</v>
      </c>
      <c r="B31" s="389" t="str">
        <f>'منطقة طنطا'!B4</f>
        <v>طنطا</v>
      </c>
      <c r="C31" s="515">
        <f>'منطقة طنطا'!C4</f>
        <v>0</v>
      </c>
      <c r="D31" s="515">
        <f>'منطقة طنطا'!D4</f>
        <v>0</v>
      </c>
      <c r="E31" s="515">
        <f>'منطقة طنطا'!E4</f>
        <v>0</v>
      </c>
      <c r="F31" s="390">
        <f>'منطقة طنطا'!F4</f>
        <v>0</v>
      </c>
      <c r="H31" s="78"/>
      <c r="I31" s="78"/>
      <c r="J31" s="78"/>
      <c r="K31" s="522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54">
        <f>'منطقة طنطا'!A5</f>
        <v>0</v>
      </c>
      <c r="B32" s="389" t="str">
        <f>'منطقة طنطا'!B5</f>
        <v>مصر</v>
      </c>
      <c r="C32" s="515">
        <f>'منطقة طنطا'!C5</f>
        <v>0</v>
      </c>
      <c r="D32" s="514" t="str">
        <f>'منطقة طنطا'!D5</f>
        <v>تعاون</v>
      </c>
      <c r="E32" s="516">
        <f>'منطقة طنطا'!E5</f>
        <v>0</v>
      </c>
      <c r="F32" s="266" t="str">
        <f>'منطقة طنطا'!F5</f>
        <v>تعاون هايكستب</v>
      </c>
      <c r="K32" s="521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55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22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21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09" t="s">
        <v>0</v>
      </c>
      <c r="B1" s="409"/>
      <c r="C1" s="409"/>
      <c r="D1" s="409"/>
      <c r="O1" s="408"/>
      <c r="P1" s="408"/>
    </row>
    <row r="2" spans="1:17" ht="15" x14ac:dyDescent="0.2">
      <c r="A2" s="409" t="s">
        <v>1</v>
      </c>
      <c r="B2" s="409"/>
      <c r="C2" s="409"/>
      <c r="D2" s="409"/>
    </row>
    <row r="3" spans="1:17" ht="15" x14ac:dyDescent="0.2">
      <c r="A3" s="409" t="s">
        <v>2</v>
      </c>
      <c r="B3" s="409"/>
      <c r="C3" s="409"/>
      <c r="D3" s="409"/>
    </row>
    <row r="4" spans="1:17" ht="15" x14ac:dyDescent="0.2">
      <c r="A4" s="409" t="s">
        <v>53</v>
      </c>
      <c r="B4" s="409"/>
      <c r="C4" s="409"/>
      <c r="D4" s="409"/>
    </row>
    <row r="5" spans="1:17" ht="15" x14ac:dyDescent="0.2">
      <c r="A5" s="402" t="s">
        <v>195</v>
      </c>
      <c r="B5" s="402"/>
      <c r="C5" s="402"/>
      <c r="D5" s="402"/>
    </row>
    <row r="6" spans="1:17" ht="24" thickBot="1" x14ac:dyDescent="0.25">
      <c r="H6" s="413" t="s">
        <v>54</v>
      </c>
      <c r="I6" s="413"/>
      <c r="J6" s="413"/>
      <c r="K6" s="413"/>
    </row>
    <row r="7" spans="1:17" ht="20.25" customHeight="1" thickBot="1" x14ac:dyDescent="0.25">
      <c r="B7" s="404" t="s">
        <v>55</v>
      </c>
      <c r="C7" s="405"/>
      <c r="D7" s="405"/>
      <c r="E7" s="406"/>
      <c r="F7" s="17"/>
      <c r="G7" s="17"/>
      <c r="H7" s="17"/>
      <c r="I7" s="17"/>
      <c r="J7" s="17"/>
      <c r="K7" s="17"/>
      <c r="L7" s="17"/>
      <c r="M7" s="17"/>
      <c r="N7" s="17"/>
      <c r="O7" s="17"/>
      <c r="P7" s="404" t="s">
        <v>51</v>
      </c>
      <c r="Q7" s="406"/>
    </row>
    <row r="8" spans="1:17" ht="13.5" thickBot="1" x14ac:dyDescent="0.25">
      <c r="B8" s="407" t="s">
        <v>52</v>
      </c>
      <c r="C8" s="403" t="s">
        <v>5</v>
      </c>
      <c r="D8" s="403"/>
      <c r="E8" s="403"/>
      <c r="F8" s="403" t="s">
        <v>11</v>
      </c>
      <c r="G8" s="403"/>
      <c r="H8" s="403"/>
      <c r="I8" s="403" t="s">
        <v>12</v>
      </c>
      <c r="J8" s="403"/>
      <c r="K8" s="403"/>
      <c r="L8" s="403" t="s">
        <v>50</v>
      </c>
      <c r="M8" s="403"/>
      <c r="N8" s="403"/>
      <c r="O8" s="403" t="s">
        <v>56</v>
      </c>
      <c r="P8" s="403"/>
      <c r="Q8" s="403"/>
    </row>
    <row r="9" spans="1:17" ht="13.5" thickBot="1" x14ac:dyDescent="0.25">
      <c r="B9" s="407"/>
      <c r="C9" s="403"/>
      <c r="D9" s="403"/>
      <c r="E9" s="403"/>
      <c r="F9" s="403"/>
      <c r="G9" s="403"/>
      <c r="H9" s="403"/>
      <c r="I9" s="403"/>
      <c r="J9" s="403"/>
      <c r="K9" s="403"/>
      <c r="L9" s="403"/>
      <c r="M9" s="403"/>
      <c r="N9" s="403"/>
      <c r="O9" s="403"/>
      <c r="P9" s="403"/>
      <c r="Q9" s="403"/>
    </row>
    <row r="10" spans="1:17" ht="20.100000000000001" customHeight="1" thickBot="1" x14ac:dyDescent="0.25">
      <c r="B10" s="407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34000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476000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102000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408000</v>
      </c>
      <c r="N11" s="13" t="e">
        <f>M11/L11</f>
        <v>#DIV/0!</v>
      </c>
      <c r="O11" s="140">
        <f>C11+F11+I11+L11</f>
        <v>0</v>
      </c>
      <c r="P11" s="140">
        <f>D11+G11+J11+M11</f>
        <v>1020000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04" t="s">
        <v>61</v>
      </c>
      <c r="C15" s="405"/>
      <c r="D15" s="405"/>
      <c r="E15" s="406"/>
      <c r="P15" s="404" t="s">
        <v>51</v>
      </c>
      <c r="Q15" s="406"/>
    </row>
    <row r="16" spans="1:17" ht="13.5" thickBot="1" x14ac:dyDescent="0.25">
      <c r="B16" s="407" t="s">
        <v>52</v>
      </c>
      <c r="C16" s="403" t="s">
        <v>5</v>
      </c>
      <c r="D16" s="403"/>
      <c r="E16" s="403"/>
      <c r="F16" s="403" t="s">
        <v>11</v>
      </c>
      <c r="G16" s="403"/>
      <c r="H16" s="403"/>
      <c r="I16" s="403" t="s">
        <v>12</v>
      </c>
      <c r="J16" s="403"/>
      <c r="K16" s="403"/>
      <c r="L16" s="403" t="s">
        <v>50</v>
      </c>
      <c r="M16" s="403"/>
      <c r="N16" s="403"/>
      <c r="O16" s="403" t="s">
        <v>56</v>
      </c>
      <c r="P16" s="403"/>
      <c r="Q16" s="403"/>
    </row>
    <row r="17" spans="2:17" ht="13.5" thickBot="1" x14ac:dyDescent="0.25">
      <c r="B17" s="407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</row>
    <row r="18" spans="2:17" ht="20.100000000000001" customHeight="1" thickBot="1" x14ac:dyDescent="0.25">
      <c r="B18" s="407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56936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535767</v>
      </c>
      <c r="G19" s="209">
        <f>'موقف المحطات'!$G$20</f>
        <v>476000</v>
      </c>
      <c r="H19" s="13">
        <f>G19/F19</f>
        <v>0.88844591025576414</v>
      </c>
      <c r="I19" s="209">
        <f>'موقف المحطات'!$I$20</f>
        <v>135408</v>
      </c>
      <c r="J19" s="209">
        <f>'موقف المحطات'!$J$20</f>
        <v>102000</v>
      </c>
      <c r="K19" s="13">
        <f>J19/I19</f>
        <v>0.75327897908543073</v>
      </c>
      <c r="L19" s="209">
        <f>'موقف المحطات'!$L$20</f>
        <v>350527</v>
      </c>
      <c r="M19" s="209">
        <f>'موقف المحطات'!$M$20</f>
        <v>408000</v>
      </c>
      <c r="N19" s="13">
        <f>M19/L19</f>
        <v>1.1639616919666673</v>
      </c>
      <c r="O19" s="140">
        <f>C19+F19+I19+L19</f>
        <v>1078638</v>
      </c>
      <c r="P19" s="140">
        <f>D19+G19+J19+M19</f>
        <v>986000</v>
      </c>
      <c r="Q19" s="13">
        <f>P19/O19</f>
        <v>0.91411576451042886</v>
      </c>
    </row>
    <row r="20" spans="2:17" ht="22.5" customHeight="1" thickBot="1" x14ac:dyDescent="0.25">
      <c r="B20" s="145" t="s">
        <v>64</v>
      </c>
      <c r="C20" s="140">
        <f>المبيعات!C38</f>
        <v>56936</v>
      </c>
      <c r="D20" s="140">
        <f>D11</f>
        <v>34000</v>
      </c>
      <c r="E20" s="13">
        <f>IFERROR(D20/C20,0)</f>
        <v>0.5971617254461149</v>
      </c>
      <c r="F20" s="140">
        <f>المبيعات!F38</f>
        <v>535767</v>
      </c>
      <c r="G20" s="140">
        <f>G11</f>
        <v>476000</v>
      </c>
      <c r="H20" s="13">
        <f>IFERROR(G20/F20,0)</f>
        <v>0.88844591025576414</v>
      </c>
      <c r="I20" s="140">
        <f>المبيعات!I38</f>
        <v>135408</v>
      </c>
      <c r="J20" s="140">
        <f>J11</f>
        <v>102000</v>
      </c>
      <c r="K20" s="13">
        <f>IFERROR(J20/I20,0)</f>
        <v>0.75327897908543073</v>
      </c>
      <c r="L20" s="140">
        <f>المبيعات!L38</f>
        <v>350527</v>
      </c>
      <c r="M20" s="140">
        <f>M11</f>
        <v>408000</v>
      </c>
      <c r="N20" s="13">
        <f>IFERROR(M20/L20,0)</f>
        <v>1.1639616919666673</v>
      </c>
      <c r="O20" s="140">
        <f>C20+F20+I20+L20</f>
        <v>1078638</v>
      </c>
      <c r="P20" s="140">
        <f>P11</f>
        <v>1020000</v>
      </c>
      <c r="Q20" s="13">
        <f>IFERROR(P20/O20,0)</f>
        <v>0.94563699776940924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04" t="s">
        <v>72</v>
      </c>
      <c r="C24" s="405"/>
      <c r="D24" s="405"/>
      <c r="E24" s="406"/>
      <c r="P24" s="416" t="s">
        <v>51</v>
      </c>
      <c r="Q24" s="417"/>
    </row>
    <row r="25" spans="2:17" ht="18" customHeight="1" thickBot="1" x14ac:dyDescent="0.25">
      <c r="B25" s="414" t="s">
        <v>52</v>
      </c>
      <c r="C25" s="410" t="s">
        <v>163</v>
      </c>
      <c r="D25" s="411"/>
      <c r="E25" s="412"/>
      <c r="F25" s="410" t="s">
        <v>158</v>
      </c>
      <c r="G25" s="411"/>
      <c r="H25" s="412"/>
      <c r="I25" s="410" t="s">
        <v>121</v>
      </c>
      <c r="J25" s="411"/>
      <c r="K25" s="412"/>
      <c r="L25" s="410" t="s">
        <v>112</v>
      </c>
      <c r="M25" s="411"/>
      <c r="N25" s="412"/>
      <c r="O25" s="410" t="s">
        <v>113</v>
      </c>
      <c r="P25" s="411"/>
      <c r="Q25" s="412"/>
    </row>
    <row r="26" spans="2:17" ht="16.5" customHeight="1" thickBot="1" x14ac:dyDescent="0.25">
      <c r="B26" s="415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29980</v>
      </c>
      <c r="D28" s="147">
        <f>'أخذ التمام الصباحي'!K6</f>
        <v>9324</v>
      </c>
      <c r="E28" s="224"/>
      <c r="F28" s="147">
        <f>'أخذ التمام الصباحي'!H7</f>
        <v>21055</v>
      </c>
      <c r="G28" s="147">
        <f>'أخذ التمام الصباحي'!K7</f>
        <v>3777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18" t="s">
        <v>173</v>
      </c>
      <c r="C32" s="419"/>
      <c r="D32" s="419"/>
      <c r="E32" s="419"/>
      <c r="F32" s="420" t="s">
        <v>60</v>
      </c>
      <c r="G32" s="421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217</v>
      </c>
      <c r="D35" s="147">
        <f>'التمام الصباحي'!J39</f>
        <v>2181</v>
      </c>
      <c r="E35" s="143">
        <f>'التمام الصباحي'!P39</f>
        <v>729</v>
      </c>
      <c r="F35" s="147">
        <f>'التمام الصباحي'!V39</f>
        <v>1957</v>
      </c>
      <c r="G35" s="147">
        <f>SUM(C35:F35)</f>
        <v>5084</v>
      </c>
    </row>
    <row r="36" spans="2:8" ht="20.25" customHeight="1" thickBot="1" x14ac:dyDescent="0.25">
      <c r="B36" s="39" t="s">
        <v>37</v>
      </c>
      <c r="C36" s="404">
        <f>'التمام الصباحي'!C42:Z42</f>
        <v>2701</v>
      </c>
      <c r="D36" s="405"/>
      <c r="E36" s="405"/>
      <c r="F36" s="405"/>
      <c r="G36" s="406"/>
      <c r="H36" s="157"/>
    </row>
    <row r="37" spans="2:8" ht="18.75" customHeight="1" thickBot="1" x14ac:dyDescent="0.25">
      <c r="B37" s="39" t="s">
        <v>68</v>
      </c>
      <c r="C37" s="404">
        <f>'احتياجات المحطات'!M29</f>
        <v>629</v>
      </c>
      <c r="D37" s="405"/>
      <c r="E37" s="405"/>
      <c r="F37" s="405"/>
      <c r="G37" s="406"/>
      <c r="H37" s="157"/>
    </row>
    <row r="38" spans="2:8" ht="21" customHeight="1" thickBot="1" x14ac:dyDescent="0.25">
      <c r="B38" s="39" t="s">
        <v>69</v>
      </c>
      <c r="C38" s="404">
        <f>G35+C37</f>
        <v>5713</v>
      </c>
      <c r="D38" s="405"/>
      <c r="E38" s="405"/>
      <c r="F38" s="405"/>
      <c r="G38" s="406"/>
      <c r="H38" s="157"/>
    </row>
    <row r="39" spans="2:8" ht="19.5" customHeight="1" thickBot="1" x14ac:dyDescent="0.25">
      <c r="B39" s="141" t="s">
        <v>70</v>
      </c>
      <c r="C39" s="404">
        <f>C36-C37</f>
        <v>2072</v>
      </c>
      <c r="D39" s="405"/>
      <c r="E39" s="405"/>
      <c r="F39" s="405"/>
      <c r="G39" s="406"/>
      <c r="H39" s="157"/>
    </row>
    <row r="40" spans="2:8" ht="20.100000000000001" customHeight="1" thickBot="1" x14ac:dyDescent="0.25">
      <c r="B40" s="141" t="s">
        <v>71</v>
      </c>
      <c r="C40" s="404">
        <f>P19/1000</f>
        <v>986</v>
      </c>
      <c r="D40" s="405"/>
      <c r="E40" s="405"/>
      <c r="F40" s="405"/>
      <c r="G40" s="406"/>
      <c r="H40" s="157"/>
    </row>
    <row r="41" spans="2:8" ht="20.100000000000001" customHeight="1" thickBot="1" x14ac:dyDescent="0.25">
      <c r="B41" s="141" t="s">
        <v>110</v>
      </c>
      <c r="C41" s="422">
        <f>C37/C36</f>
        <v>0.23287671232876711</v>
      </c>
      <c r="D41" s="423"/>
      <c r="E41" s="423"/>
      <c r="F41" s="423"/>
      <c r="G41" s="424"/>
      <c r="H41" s="158"/>
    </row>
    <row r="42" spans="2:8" ht="20.100000000000001" customHeight="1" thickBot="1" x14ac:dyDescent="0.25">
      <c r="B42" s="147" t="s">
        <v>111</v>
      </c>
      <c r="C42" s="422">
        <f>'التمام الصباحي'!C45:Z45</f>
        <v>0.20062942564909519</v>
      </c>
      <c r="D42" s="423"/>
      <c r="E42" s="423"/>
      <c r="F42" s="423"/>
      <c r="G42" s="424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18" t="s">
        <v>174</v>
      </c>
      <c r="C46" s="419"/>
      <c r="D46" s="425"/>
      <c r="F46" s="421" t="s">
        <v>116</v>
      </c>
      <c r="G46" s="421"/>
    </row>
    <row r="47" spans="2:8" ht="18.75" customHeight="1" thickBot="1" x14ac:dyDescent="0.25">
      <c r="B47" s="144" t="s">
        <v>52</v>
      </c>
      <c r="C47" s="410" t="s">
        <v>114</v>
      </c>
      <c r="D47" s="412"/>
      <c r="E47" s="410" t="s">
        <v>115</v>
      </c>
      <c r="F47" s="412"/>
      <c r="G47" s="145" t="s">
        <v>34</v>
      </c>
    </row>
    <row r="48" spans="2:8" ht="18.75" customHeight="1" thickBot="1" x14ac:dyDescent="0.25">
      <c r="B48" s="210">
        <v>43647</v>
      </c>
      <c r="C48" s="429" t="e">
        <f>المستودعات!#REF!/51</f>
        <v>#REF!</v>
      </c>
      <c r="D48" s="406"/>
      <c r="E48" s="404"/>
      <c r="F48" s="406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18" t="s">
        <v>175</v>
      </c>
      <c r="C52" s="419"/>
      <c r="D52" s="419"/>
      <c r="E52" s="419"/>
      <c r="F52" s="419"/>
      <c r="G52" s="425"/>
    </row>
    <row r="53" spans="2:7" ht="20.100000000000001" customHeight="1" thickBot="1" x14ac:dyDescent="0.25">
      <c r="B53" s="414" t="s">
        <v>65</v>
      </c>
      <c r="C53" s="410" t="s">
        <v>73</v>
      </c>
      <c r="D53" s="411"/>
      <c r="E53" s="412"/>
      <c r="F53" s="430" t="s">
        <v>50</v>
      </c>
      <c r="G53" s="430" t="s">
        <v>74</v>
      </c>
    </row>
    <row r="54" spans="2:7" ht="20.100000000000001" customHeight="1" thickBot="1" x14ac:dyDescent="0.25">
      <c r="B54" s="415"/>
      <c r="C54" s="145">
        <v>80</v>
      </c>
      <c r="D54" s="145">
        <v>92</v>
      </c>
      <c r="E54" s="145">
        <v>95</v>
      </c>
      <c r="F54" s="431"/>
      <c r="G54" s="431"/>
    </row>
    <row r="55" spans="2:7" ht="19.5" customHeight="1" thickBot="1" x14ac:dyDescent="0.25">
      <c r="B55" s="29" t="s">
        <v>77</v>
      </c>
      <c r="C55" s="140">
        <f>المبيعات!D38</f>
        <v>313148</v>
      </c>
      <c r="D55" s="140">
        <f>المبيعات!G38</f>
        <v>3616427.25</v>
      </c>
      <c r="E55" s="149">
        <f>المبيعات!J38</f>
        <v>1049412</v>
      </c>
      <c r="F55" s="140">
        <f>المبيعات!M38</f>
        <v>1927898.5</v>
      </c>
      <c r="G55" s="35">
        <f>C55+D55+E55+F55</f>
        <v>6906885.75</v>
      </c>
    </row>
    <row r="56" spans="2:7" ht="17.25" customHeight="1" thickBot="1" x14ac:dyDescent="0.25">
      <c r="B56" s="145" t="s">
        <v>78</v>
      </c>
      <c r="C56" s="140">
        <f>المبيعات!E38</f>
        <v>14234</v>
      </c>
      <c r="D56" s="140">
        <f>المبيعات!H38</f>
        <v>176803.11000000002</v>
      </c>
      <c r="E56" s="140">
        <f>المبيعات!K38</f>
        <v>60933.599999999991</v>
      </c>
      <c r="F56" s="140">
        <f>المبيعات!N38</f>
        <v>91137.01999999999</v>
      </c>
      <c r="G56" s="35">
        <f>F56+E56+D56+C56</f>
        <v>343107.73</v>
      </c>
    </row>
    <row r="57" spans="2:7" ht="17.25" customHeight="1" thickBot="1" x14ac:dyDescent="0.25">
      <c r="B57" s="145" t="s">
        <v>79</v>
      </c>
      <c r="C57" s="426">
        <f>المبيعات!P38</f>
        <v>67964</v>
      </c>
      <c r="D57" s="427"/>
      <c r="E57" s="427"/>
      <c r="F57" s="428"/>
      <c r="G57" s="36">
        <f>C57</f>
        <v>67964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J16" sqref="J16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32" t="s">
        <v>14</v>
      </c>
      <c r="B3" s="432" t="s">
        <v>3</v>
      </c>
      <c r="C3" s="382" t="s">
        <v>5</v>
      </c>
      <c r="D3" s="382"/>
      <c r="E3" s="433"/>
      <c r="F3" s="434" t="s">
        <v>11</v>
      </c>
      <c r="G3" s="382"/>
      <c r="H3" s="433"/>
      <c r="I3" s="390" t="s">
        <v>12</v>
      </c>
      <c r="J3" s="382"/>
      <c r="K3" s="389"/>
      <c r="L3" s="434" t="s">
        <v>50</v>
      </c>
      <c r="M3" s="382"/>
      <c r="N3" s="433"/>
      <c r="O3" s="390" t="s">
        <v>45</v>
      </c>
      <c r="P3" s="382"/>
      <c r="Q3" s="382"/>
      <c r="R3" s="398" t="s">
        <v>160</v>
      </c>
    </row>
    <row r="4" spans="1:20" ht="15.75" thickBot="1" x14ac:dyDescent="0.25">
      <c r="A4" s="432"/>
      <c r="B4" s="432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399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70</v>
      </c>
      <c r="G5" s="194"/>
      <c r="H5" s="213">
        <v>24721</v>
      </c>
      <c r="I5" s="211">
        <v>24</v>
      </c>
      <c r="J5" s="5"/>
      <c r="K5" s="213">
        <v>8083</v>
      </c>
      <c r="L5" s="214"/>
      <c r="M5" s="192"/>
      <c r="N5" s="215"/>
      <c r="O5" s="217">
        <v>2120</v>
      </c>
      <c r="P5" s="218"/>
      <c r="Q5" s="294">
        <f t="shared" ref="Q5:Q26" si="0">P5+O5</f>
        <v>2120</v>
      </c>
      <c r="R5" s="220" t="s">
        <v>207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90</v>
      </c>
      <c r="G6" s="194">
        <v>51</v>
      </c>
      <c r="H6" s="213">
        <v>29980</v>
      </c>
      <c r="I6" s="211">
        <v>19</v>
      </c>
      <c r="J6" s="5"/>
      <c r="K6" s="213">
        <v>9324</v>
      </c>
      <c r="L6" s="214"/>
      <c r="M6" s="192"/>
      <c r="N6" s="215"/>
      <c r="O6" s="217">
        <v>2490</v>
      </c>
      <c r="P6" s="218"/>
      <c r="Q6" s="294">
        <f t="shared" si="0"/>
        <v>2490</v>
      </c>
      <c r="R6" s="220" t="s">
        <v>224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60</v>
      </c>
      <c r="D7" s="5">
        <v>34</v>
      </c>
      <c r="E7" s="213">
        <v>39560</v>
      </c>
      <c r="F7" s="211">
        <v>16</v>
      </c>
      <c r="G7" s="194">
        <v>17</v>
      </c>
      <c r="H7" s="213">
        <v>21055</v>
      </c>
      <c r="I7" s="211">
        <v>31</v>
      </c>
      <c r="J7" s="5"/>
      <c r="K7" s="213">
        <v>3777</v>
      </c>
      <c r="L7" s="214"/>
      <c r="M7" s="192"/>
      <c r="N7" s="215"/>
      <c r="O7" s="217">
        <v>3610</v>
      </c>
      <c r="P7" s="218"/>
      <c r="Q7" s="294">
        <f t="shared" si="0"/>
        <v>3610</v>
      </c>
      <c r="R7" s="220" t="s">
        <v>221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17</v>
      </c>
      <c r="D8" s="5"/>
      <c r="E8" s="213">
        <v>3803</v>
      </c>
      <c r="F8" s="211">
        <v>41</v>
      </c>
      <c r="G8" s="194">
        <v>17</v>
      </c>
      <c r="H8" s="213">
        <v>23083</v>
      </c>
      <c r="I8" s="211">
        <v>14</v>
      </c>
      <c r="J8" s="5">
        <v>17</v>
      </c>
      <c r="K8" s="213">
        <v>8268</v>
      </c>
      <c r="L8" s="211">
        <v>165</v>
      </c>
      <c r="M8" s="5">
        <v>17</v>
      </c>
      <c r="N8" s="216">
        <v>4820</v>
      </c>
      <c r="O8" s="217">
        <v>2150</v>
      </c>
      <c r="P8" s="219"/>
      <c r="Q8" s="294">
        <f t="shared" si="0"/>
        <v>2150</v>
      </c>
      <c r="R8" s="220" t="s">
        <v>214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84</v>
      </c>
      <c r="G9" s="194">
        <v>34</v>
      </c>
      <c r="H9" s="213">
        <v>36386</v>
      </c>
      <c r="I9" s="211">
        <v>25</v>
      </c>
      <c r="J9" s="5">
        <v>17</v>
      </c>
      <c r="K9" s="213">
        <v>11500</v>
      </c>
      <c r="L9" s="214"/>
      <c r="M9" s="192"/>
      <c r="N9" s="215"/>
      <c r="O9" s="217">
        <v>3280</v>
      </c>
      <c r="P9" s="218"/>
      <c r="Q9" s="294">
        <f t="shared" si="0"/>
        <v>3280</v>
      </c>
      <c r="R9" s="220" t="s">
        <v>219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22</v>
      </c>
      <c r="D10" s="5"/>
      <c r="E10" s="213">
        <v>3205</v>
      </c>
      <c r="F10" s="211">
        <v>60</v>
      </c>
      <c r="G10" s="194">
        <v>34</v>
      </c>
      <c r="H10" s="213">
        <v>23719</v>
      </c>
      <c r="I10" s="214"/>
      <c r="J10" s="192"/>
      <c r="K10" s="212"/>
      <c r="L10" s="211">
        <v>173</v>
      </c>
      <c r="M10" s="5"/>
      <c r="N10" s="216">
        <v>6851</v>
      </c>
      <c r="O10" s="217">
        <v>2317</v>
      </c>
      <c r="P10" s="219"/>
      <c r="Q10" s="294">
        <f t="shared" si="0"/>
        <v>2317</v>
      </c>
      <c r="R10" s="220" t="s">
        <v>220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14</v>
      </c>
      <c r="D11" s="5"/>
      <c r="E11" s="213">
        <v>6456</v>
      </c>
      <c r="F11" s="211">
        <v>64</v>
      </c>
      <c r="G11" s="194"/>
      <c r="H11" s="213">
        <v>15556</v>
      </c>
      <c r="I11" s="214"/>
      <c r="J11" s="192"/>
      <c r="K11" s="212"/>
      <c r="L11" s="211">
        <v>155</v>
      </c>
      <c r="M11" s="5">
        <v>17</v>
      </c>
      <c r="N11" s="216">
        <v>17032</v>
      </c>
      <c r="O11" s="217">
        <v>2540</v>
      </c>
      <c r="P11" s="219"/>
      <c r="Q11" s="294">
        <f t="shared" si="0"/>
        <v>2540</v>
      </c>
      <c r="R11" s="220" t="s">
        <v>201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135</v>
      </c>
      <c r="G12" s="194">
        <v>34</v>
      </c>
      <c r="H12" s="213">
        <v>46415</v>
      </c>
      <c r="I12" s="211">
        <v>39</v>
      </c>
      <c r="J12" s="5">
        <v>17</v>
      </c>
      <c r="K12" s="213">
        <v>11577</v>
      </c>
      <c r="L12" s="214"/>
      <c r="M12" s="192"/>
      <c r="N12" s="215"/>
      <c r="O12" s="217">
        <v>3590</v>
      </c>
      <c r="P12" s="218"/>
      <c r="Q12" s="294">
        <f t="shared" si="0"/>
        <v>3590</v>
      </c>
      <c r="R12" s="220" t="s">
        <v>212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125</v>
      </c>
      <c r="G13" s="194">
        <v>51</v>
      </c>
      <c r="H13" s="213">
        <v>40600</v>
      </c>
      <c r="I13" s="211">
        <v>35</v>
      </c>
      <c r="J13" s="5"/>
      <c r="K13" s="213">
        <v>11200</v>
      </c>
      <c r="L13" s="211">
        <v>86</v>
      </c>
      <c r="M13" s="5">
        <v>51</v>
      </c>
      <c r="N13" s="216">
        <v>34200</v>
      </c>
      <c r="O13" s="217"/>
      <c r="P13" s="219"/>
      <c r="Q13" s="294">
        <f t="shared" si="0"/>
        <v>0</v>
      </c>
      <c r="R13" s="220" t="s">
        <v>203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85</v>
      </c>
      <c r="G14" s="194">
        <v>17</v>
      </c>
      <c r="H14" s="213">
        <v>7463</v>
      </c>
      <c r="I14" s="211">
        <v>25</v>
      </c>
      <c r="J14" s="5"/>
      <c r="K14" s="213">
        <v>2715</v>
      </c>
      <c r="L14" s="211">
        <v>130</v>
      </c>
      <c r="M14" s="5">
        <v>85</v>
      </c>
      <c r="N14" s="216">
        <v>56123</v>
      </c>
      <c r="O14" s="217">
        <v>7010</v>
      </c>
      <c r="P14" s="219"/>
      <c r="Q14" s="294">
        <f t="shared" si="0"/>
        <v>7010</v>
      </c>
      <c r="R14" s="220" t="s">
        <v>215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72</v>
      </c>
      <c r="G15" s="194">
        <v>17</v>
      </c>
      <c r="H15" s="213">
        <v>9240</v>
      </c>
      <c r="I15" s="211">
        <v>16</v>
      </c>
      <c r="J15" s="5"/>
      <c r="K15" s="213">
        <v>2793</v>
      </c>
      <c r="L15" s="211">
        <v>23</v>
      </c>
      <c r="M15" s="5">
        <v>34</v>
      </c>
      <c r="N15" s="216">
        <v>5031</v>
      </c>
      <c r="O15" s="217">
        <v>1405</v>
      </c>
      <c r="P15" s="219"/>
      <c r="Q15" s="294">
        <f t="shared" si="0"/>
        <v>1405</v>
      </c>
      <c r="R15" s="220" t="s">
        <v>202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41</v>
      </c>
      <c r="G16" s="194"/>
      <c r="H16" s="213">
        <v>3958</v>
      </c>
      <c r="I16" s="211">
        <v>26</v>
      </c>
      <c r="J16" s="5"/>
      <c r="K16" s="213">
        <v>1369</v>
      </c>
      <c r="L16" s="214"/>
      <c r="M16" s="192"/>
      <c r="N16" s="215"/>
      <c r="O16" s="217">
        <v>392</v>
      </c>
      <c r="P16" s="218"/>
      <c r="Q16" s="294">
        <f t="shared" si="0"/>
        <v>392</v>
      </c>
      <c r="R16" s="220" t="s">
        <v>204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70</v>
      </c>
      <c r="G17" s="194"/>
      <c r="H17" s="213">
        <v>4164</v>
      </c>
      <c r="I17" s="211">
        <v>22</v>
      </c>
      <c r="J17" s="5"/>
      <c r="K17" s="213">
        <v>674</v>
      </c>
      <c r="L17" s="211">
        <v>155</v>
      </c>
      <c r="M17" s="5"/>
      <c r="N17" s="216">
        <v>7673</v>
      </c>
      <c r="O17" s="217">
        <v>1410</v>
      </c>
      <c r="P17" s="219"/>
      <c r="Q17" s="294">
        <f t="shared" si="0"/>
        <v>1410</v>
      </c>
      <c r="R17" s="220" t="s">
        <v>208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85</v>
      </c>
      <c r="G18" s="194">
        <v>17</v>
      </c>
      <c r="H18" s="213">
        <v>19306</v>
      </c>
      <c r="I18" s="211">
        <v>26</v>
      </c>
      <c r="J18" s="5">
        <v>17</v>
      </c>
      <c r="K18" s="213">
        <v>4846</v>
      </c>
      <c r="L18" s="211">
        <v>153</v>
      </c>
      <c r="M18" s="5">
        <v>17</v>
      </c>
      <c r="N18" s="216">
        <v>27488</v>
      </c>
      <c r="O18" s="217">
        <v>1990</v>
      </c>
      <c r="P18" s="219">
        <v>2260</v>
      </c>
      <c r="Q18" s="294">
        <f t="shared" si="0"/>
        <v>4250</v>
      </c>
      <c r="R18" s="220" t="s">
        <v>218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62</v>
      </c>
      <c r="G19" s="194"/>
      <c r="H19" s="213">
        <v>9219</v>
      </c>
      <c r="I19" s="211">
        <v>8</v>
      </c>
      <c r="J19" s="5"/>
      <c r="K19" s="213">
        <v>1962</v>
      </c>
      <c r="L19" s="214"/>
      <c r="M19" s="192"/>
      <c r="N19" s="215"/>
      <c r="O19" s="217">
        <v>970</v>
      </c>
      <c r="P19" s="218"/>
      <c r="Q19" s="294">
        <f t="shared" si="0"/>
        <v>970</v>
      </c>
      <c r="R19" s="220" t="s">
        <v>213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22</v>
      </c>
      <c r="D20" s="5"/>
      <c r="E20" s="213">
        <v>225</v>
      </c>
      <c r="F20" s="211">
        <v>56</v>
      </c>
      <c r="G20" s="194"/>
      <c r="H20" s="213">
        <v>1485</v>
      </c>
      <c r="I20" s="214"/>
      <c r="J20" s="192"/>
      <c r="K20" s="212"/>
      <c r="L20" s="211">
        <v>85</v>
      </c>
      <c r="M20" s="5">
        <v>34</v>
      </c>
      <c r="N20" s="216">
        <v>8295</v>
      </c>
      <c r="O20" s="217">
        <v>148</v>
      </c>
      <c r="P20" s="219">
        <v>632</v>
      </c>
      <c r="Q20" s="294">
        <f t="shared" si="0"/>
        <v>780</v>
      </c>
      <c r="R20" s="220" t="s">
        <v>209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41</v>
      </c>
      <c r="G21" s="194">
        <v>17</v>
      </c>
      <c r="H21" s="213">
        <v>2920</v>
      </c>
      <c r="I21" s="214"/>
      <c r="J21" s="192"/>
      <c r="K21" s="212"/>
      <c r="L21" s="211">
        <v>96</v>
      </c>
      <c r="M21" s="5"/>
      <c r="N21" s="216">
        <v>4202</v>
      </c>
      <c r="O21" s="217">
        <v>490</v>
      </c>
      <c r="P21" s="219"/>
      <c r="Q21" s="294">
        <f t="shared" si="0"/>
        <v>490</v>
      </c>
      <c r="R21" s="220" t="s">
        <v>211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87</v>
      </c>
      <c r="G22" s="194"/>
      <c r="H22" s="213">
        <v>13423</v>
      </c>
      <c r="I22" s="211">
        <v>17</v>
      </c>
      <c r="J22" s="5"/>
      <c r="K22" s="213">
        <v>2573</v>
      </c>
      <c r="L22" s="211">
        <v>125</v>
      </c>
      <c r="M22" s="5">
        <v>51</v>
      </c>
      <c r="N22" s="216">
        <v>60846</v>
      </c>
      <c r="O22" s="217">
        <v>1500</v>
      </c>
      <c r="P22" s="219">
        <v>4600</v>
      </c>
      <c r="Q22" s="294">
        <f t="shared" si="0"/>
        <v>6100</v>
      </c>
      <c r="R22" s="220" t="s">
        <v>208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72</v>
      </c>
      <c r="G23" s="194"/>
      <c r="H23" s="213">
        <v>15134</v>
      </c>
      <c r="I23" s="211">
        <v>21</v>
      </c>
      <c r="J23" s="5"/>
      <c r="K23" s="213">
        <v>3611</v>
      </c>
      <c r="L23" s="211">
        <v>140</v>
      </c>
      <c r="M23" s="5">
        <v>51</v>
      </c>
      <c r="N23" s="216">
        <v>52040</v>
      </c>
      <c r="O23" s="217">
        <v>1560</v>
      </c>
      <c r="P23" s="219">
        <v>3945</v>
      </c>
      <c r="Q23" s="294">
        <f t="shared" si="0"/>
        <v>5505</v>
      </c>
      <c r="R23" s="220" t="s">
        <v>201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80</v>
      </c>
      <c r="G24" s="194"/>
      <c r="H24" s="213">
        <v>10110</v>
      </c>
      <c r="I24" s="211">
        <v>18</v>
      </c>
      <c r="J24" s="5"/>
      <c r="K24" s="213">
        <v>1873</v>
      </c>
      <c r="L24" s="211">
        <v>165</v>
      </c>
      <c r="M24" s="5"/>
      <c r="N24" s="216">
        <v>25315</v>
      </c>
      <c r="O24" s="217">
        <v>911</v>
      </c>
      <c r="P24" s="219">
        <v>1780</v>
      </c>
      <c r="Q24" s="294">
        <f t="shared" si="0"/>
        <v>2691</v>
      </c>
      <c r="R24" s="220" t="s">
        <v>202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70</v>
      </c>
      <c r="G25" s="194"/>
      <c r="H25" s="213">
        <v>8651</v>
      </c>
      <c r="I25" s="211">
        <v>16</v>
      </c>
      <c r="J25" s="5"/>
      <c r="K25" s="213">
        <v>1309</v>
      </c>
      <c r="L25" s="211">
        <v>140</v>
      </c>
      <c r="M25" s="5">
        <v>51</v>
      </c>
      <c r="N25" s="216">
        <v>24670</v>
      </c>
      <c r="O25" s="217">
        <v>660</v>
      </c>
      <c r="P25" s="219">
        <v>1830</v>
      </c>
      <c r="Q25" s="294">
        <f t="shared" si="0"/>
        <v>2490</v>
      </c>
      <c r="R25" s="220" t="s">
        <v>206</v>
      </c>
    </row>
    <row r="26" spans="1:20" ht="16.5" thickBot="1" x14ac:dyDescent="0.3">
      <c r="A26" s="299">
        <v>22</v>
      </c>
      <c r="B26" s="297" t="s">
        <v>112</v>
      </c>
      <c r="C26" s="197">
        <v>82</v>
      </c>
      <c r="D26" s="194"/>
      <c r="E26" s="213">
        <v>3687</v>
      </c>
      <c r="F26" s="211">
        <v>28</v>
      </c>
      <c r="G26" s="194"/>
      <c r="H26" s="213">
        <v>8642</v>
      </c>
      <c r="I26" s="211">
        <v>28</v>
      </c>
      <c r="J26" s="5"/>
      <c r="K26" s="213">
        <v>1740</v>
      </c>
      <c r="L26" s="211">
        <v>166</v>
      </c>
      <c r="M26" s="5"/>
      <c r="N26" s="216">
        <v>15941</v>
      </c>
      <c r="O26" s="217">
        <v>1300</v>
      </c>
      <c r="P26" s="219"/>
      <c r="Q26" s="294">
        <f t="shared" si="0"/>
        <v>1300</v>
      </c>
      <c r="R26" s="220" t="s">
        <v>225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109</v>
      </c>
      <c r="G27" s="194"/>
      <c r="H27" s="213">
        <v>7148</v>
      </c>
      <c r="I27" s="211">
        <v>31</v>
      </c>
      <c r="J27" s="5"/>
      <c r="K27" s="213">
        <v>2532</v>
      </c>
      <c r="L27" s="214"/>
      <c r="M27" s="192"/>
      <c r="N27" s="215"/>
      <c r="O27" s="217">
        <v>650</v>
      </c>
      <c r="P27" s="218"/>
      <c r="Q27" s="294">
        <f t="shared" ref="Q27:Q30" si="1">P27+O27</f>
        <v>650</v>
      </c>
      <c r="R27" s="220" t="s">
        <v>216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133</v>
      </c>
      <c r="G28" s="194">
        <v>34</v>
      </c>
      <c r="H28" s="213">
        <v>30183</v>
      </c>
      <c r="I28" s="211">
        <v>65</v>
      </c>
      <c r="J28" s="5">
        <v>17</v>
      </c>
      <c r="K28" s="213">
        <v>10901</v>
      </c>
      <c r="L28" s="214"/>
      <c r="M28" s="192"/>
      <c r="N28" s="215"/>
      <c r="O28" s="217">
        <v>444</v>
      </c>
      <c r="P28" s="218"/>
      <c r="Q28" s="294">
        <f t="shared" si="1"/>
        <v>444</v>
      </c>
      <c r="R28" s="220" t="s">
        <v>210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121</v>
      </c>
      <c r="G29" s="194"/>
      <c r="H29" s="213">
        <v>30239</v>
      </c>
      <c r="I29" s="211">
        <v>73</v>
      </c>
      <c r="J29" s="5"/>
      <c r="K29" s="213">
        <v>9831</v>
      </c>
      <c r="L29" s="214"/>
      <c r="M29" s="192"/>
      <c r="N29" s="215"/>
      <c r="O29" s="217">
        <v>3300</v>
      </c>
      <c r="P29" s="218"/>
      <c r="Q29" s="294">
        <f t="shared" si="1"/>
        <v>3300</v>
      </c>
      <c r="R29" s="220" t="s">
        <v>223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129</v>
      </c>
      <c r="G30" s="194">
        <v>51</v>
      </c>
      <c r="H30" s="213">
        <v>32965</v>
      </c>
      <c r="I30" s="211">
        <v>76</v>
      </c>
      <c r="J30" s="5"/>
      <c r="K30" s="213">
        <v>9420</v>
      </c>
      <c r="L30" s="214"/>
      <c r="M30" s="192"/>
      <c r="N30" s="215"/>
      <c r="O30" s="217">
        <v>480</v>
      </c>
      <c r="P30" s="218"/>
      <c r="Q30" s="294">
        <f t="shared" si="1"/>
        <v>480</v>
      </c>
      <c r="R30" s="220" t="s">
        <v>205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155</v>
      </c>
      <c r="G31" s="194">
        <v>85</v>
      </c>
      <c r="H31" s="213">
        <v>60002</v>
      </c>
      <c r="I31" s="211">
        <v>74</v>
      </c>
      <c r="J31" s="5">
        <v>17</v>
      </c>
      <c r="K31" s="213">
        <v>13530</v>
      </c>
      <c r="L31" s="214"/>
      <c r="M31" s="192"/>
      <c r="N31" s="215"/>
      <c r="O31" s="217">
        <v>6200</v>
      </c>
      <c r="P31" s="218"/>
      <c r="Q31" s="294">
        <f t="shared" ref="Q31:Q35" si="2">P31+O31</f>
        <v>6200</v>
      </c>
      <c r="R31" s="220" t="s">
        <v>217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34</v>
      </c>
      <c r="G39" s="193">
        <f>SUM(G5:G31)</f>
        <v>476</v>
      </c>
      <c r="J39" s="193">
        <f>SUM(J5:J31)</f>
        <v>102</v>
      </c>
      <c r="M39" s="193">
        <f>SUM(M5:M31)</f>
        <v>408</v>
      </c>
    </row>
  </sheetData>
  <sheetProtection selectLockedCells="1"/>
  <customSheetViews>
    <customSheetView guid="{18C0F7AC-4BB1-46DE-8A01-8E31FE0585FC}" scale="85" fitToPage="1">
      <selection activeCell="J16" sqref="J16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41" t="s">
        <v>222</v>
      </c>
      <c r="C7" s="441"/>
      <c r="D7" s="441"/>
      <c r="E7" s="441"/>
      <c r="F7" s="441"/>
      <c r="G7" s="441"/>
      <c r="H7" s="441"/>
      <c r="I7" s="345"/>
      <c r="J7" s="345"/>
    </row>
    <row r="8" spans="2:10" ht="17.25" thickTop="1" thickBot="1" x14ac:dyDescent="0.25">
      <c r="B8" s="442" t="s">
        <v>14</v>
      </c>
      <c r="C8" s="435" t="s">
        <v>180</v>
      </c>
      <c r="D8" s="444" t="s">
        <v>181</v>
      </c>
      <c r="E8" s="445"/>
      <c r="F8" s="446"/>
      <c r="G8" s="435" t="s">
        <v>182</v>
      </c>
      <c r="H8" s="437" t="s">
        <v>183</v>
      </c>
      <c r="I8" s="347"/>
      <c r="J8" s="347"/>
    </row>
    <row r="9" spans="2:10" ht="16.5" thickBot="1" x14ac:dyDescent="0.25">
      <c r="B9" s="443"/>
      <c r="C9" s="436"/>
      <c r="D9" s="340">
        <v>80</v>
      </c>
      <c r="E9" s="340">
        <v>92</v>
      </c>
      <c r="F9" s="340">
        <v>95</v>
      </c>
      <c r="G9" s="436"/>
      <c r="H9" s="438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30183</v>
      </c>
      <c r="F10" s="350">
        <f>'أخذ التمام الصباحي'!$K$28</f>
        <v>10901</v>
      </c>
      <c r="G10" s="342"/>
      <c r="H10" s="343">
        <f>SUM(D10:G10)</f>
        <v>41084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30239</v>
      </c>
      <c r="F11" s="350">
        <f>'أخذ التمام الصباحي'!$K$29</f>
        <v>9831</v>
      </c>
      <c r="G11" s="342"/>
      <c r="H11" s="343">
        <f t="shared" ref="H11" si="0">SUM(D11:G11)</f>
        <v>40070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32965</v>
      </c>
      <c r="F12" s="350">
        <f>'أخذ التمام الصباحي'!$K$30</f>
        <v>9420</v>
      </c>
      <c r="G12" s="342"/>
      <c r="H12" s="343">
        <f>SUM(D12:G12)</f>
        <v>42385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60002</v>
      </c>
      <c r="F13" s="350">
        <f>'أخذ التمام الصباحي'!$K$31</f>
        <v>13530</v>
      </c>
      <c r="G13" s="342"/>
      <c r="H13" s="343">
        <f>SUM(D13:G13)</f>
        <v>73532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29980</v>
      </c>
      <c r="F14" s="350">
        <f>'أخذ التمام الصباحي'!$K$6</f>
        <v>9324</v>
      </c>
      <c r="G14" s="342"/>
      <c r="H14" s="343">
        <f>SUM(D14:G14)</f>
        <v>39304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39560</v>
      </c>
      <c r="E15" s="350">
        <f>'أخذ التمام الصباحي'!$H$7</f>
        <v>21055</v>
      </c>
      <c r="F15" s="350">
        <f>'أخذ التمام الصباحي'!$K$7</f>
        <v>3777</v>
      </c>
      <c r="G15" s="342"/>
      <c r="H15" s="343">
        <f t="shared" ref="H15:H17" si="1">SUM(D15:G15)</f>
        <v>64392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3687</v>
      </c>
      <c r="E16" s="350">
        <f>'أخذ التمام الصباحي'!$H$26</f>
        <v>8642</v>
      </c>
      <c r="F16" s="350">
        <f>'أخذ التمام الصباحي'!$K$26</f>
        <v>1740</v>
      </c>
      <c r="G16" s="350">
        <f>'أخذ التمام الصباحي'!$N$26</f>
        <v>15941</v>
      </c>
      <c r="H16" s="343">
        <f t="shared" si="1"/>
        <v>30010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7148</v>
      </c>
      <c r="F17" s="350">
        <f>'أخذ التمام الصباحي'!$K$27</f>
        <v>2532</v>
      </c>
      <c r="G17" s="342"/>
      <c r="H17" s="343">
        <f t="shared" si="1"/>
        <v>9680</v>
      </c>
    </row>
    <row r="18" spans="2:8" ht="54.95" customHeight="1" thickTop="1" thickBot="1" x14ac:dyDescent="0.25">
      <c r="B18" s="439" t="s">
        <v>192</v>
      </c>
      <c r="C18" s="440"/>
      <c r="D18" s="351">
        <f t="shared" ref="D18:G18" si="2">SUM(D10:D17)</f>
        <v>43247</v>
      </c>
      <c r="E18" s="351">
        <f t="shared" si="2"/>
        <v>220214</v>
      </c>
      <c r="F18" s="351">
        <f t="shared" si="2"/>
        <v>61055</v>
      </c>
      <c r="G18" s="351">
        <f t="shared" si="2"/>
        <v>15941</v>
      </c>
      <c r="H18" s="351">
        <f>SUM(H10:H17)</f>
        <v>340457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1" t="s">
        <v>3</v>
      </c>
      <c r="C2" s="460" t="s">
        <v>84</v>
      </c>
      <c r="D2" s="460"/>
      <c r="E2" s="460"/>
      <c r="F2" s="460"/>
      <c r="G2" s="460" t="s">
        <v>88</v>
      </c>
      <c r="H2" s="460"/>
      <c r="I2" s="460"/>
      <c r="N2" s="453" t="s">
        <v>3</v>
      </c>
      <c r="O2" s="447" t="s">
        <v>85</v>
      </c>
      <c r="P2" s="448"/>
      <c r="Q2" s="448"/>
      <c r="R2" s="448"/>
      <c r="S2" s="448"/>
      <c r="T2" s="449"/>
    </row>
    <row r="3" spans="1:23" ht="15.75" thickBot="1" x14ac:dyDescent="0.25">
      <c r="B3" s="401"/>
      <c r="C3" s="459" t="s">
        <v>82</v>
      </c>
      <c r="D3" s="459"/>
      <c r="E3" s="459"/>
      <c r="F3" s="188" t="s">
        <v>81</v>
      </c>
      <c r="G3" s="459" t="s">
        <v>81</v>
      </c>
      <c r="H3" s="459"/>
      <c r="I3" s="459"/>
      <c r="N3" s="454"/>
      <c r="O3" s="456" t="s">
        <v>87</v>
      </c>
      <c r="P3" s="457"/>
      <c r="Q3" s="458"/>
      <c r="R3" s="456" t="s">
        <v>164</v>
      </c>
      <c r="S3" s="457"/>
      <c r="T3" s="458"/>
    </row>
    <row r="4" spans="1:23" ht="15.75" thickBot="1" x14ac:dyDescent="0.25">
      <c r="A4" s="461"/>
      <c r="B4" s="401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55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61"/>
      <c r="B5" s="186" t="s">
        <v>15</v>
      </c>
      <c r="C5" s="184"/>
      <c r="D5" s="184"/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>
        <v>17</v>
      </c>
      <c r="S5" s="293"/>
      <c r="T5" s="293">
        <v>85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>
        <v>17</v>
      </c>
      <c r="S6" s="293"/>
      <c r="T6" s="293">
        <v>34</v>
      </c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51</v>
      </c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17</v>
      </c>
      <c r="D9" s="184">
        <v>17</v>
      </c>
      <c r="E9" s="184">
        <v>17</v>
      </c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34</v>
      </c>
      <c r="S9" s="5">
        <f t="shared" si="0"/>
        <v>0</v>
      </c>
      <c r="T9" s="5">
        <f t="shared" si="0"/>
        <v>119</v>
      </c>
    </row>
    <row r="10" spans="1:23" ht="16.5" thickBot="1" x14ac:dyDescent="0.25">
      <c r="A10" s="187"/>
      <c r="B10" s="186" t="s">
        <v>17</v>
      </c>
      <c r="C10" s="322">
        <v>34</v>
      </c>
      <c r="D10" s="184">
        <v>17</v>
      </c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34</v>
      </c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>
        <v>17</v>
      </c>
      <c r="F12" s="184"/>
      <c r="G12" s="184"/>
      <c r="H12" s="184"/>
      <c r="I12" s="161"/>
      <c r="J12" s="285"/>
      <c r="K12" s="325"/>
      <c r="L12" s="187"/>
      <c r="P12" s="453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34</v>
      </c>
      <c r="D13" s="184">
        <v>17</v>
      </c>
      <c r="E13" s="161"/>
      <c r="F13" s="161"/>
      <c r="G13" s="161"/>
      <c r="H13" s="184"/>
      <c r="I13" s="184"/>
      <c r="P13" s="454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51</v>
      </c>
      <c r="D14" s="184"/>
      <c r="E14" s="184"/>
      <c r="F14" s="184">
        <v>51</v>
      </c>
      <c r="G14" s="161"/>
      <c r="H14" s="184"/>
      <c r="I14" s="184"/>
      <c r="P14" s="455"/>
      <c r="Q14" s="163" t="s">
        <v>50</v>
      </c>
      <c r="S14" s="163" t="s">
        <v>93</v>
      </c>
      <c r="T14" s="162">
        <f>G22+C34</f>
        <v>34</v>
      </c>
      <c r="U14" s="162">
        <f>H22+D34</f>
        <v>102</v>
      </c>
      <c r="V14" s="162">
        <f>I22</f>
        <v>17</v>
      </c>
      <c r="W14" s="162">
        <f>F22+E34</f>
        <v>102</v>
      </c>
    </row>
    <row r="15" spans="1:23" ht="16.5" thickBot="1" x14ac:dyDescent="0.25">
      <c r="A15" s="47"/>
      <c r="B15" s="332" t="s">
        <v>176</v>
      </c>
      <c r="C15" s="330">
        <v>51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340</v>
      </c>
      <c r="V15" s="162">
        <f>D22+P9+G34</f>
        <v>85</v>
      </c>
      <c r="W15" s="162">
        <f>E22+I34+Q9</f>
        <v>85</v>
      </c>
    </row>
    <row r="16" spans="1:23" ht="16.5" thickBot="1" x14ac:dyDescent="0.25">
      <c r="A16" s="47"/>
      <c r="B16" s="327" t="s">
        <v>177</v>
      </c>
      <c r="C16" s="330">
        <v>51</v>
      </c>
      <c r="D16" s="330"/>
      <c r="E16" s="161"/>
      <c r="F16" s="161"/>
      <c r="G16" s="161"/>
      <c r="H16" s="330">
        <v>34</v>
      </c>
      <c r="I16" s="330">
        <v>17</v>
      </c>
      <c r="P16" s="191" t="s">
        <v>31</v>
      </c>
      <c r="Q16" s="305">
        <v>51</v>
      </c>
      <c r="S16" s="163" t="s">
        <v>164</v>
      </c>
      <c r="T16" s="288"/>
      <c r="U16" s="162">
        <f>R9</f>
        <v>34</v>
      </c>
      <c r="V16" s="162">
        <f>S9</f>
        <v>0</v>
      </c>
      <c r="W16" s="162">
        <f>T9</f>
        <v>119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/>
      <c r="E18" s="161"/>
      <c r="F18" s="161"/>
      <c r="G18" s="161"/>
      <c r="H18" s="330"/>
      <c r="I18" s="330"/>
      <c r="P18" s="191" t="s">
        <v>33</v>
      </c>
      <c r="Q18" s="305">
        <v>51</v>
      </c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34</v>
      </c>
      <c r="U19" s="162">
        <f>'التمام الصباحي'!L39</f>
        <v>476</v>
      </c>
      <c r="V19" s="162">
        <f>'التمام الصباحي'!R39</f>
        <v>102</v>
      </c>
      <c r="W19" s="162">
        <f>'التمام الصباحي'!X39</f>
        <v>408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34</v>
      </c>
      <c r="U20" s="162">
        <f>C22+H22+D34+F34+O9+R9</f>
        <v>476</v>
      </c>
      <c r="V20" s="162">
        <f>D22+I22+G34+P9+S9</f>
        <v>102</v>
      </c>
      <c r="W20" s="162">
        <f>E22+F22+Q9+T9+E34+I34+Q19</f>
        <v>408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306</v>
      </c>
      <c r="D22" s="330">
        <f>SUM(D5:D21)+F44</f>
        <v>68</v>
      </c>
      <c r="E22" s="330">
        <f>SUM(E5:E18)+G44</f>
        <v>34</v>
      </c>
      <c r="F22" s="330">
        <f>SUM(F5:F18)+D44</f>
        <v>102</v>
      </c>
      <c r="G22" s="330">
        <f>SUM(G5:G18)</f>
        <v>34</v>
      </c>
      <c r="H22" s="330">
        <f>SUM(H5:H21)+B44</f>
        <v>102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53" t="s">
        <v>3</v>
      </c>
      <c r="C25" s="447" t="s">
        <v>86</v>
      </c>
      <c r="D25" s="448"/>
      <c r="E25" s="448"/>
      <c r="F25" s="448"/>
      <c r="G25" s="448"/>
      <c r="H25" s="448"/>
      <c r="I25" s="449"/>
      <c r="J25" s="300"/>
    </row>
    <row r="26" spans="1:23" ht="17.25" customHeight="1" thickBot="1" x14ac:dyDescent="0.25">
      <c r="B26" s="454"/>
      <c r="C26" s="459" t="s">
        <v>81</v>
      </c>
      <c r="D26" s="459"/>
      <c r="E26" s="459"/>
      <c r="F26" s="459" t="s">
        <v>87</v>
      </c>
      <c r="G26" s="459"/>
      <c r="H26" s="459"/>
      <c r="I26" s="459"/>
      <c r="J26" s="300"/>
    </row>
    <row r="27" spans="1:23" ht="15.75" thickBot="1" x14ac:dyDescent="0.25">
      <c r="B27" s="455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>
        <v>17</v>
      </c>
      <c r="H28" s="334"/>
      <c r="I28" s="330">
        <v>17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>
        <v>34</v>
      </c>
    </row>
    <row r="31" spans="1:23" ht="16.5" thickBot="1" x14ac:dyDescent="0.25">
      <c r="B31" s="327" t="s">
        <v>29</v>
      </c>
      <c r="C31" s="161"/>
      <c r="D31" s="330"/>
      <c r="E31" s="330"/>
      <c r="F31" s="330">
        <v>17</v>
      </c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34</v>
      </c>
      <c r="G34" s="330">
        <f>SUM(G28:G33)+I44</f>
        <v>17</v>
      </c>
      <c r="H34" s="330">
        <f>SUM(H28:H32)+K44</f>
        <v>0</v>
      </c>
      <c r="I34" s="330">
        <f>SUM(I28:I33)+J44</f>
        <v>51</v>
      </c>
    </row>
    <row r="36" spans="1:14" ht="15" thickBot="1" x14ac:dyDescent="0.25"/>
    <row r="37" spans="1:14" ht="15.75" thickBot="1" x14ac:dyDescent="0.25">
      <c r="A37" s="453" t="s">
        <v>3</v>
      </c>
      <c r="B37" s="450" t="s">
        <v>88</v>
      </c>
      <c r="C37" s="451"/>
      <c r="D37" s="450" t="s">
        <v>84</v>
      </c>
      <c r="E37" s="452"/>
      <c r="F37" s="452"/>
      <c r="G37" s="451"/>
      <c r="H37" s="450" t="s">
        <v>86</v>
      </c>
      <c r="I37" s="452"/>
      <c r="J37" s="452"/>
      <c r="K37" s="452"/>
      <c r="L37" s="452"/>
      <c r="M37" s="452"/>
      <c r="N37" s="451"/>
    </row>
    <row r="38" spans="1:14" ht="15.75" thickBot="1" x14ac:dyDescent="0.25">
      <c r="A38" s="454"/>
      <c r="B38" s="450" t="s">
        <v>81</v>
      </c>
      <c r="C38" s="451"/>
      <c r="D38" s="329" t="s">
        <v>81</v>
      </c>
      <c r="E38" s="450" t="s">
        <v>87</v>
      </c>
      <c r="F38" s="452"/>
      <c r="G38" s="451"/>
      <c r="H38" s="450" t="s">
        <v>87</v>
      </c>
      <c r="I38" s="452"/>
      <c r="J38" s="452"/>
      <c r="K38" s="451"/>
      <c r="L38" s="450" t="s">
        <v>81</v>
      </c>
      <c r="M38" s="452"/>
      <c r="N38" s="451"/>
    </row>
    <row r="39" spans="1:14" ht="15.75" thickBot="1" x14ac:dyDescent="0.25">
      <c r="A39" s="455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>
        <v>51</v>
      </c>
      <c r="E40" s="330"/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/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0</v>
      </c>
      <c r="F44" s="313">
        <f t="shared" si="2"/>
        <v>0</v>
      </c>
      <c r="G44" s="313">
        <f t="shared" si="2"/>
        <v>0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W58"/>
  <sheetViews>
    <sheetView rightToLeft="1" topLeftCell="C29" workbookViewId="0">
      <selection activeCell="S53" sqref="S53"/>
    </sheetView>
  </sheetViews>
  <sheetFormatPr defaultRowHeight="14.25" x14ac:dyDescent="0.2"/>
  <cols>
    <col min="1" max="1" width="6.375" hidden="1" customWidth="1"/>
    <col min="2" max="2" width="7.75" hidden="1" customWidth="1"/>
    <col min="3" max="3" width="9.375" style="195" bestFit="1" customWidth="1"/>
    <col min="4" max="4" width="6.375" style="195" customWidth="1"/>
    <col min="5" max="5" width="6" style="195" customWidth="1"/>
    <col min="6" max="6" width="6.375" style="195" customWidth="1"/>
    <col min="7" max="7" width="5.625" style="195" customWidth="1"/>
    <col min="8" max="8" width="9" hidden="1" customWidth="1"/>
    <col min="9" max="9" width="5" customWidth="1"/>
    <col min="10" max="10" width="9" style="198" customWidth="1"/>
    <col min="11" max="11" width="6.375" style="198" customWidth="1"/>
    <col min="12" max="12" width="6.625" style="198" customWidth="1"/>
    <col min="13" max="14" width="9" style="198"/>
    <col min="15" max="15" width="4.375" style="198" customWidth="1"/>
    <col min="16" max="16" width="8.75" style="198" customWidth="1"/>
    <col min="17" max="17" width="6.875" style="198" customWidth="1"/>
    <col min="18" max="18" width="6.125" style="198" customWidth="1"/>
    <col min="19" max="19" width="7.625" style="198" customWidth="1"/>
    <col min="20" max="23" width="9" style="198"/>
  </cols>
  <sheetData>
    <row r="1" spans="3:23" ht="14.25" hidden="1" customHeight="1" x14ac:dyDescent="0.2"/>
    <row r="2" spans="3:23" ht="14.25" hidden="1" customHeight="1" x14ac:dyDescent="0.2"/>
    <row r="3" spans="3:23" ht="14.25" hidden="1" customHeight="1" x14ac:dyDescent="0.2"/>
    <row r="4" spans="3:23" ht="14.25" hidden="1" customHeight="1" x14ac:dyDescent="0.2"/>
    <row r="5" spans="3:23" ht="21" hidden="1" customHeight="1" thickBot="1" x14ac:dyDescent="0.35">
      <c r="C5" s="482" t="s">
        <v>159</v>
      </c>
      <c r="D5" s="482"/>
      <c r="E5" s="482"/>
      <c r="F5" s="482"/>
      <c r="G5" s="482"/>
      <c r="P5" s="476" t="s">
        <v>118</v>
      </c>
      <c r="Q5" s="476"/>
      <c r="R5" s="476"/>
      <c r="S5" s="476"/>
      <c r="T5" s="476"/>
    </row>
    <row r="6" spans="3:23" ht="15.75" hidden="1" customHeight="1" thickBot="1" x14ac:dyDescent="0.25">
      <c r="C6" s="477" t="s">
        <v>3</v>
      </c>
      <c r="D6" s="258">
        <v>80</v>
      </c>
      <c r="E6" s="232">
        <v>92</v>
      </c>
      <c r="F6" s="232">
        <v>95</v>
      </c>
      <c r="G6" s="232" t="s">
        <v>50</v>
      </c>
      <c r="J6" s="369" t="s">
        <v>3</v>
      </c>
      <c r="K6" s="231">
        <v>80</v>
      </c>
      <c r="L6" s="231">
        <v>92</v>
      </c>
      <c r="M6" s="231">
        <v>95</v>
      </c>
      <c r="N6" s="231" t="s">
        <v>50</v>
      </c>
      <c r="P6" s="369" t="s">
        <v>3</v>
      </c>
      <c r="Q6" s="479" t="s">
        <v>95</v>
      </c>
      <c r="R6" s="479" t="s">
        <v>96</v>
      </c>
      <c r="S6" s="479" t="s">
        <v>97</v>
      </c>
      <c r="T6" s="481" t="s">
        <v>98</v>
      </c>
      <c r="V6" s="369" t="s">
        <v>99</v>
      </c>
      <c r="W6" s="369" t="s">
        <v>100</v>
      </c>
    </row>
    <row r="7" spans="3:23" ht="15.75" hidden="1" customHeight="1" thickBot="1" x14ac:dyDescent="0.25">
      <c r="C7" s="478"/>
      <c r="D7" s="258" t="s">
        <v>7</v>
      </c>
      <c r="E7" s="232" t="s">
        <v>7</v>
      </c>
      <c r="F7" s="232" t="s">
        <v>7</v>
      </c>
      <c r="G7" s="232" t="s">
        <v>7</v>
      </c>
      <c r="J7" s="369"/>
      <c r="K7" s="201" t="s">
        <v>7</v>
      </c>
      <c r="L7" s="201" t="s">
        <v>7</v>
      </c>
      <c r="M7" s="201" t="s">
        <v>7</v>
      </c>
      <c r="N7" s="201" t="s">
        <v>7</v>
      </c>
      <c r="P7" s="369"/>
      <c r="Q7" s="480"/>
      <c r="R7" s="480"/>
      <c r="S7" s="480"/>
      <c r="T7" s="481"/>
      <c r="V7" s="369"/>
      <c r="W7" s="369"/>
    </row>
    <row r="8" spans="3:23" ht="16.5" hidden="1" customHeight="1" thickBot="1" x14ac:dyDescent="0.3">
      <c r="C8" s="233" t="s">
        <v>15</v>
      </c>
      <c r="D8" s="212"/>
      <c r="E8" s="197"/>
      <c r="F8" s="197"/>
      <c r="G8" s="196"/>
      <c r="J8" s="202" t="s">
        <v>15</v>
      </c>
      <c r="K8" s="234"/>
      <c r="L8" s="235">
        <f>IF(E8&gt;101,102,IF(E8&gt;84,85,IF(E8&gt;67,68,IF(E8&gt;50,51,IF(E8&gt;33,34,IF(E8&gt;16,17,0))))))</f>
        <v>0</v>
      </c>
      <c r="M8" s="235">
        <f>IF(F8&gt;101,102,IF(F8&gt;84,85,IF(F8&gt;67,68,IF(F8&gt;50,51,IF(F8&gt;33,34,IF(F8&gt;16,17,0))))))</f>
        <v>0</v>
      </c>
      <c r="N8" s="234"/>
      <c r="O8" s="236"/>
      <c r="P8" s="237" t="s">
        <v>15</v>
      </c>
      <c r="Q8" s="238">
        <f t="shared" ref="Q8:Q27" si="0">ROUNDDOWN((SUM(K8:N8)/51),0.9)</f>
        <v>0</v>
      </c>
      <c r="R8" s="239"/>
      <c r="S8" s="240"/>
      <c r="T8" s="241"/>
      <c r="V8" s="470" t="s">
        <v>101</v>
      </c>
      <c r="W8" s="473">
        <f>SUM(Q8:T15)/2</f>
        <v>0</v>
      </c>
    </row>
    <row r="9" spans="3:23" ht="16.5" hidden="1" customHeight="1" thickBot="1" x14ac:dyDescent="0.3">
      <c r="C9" s="233" t="s">
        <v>163</v>
      </c>
      <c r="D9" s="212"/>
      <c r="E9" s="197"/>
      <c r="F9" s="197"/>
      <c r="G9" s="196"/>
      <c r="J9" s="202" t="s">
        <v>163</v>
      </c>
      <c r="K9" s="234"/>
      <c r="L9" s="235"/>
      <c r="M9" s="235"/>
      <c r="N9" s="234"/>
      <c r="O9" s="236"/>
      <c r="P9" s="250" t="s">
        <v>163</v>
      </c>
      <c r="Q9" s="238">
        <f t="shared" si="0"/>
        <v>0</v>
      </c>
      <c r="R9" s="252"/>
      <c r="S9" s="253"/>
      <c r="T9" s="254"/>
      <c r="V9" s="471"/>
      <c r="W9" s="474"/>
    </row>
    <row r="10" spans="3:23" ht="17.25" hidden="1" customHeight="1" thickTop="1" thickBot="1" x14ac:dyDescent="0.3">
      <c r="C10" s="233" t="s">
        <v>16</v>
      </c>
      <c r="D10" s="213"/>
      <c r="E10" s="197"/>
      <c r="F10" s="197"/>
      <c r="G10" s="197"/>
      <c r="J10" s="202" t="s">
        <v>16</v>
      </c>
      <c r="K10" s="235">
        <f t="shared" ref="K10:M25" si="1">IF(D10&gt;101,102,IF(D10&gt;84,85,IF(D10&gt;67,68,IF(D10&gt;50,51,IF(D10&gt;33,34,IF(D10&gt;16,17,0))))))</f>
        <v>0</v>
      </c>
      <c r="L10" s="235">
        <f t="shared" si="1"/>
        <v>0</v>
      </c>
      <c r="M10" s="235">
        <f>IF(F10&gt;101,102,IF(F10&gt;84,85,IF(F10&gt;67,68,IF(F10&gt;50,51,IF(F10&gt;33,34,IF(F10&gt;16,17,0))))))</f>
        <v>0</v>
      </c>
      <c r="N10" s="235">
        <f t="shared" ref="N10:N27" si="2">IF(G10&gt;101,102,IF(G10&gt;84,85,IF(G10&gt;67,68,IF(G10&gt;50,51,IF(G10&gt;33,34,IF(G10&gt;16,17,0))))))</f>
        <v>0</v>
      </c>
      <c r="O10" s="236"/>
      <c r="P10" s="242" t="s">
        <v>16</v>
      </c>
      <c r="Q10" s="243">
        <f t="shared" si="0"/>
        <v>0</v>
      </c>
      <c r="R10" s="462">
        <f>IF((ROUNDDOWN((SUM(L10:L11)/51)-(Q10+Q11),0.9))&lt;0,0,(ROUNDDOWN((SUM(L10:L11)/51)-(Q10+Q11),0.9)))</f>
        <v>0</v>
      </c>
      <c r="S10" s="462">
        <f>IF((ROUNDDOWN((SUM(N10:N11)/51)-(Q10+Q11),0.9))&lt;0,0,(ROUNDDOWN((SUM(N10:N11)/51)-(Q10+Q11),0.9)))</f>
        <v>0</v>
      </c>
      <c r="T10" s="462">
        <f>IF((ROUNDDOWN((SUM(K10:N11)/51)-(Q10+Q11+R10+S10),0.9))&lt;0,0,ROUNDDOWN((SUM(K10:N11)/51)-(Q10+Q11+R10+S10),0.9))</f>
        <v>0</v>
      </c>
      <c r="V10" s="471"/>
      <c r="W10" s="474"/>
    </row>
    <row r="11" spans="3:23" ht="16.5" hidden="1" customHeight="1" thickBot="1" x14ac:dyDescent="0.3">
      <c r="C11" s="233" t="s">
        <v>17</v>
      </c>
      <c r="D11" s="213"/>
      <c r="E11" s="197"/>
      <c r="F11" s="197"/>
      <c r="G11" s="196"/>
      <c r="J11" s="202" t="s">
        <v>17</v>
      </c>
      <c r="K11" s="235">
        <f t="shared" si="1"/>
        <v>0</v>
      </c>
      <c r="L11" s="235">
        <f t="shared" si="1"/>
        <v>0</v>
      </c>
      <c r="M11" s="235">
        <f>IF(F11&gt;101,102,IF(F11&gt;84,85,IF(F11&gt;67,68,IF(F11&gt;50,51,IF(F11&gt;33,34,IF(F11&gt;16,17,0))))))</f>
        <v>0</v>
      </c>
      <c r="N11" s="234"/>
      <c r="O11" s="236"/>
      <c r="P11" s="244" t="s">
        <v>17</v>
      </c>
      <c r="Q11" s="245">
        <f t="shared" si="0"/>
        <v>0</v>
      </c>
      <c r="R11" s="463"/>
      <c r="S11" s="463"/>
      <c r="T11" s="463"/>
      <c r="V11" s="471"/>
      <c r="W11" s="474"/>
    </row>
    <row r="12" spans="3:23" ht="17.25" hidden="1" customHeight="1" thickTop="1" thickBot="1" x14ac:dyDescent="0.3">
      <c r="C12" s="233" t="s">
        <v>18</v>
      </c>
      <c r="D12" s="213"/>
      <c r="E12" s="197"/>
      <c r="F12" s="196"/>
      <c r="G12" s="197"/>
      <c r="J12" s="202" t="s">
        <v>18</v>
      </c>
      <c r="K12" s="235">
        <f t="shared" si="1"/>
        <v>0</v>
      </c>
      <c r="L12" s="235">
        <f t="shared" si="1"/>
        <v>0</v>
      </c>
      <c r="M12" s="234"/>
      <c r="N12" s="235">
        <f t="shared" si="2"/>
        <v>0</v>
      </c>
      <c r="O12" s="236"/>
      <c r="P12" s="246" t="s">
        <v>18</v>
      </c>
      <c r="Q12" s="247">
        <f t="shared" si="0"/>
        <v>0</v>
      </c>
      <c r="R12" s="466">
        <f>IF((ROUNDDOWN((SUM(L12:L13)/51)-(Q12+Q13),0.9))&lt;0,0,(ROUNDDOWN((SUM(L12:L13)/51)-(Q12+Q13),0.9)))</f>
        <v>0</v>
      </c>
      <c r="S12" s="466">
        <f t="shared" ref="S12" si="3">IF((ROUNDDOWN((SUM(N12:N13)/51)-(Q12+Q13),0.9))&lt;0,0,(ROUNDDOWN((SUM(N12:N13)/51)-(Q12+Q13),0.9)))</f>
        <v>0</v>
      </c>
      <c r="T12" s="466">
        <f t="shared" ref="T12" si="4">IF((ROUNDDOWN((SUM(K12:N13)/51)-(Q12+Q13+R12+S12),0.9))&lt;0,0,ROUNDDOWN((SUM(K12:N13)/51)-(Q12+Q13+R12+S12),0.9))</f>
        <v>0</v>
      </c>
      <c r="V12" s="471"/>
      <c r="W12" s="474"/>
    </row>
    <row r="13" spans="3:23" ht="16.5" hidden="1" customHeight="1" thickBot="1" x14ac:dyDescent="0.3">
      <c r="C13" s="233" t="s">
        <v>19</v>
      </c>
      <c r="D13" s="213"/>
      <c r="E13" s="197"/>
      <c r="F13" s="196"/>
      <c r="G13" s="197"/>
      <c r="J13" s="202" t="s">
        <v>19</v>
      </c>
      <c r="K13" s="235">
        <f t="shared" si="1"/>
        <v>0</v>
      </c>
      <c r="L13" s="235">
        <f t="shared" si="1"/>
        <v>0</v>
      </c>
      <c r="M13" s="234"/>
      <c r="N13" s="235">
        <f t="shared" si="2"/>
        <v>0</v>
      </c>
      <c r="O13" s="236"/>
      <c r="P13" s="248" t="s">
        <v>19</v>
      </c>
      <c r="Q13" s="249">
        <f t="shared" si="0"/>
        <v>0</v>
      </c>
      <c r="R13" s="466"/>
      <c r="S13" s="466"/>
      <c r="T13" s="466"/>
      <c r="V13" s="471"/>
      <c r="W13" s="474"/>
    </row>
    <row r="14" spans="3:23" ht="17.25" hidden="1" customHeight="1" thickTop="1" thickBot="1" x14ac:dyDescent="0.3">
      <c r="C14" s="233" t="s">
        <v>20</v>
      </c>
      <c r="D14" s="212"/>
      <c r="E14" s="197"/>
      <c r="F14" s="197"/>
      <c r="G14" s="196"/>
      <c r="J14" s="202" t="s">
        <v>20</v>
      </c>
      <c r="K14" s="234"/>
      <c r="L14" s="235">
        <f t="shared" si="1"/>
        <v>0</v>
      </c>
      <c r="M14" s="235">
        <f t="shared" si="1"/>
        <v>0</v>
      </c>
      <c r="N14" s="234"/>
      <c r="O14" s="236"/>
      <c r="P14" s="242" t="s">
        <v>20</v>
      </c>
      <c r="Q14" s="243">
        <f t="shared" si="0"/>
        <v>0</v>
      </c>
      <c r="R14" s="462">
        <f>IF((ROUNDDOWN((SUM(L14:L15)/51)-(Q14+Q15),0.9))&lt;0,0,(ROUNDDOWN((SUM(L14:L15)/51)-(Q14+Q15),0.9)))</f>
        <v>0</v>
      </c>
      <c r="S14" s="462">
        <f t="shared" ref="S14" si="5">IF((ROUNDDOWN((SUM(N14:N15)/51)-(Q14+Q15),0.9))&lt;0,0,(ROUNDDOWN((SUM(N14:N15)/51)-(Q14+Q15),0.9)))</f>
        <v>0</v>
      </c>
      <c r="T14" s="462">
        <f t="shared" ref="T14" si="6">IF((ROUNDDOWN((SUM(K14:N15)/51)-(Q14+Q15+R14+S14),0.9))&lt;0,0,ROUNDDOWN((SUM(K14:N15)/51)-(Q14+Q15+R14+S14),0.9))</f>
        <v>0</v>
      </c>
      <c r="V14" s="471"/>
      <c r="W14" s="474"/>
    </row>
    <row r="15" spans="3:23" ht="16.5" hidden="1" customHeight="1" thickBot="1" x14ac:dyDescent="0.3">
      <c r="C15" s="233" t="s">
        <v>21</v>
      </c>
      <c r="D15" s="212"/>
      <c r="E15" s="197"/>
      <c r="F15" s="197"/>
      <c r="G15" s="197"/>
      <c r="J15" s="202" t="s">
        <v>21</v>
      </c>
      <c r="K15" s="234"/>
      <c r="L15" s="235">
        <f t="shared" si="1"/>
        <v>0</v>
      </c>
      <c r="M15" s="235">
        <f t="shared" si="1"/>
        <v>0</v>
      </c>
      <c r="N15" s="235">
        <f t="shared" si="2"/>
        <v>0</v>
      </c>
      <c r="O15" s="236"/>
      <c r="P15" s="244" t="s">
        <v>21</v>
      </c>
      <c r="Q15" s="245">
        <f t="shared" si="0"/>
        <v>0</v>
      </c>
      <c r="R15" s="463"/>
      <c r="S15" s="463"/>
      <c r="T15" s="463"/>
      <c r="V15" s="472"/>
      <c r="W15" s="475"/>
    </row>
    <row r="16" spans="3:23" ht="16.5" hidden="1" customHeight="1" thickBot="1" x14ac:dyDescent="0.3">
      <c r="C16" s="233" t="s">
        <v>22</v>
      </c>
      <c r="D16" s="212"/>
      <c r="E16" s="197"/>
      <c r="F16" s="197"/>
      <c r="G16" s="197"/>
      <c r="J16" s="202" t="s">
        <v>22</v>
      </c>
      <c r="K16" s="234"/>
      <c r="L16" s="235">
        <f t="shared" si="1"/>
        <v>0</v>
      </c>
      <c r="M16" s="235">
        <f t="shared" si="1"/>
        <v>0</v>
      </c>
      <c r="N16" s="235">
        <f t="shared" si="2"/>
        <v>0</v>
      </c>
      <c r="O16" s="236"/>
      <c r="P16" s="250" t="s">
        <v>22</v>
      </c>
      <c r="Q16" s="251">
        <f t="shared" si="0"/>
        <v>0</v>
      </c>
      <c r="R16" s="252"/>
      <c r="S16" s="253"/>
      <c r="T16" s="254"/>
      <c r="V16" s="464" t="s">
        <v>85</v>
      </c>
      <c r="W16" s="465">
        <f>SUM(Q16:T19)/2</f>
        <v>0</v>
      </c>
    </row>
    <row r="17" spans="3:23" ht="17.25" hidden="1" customHeight="1" thickTop="1" thickBot="1" x14ac:dyDescent="0.3">
      <c r="C17" s="233" t="s">
        <v>23</v>
      </c>
      <c r="D17" s="212"/>
      <c r="E17" s="197"/>
      <c r="F17" s="197"/>
      <c r="G17" s="197"/>
      <c r="J17" s="202" t="s">
        <v>23</v>
      </c>
      <c r="K17" s="234"/>
      <c r="L17" s="235">
        <f t="shared" si="1"/>
        <v>0</v>
      </c>
      <c r="M17" s="235">
        <f t="shared" si="1"/>
        <v>0</v>
      </c>
      <c r="N17" s="235">
        <f t="shared" si="2"/>
        <v>0</v>
      </c>
      <c r="O17" s="236"/>
      <c r="P17" s="246" t="s">
        <v>23</v>
      </c>
      <c r="Q17" s="247">
        <f t="shared" si="0"/>
        <v>0</v>
      </c>
      <c r="R17" s="468">
        <f>IF((ROUNDDOWN((SUM(L17:L18)/51)-(Q17+Q18),0.9))&lt;0,0,(ROUNDDOWN((SUM(L17:L18)/51)-(Q17+Q18),0.9)))</f>
        <v>0</v>
      </c>
      <c r="S17" s="468">
        <f>IF((ROUNDDOWN((SUM(N17:N18)/51)-(Q17+Q18),0.9))&lt;0,0,(ROUNDDOWN((SUM(N17:N18)/51)-(Q17+Q18),0.9)))</f>
        <v>0</v>
      </c>
      <c r="T17" s="468">
        <f>IF((ROUNDDOWN((SUM(K17:N18)/51)-(Q17+Q18+R17+S17),0.9))&lt;0,0,ROUNDDOWN((SUM(K17:N18)/51)-(Q17+Q18+R17+S17),0.9))</f>
        <v>0</v>
      </c>
      <c r="V17" s="464"/>
      <c r="W17" s="465"/>
    </row>
    <row r="18" spans="3:23" ht="16.5" hidden="1" customHeight="1" thickBot="1" x14ac:dyDescent="0.3">
      <c r="C18" s="233" t="s">
        <v>24</v>
      </c>
      <c r="D18" s="212"/>
      <c r="E18" s="197"/>
      <c r="F18" s="197"/>
      <c r="G18" s="196"/>
      <c r="J18" s="202" t="s">
        <v>24</v>
      </c>
      <c r="K18" s="234"/>
      <c r="L18" s="235">
        <f t="shared" si="1"/>
        <v>0</v>
      </c>
      <c r="M18" s="235">
        <f t="shared" si="1"/>
        <v>0</v>
      </c>
      <c r="N18" s="234"/>
      <c r="O18" s="236"/>
      <c r="P18" s="248" t="s">
        <v>24</v>
      </c>
      <c r="Q18" s="249">
        <f t="shared" si="0"/>
        <v>0</v>
      </c>
      <c r="R18" s="469"/>
      <c r="S18" s="469"/>
      <c r="T18" s="469"/>
      <c r="V18" s="464"/>
      <c r="W18" s="465"/>
    </row>
    <row r="19" spans="3:23" ht="16.5" hidden="1" customHeight="1" thickBot="1" x14ac:dyDescent="0.3">
      <c r="C19" s="233" t="s">
        <v>26</v>
      </c>
      <c r="D19" s="212"/>
      <c r="E19" s="197"/>
      <c r="F19" s="197"/>
      <c r="G19" s="197"/>
      <c r="J19" s="202" t="s">
        <v>26</v>
      </c>
      <c r="K19" s="234"/>
      <c r="L19" s="235">
        <f t="shared" si="1"/>
        <v>0</v>
      </c>
      <c r="M19" s="235">
        <f t="shared" si="1"/>
        <v>0</v>
      </c>
      <c r="N19" s="235">
        <f t="shared" si="2"/>
        <v>0</v>
      </c>
      <c r="O19" s="236"/>
      <c r="P19" s="250" t="s">
        <v>26</v>
      </c>
      <c r="Q19" s="251">
        <f t="shared" si="0"/>
        <v>0</v>
      </c>
      <c r="R19" s="252"/>
      <c r="S19" s="253"/>
      <c r="T19" s="255"/>
      <c r="V19" s="464"/>
      <c r="W19" s="465"/>
    </row>
    <row r="20" spans="3:23" ht="17.25" hidden="1" customHeight="1" thickTop="1" thickBot="1" x14ac:dyDescent="0.3">
      <c r="C20" s="233" t="s">
        <v>25</v>
      </c>
      <c r="D20" s="212"/>
      <c r="E20" s="197"/>
      <c r="F20" s="197"/>
      <c r="G20" s="197"/>
      <c r="J20" s="202" t="s">
        <v>25</v>
      </c>
      <c r="K20" s="234"/>
      <c r="L20" s="235">
        <f t="shared" si="1"/>
        <v>0</v>
      </c>
      <c r="M20" s="235">
        <f t="shared" si="1"/>
        <v>0</v>
      </c>
      <c r="N20" s="235">
        <f t="shared" si="2"/>
        <v>0</v>
      </c>
      <c r="O20" s="236"/>
      <c r="P20" s="242" t="s">
        <v>25</v>
      </c>
      <c r="Q20" s="243">
        <f t="shared" si="0"/>
        <v>0</v>
      </c>
      <c r="R20" s="462">
        <f>IF((ROUNDDOWN((SUM(L20:L21)/51)-(Q20+Q21),0.9))&lt;0,0,(ROUNDDOWN((SUM(L20:L21)/51)-(Q20+Q21),0.9)))</f>
        <v>0</v>
      </c>
      <c r="S20" s="462">
        <f>IF((ROUNDDOWN((SUM(N20:N21)/51)-(Q20+Q21),0.9))&lt;0,0,(ROUNDDOWN((SUM(N20:N21)/51)-(Q20+Q21),0.9)))</f>
        <v>0</v>
      </c>
      <c r="T20" s="462">
        <f>IF((ROUNDDOWN((SUM(K20:N21)/51)-(Q20+Q21+R20+S20),0.9))&lt;0,0,ROUNDDOWN((SUM(K20:N21)/51)-(Q20+Q21+R20+S20),0.9))</f>
        <v>0</v>
      </c>
      <c r="V20" s="464" t="s">
        <v>102</v>
      </c>
      <c r="W20" s="465">
        <f>SUM(Q20:T23)/2</f>
        <v>0</v>
      </c>
    </row>
    <row r="21" spans="3:23" ht="16.5" hidden="1" customHeight="1" thickBot="1" x14ac:dyDescent="0.3">
      <c r="C21" s="233" t="s">
        <v>27</v>
      </c>
      <c r="D21" s="212"/>
      <c r="E21" s="197"/>
      <c r="F21" s="197"/>
      <c r="G21" s="196"/>
      <c r="J21" s="202" t="s">
        <v>27</v>
      </c>
      <c r="K21" s="234"/>
      <c r="L21" s="235">
        <f t="shared" si="1"/>
        <v>0</v>
      </c>
      <c r="M21" s="235">
        <f t="shared" si="1"/>
        <v>0</v>
      </c>
      <c r="N21" s="234"/>
      <c r="O21" s="236"/>
      <c r="P21" s="244" t="s">
        <v>27</v>
      </c>
      <c r="Q21" s="245">
        <f t="shared" si="0"/>
        <v>0</v>
      </c>
      <c r="R21" s="463"/>
      <c r="S21" s="463"/>
      <c r="T21" s="463"/>
      <c r="V21" s="464"/>
      <c r="W21" s="465"/>
    </row>
    <row r="22" spans="3:23" ht="17.25" hidden="1" customHeight="1" thickTop="1" thickBot="1" x14ac:dyDescent="0.3">
      <c r="C22" s="233" t="s">
        <v>28</v>
      </c>
      <c r="D22" s="213"/>
      <c r="E22" s="197"/>
      <c r="F22" s="196"/>
      <c r="G22" s="197"/>
      <c r="J22" s="202" t="s">
        <v>28</v>
      </c>
      <c r="K22" s="235">
        <f t="shared" si="1"/>
        <v>0</v>
      </c>
      <c r="L22" s="235">
        <f t="shared" si="1"/>
        <v>0</v>
      </c>
      <c r="M22" s="234"/>
      <c r="N22" s="235">
        <f t="shared" si="2"/>
        <v>0</v>
      </c>
      <c r="O22" s="236"/>
      <c r="P22" s="246" t="s">
        <v>28</v>
      </c>
      <c r="Q22" s="247">
        <f t="shared" si="0"/>
        <v>0</v>
      </c>
      <c r="R22" s="466">
        <f>IF((ROUNDDOWN((SUM(L22:L23)/51)-(Q22+Q23),0.9))&lt;0,0,(ROUNDDOWN((SUM(L22:L23)/51)-(Q22+Q23),0.9)))</f>
        <v>0</v>
      </c>
      <c r="S22" s="468">
        <f>IF((ROUNDDOWN((SUM(N22:N23)/51)-(Q22+Q23),0.9))&lt;0,0,(ROUNDDOWN((SUM(N22:N23)/51)-(Q22+Q23),0.9)))</f>
        <v>0</v>
      </c>
      <c r="T22" s="468">
        <f t="shared" ref="T22" si="7">IF((ROUNDDOWN((SUM(K22:N23)/51)-(Q22+Q23+R22+S22),0.9))&lt;0,0,ROUNDDOWN((SUM(K22:N23)/51)-(Q22+Q23+R22+S22),0.9))</f>
        <v>0</v>
      </c>
      <c r="V22" s="464"/>
      <c r="W22" s="465"/>
    </row>
    <row r="23" spans="3:23" ht="16.5" hidden="1" customHeight="1" thickBot="1" x14ac:dyDescent="0.3">
      <c r="C23" s="233" t="s">
        <v>29</v>
      </c>
      <c r="D23" s="212"/>
      <c r="E23" s="197"/>
      <c r="F23" s="196"/>
      <c r="G23" s="197"/>
      <c r="J23" s="202" t="s">
        <v>29</v>
      </c>
      <c r="K23" s="234"/>
      <c r="L23" s="235">
        <f t="shared" si="1"/>
        <v>0</v>
      </c>
      <c r="M23" s="234"/>
      <c r="N23" s="235">
        <f t="shared" si="2"/>
        <v>0</v>
      </c>
      <c r="O23" s="236"/>
      <c r="P23" s="248" t="s">
        <v>29</v>
      </c>
      <c r="Q23" s="249">
        <f t="shared" si="0"/>
        <v>0</v>
      </c>
      <c r="R23" s="466"/>
      <c r="S23" s="469"/>
      <c r="T23" s="469"/>
      <c r="V23" s="464"/>
      <c r="W23" s="465"/>
    </row>
    <row r="24" spans="3:23" ht="17.25" hidden="1" customHeight="1" thickTop="1" thickBot="1" x14ac:dyDescent="0.3">
      <c r="C24" s="233" t="s">
        <v>30</v>
      </c>
      <c r="D24" s="212"/>
      <c r="E24" s="197"/>
      <c r="F24" s="197"/>
      <c r="G24" s="197"/>
      <c r="J24" s="202" t="s">
        <v>30</v>
      </c>
      <c r="K24" s="234"/>
      <c r="L24" s="235">
        <f t="shared" si="1"/>
        <v>0</v>
      </c>
      <c r="M24" s="235">
        <f>IF(F24&gt;101,102,IF(F24&gt;84,85,IF(F24&gt;67,68,IF(F24&gt;50,51,IF(F24&gt;33,34,IF(F24&gt;16,17,0))))))</f>
        <v>0</v>
      </c>
      <c r="N24" s="235">
        <f t="shared" si="2"/>
        <v>0</v>
      </c>
      <c r="O24" s="236"/>
      <c r="P24" s="242" t="s">
        <v>30</v>
      </c>
      <c r="Q24" s="243">
        <f t="shared" si="0"/>
        <v>0</v>
      </c>
      <c r="R24" s="462">
        <f>IF((ROUNDDOWN((SUM(L24:L25)/51)-(Q24+Q25),0.9))&lt;0,0,(ROUNDDOWN((SUM(L24:L25)/51)-(Q24+Q25),0.9)))</f>
        <v>0</v>
      </c>
      <c r="S24" s="462">
        <f>IF((ROUNDDOWN((SUM(N24:N25)/51)-(Q24+Q25),0.9))&lt;0,0,(ROUNDDOWN((SUM(N24:N25)/51)-(Q24+Q25),0.9)))</f>
        <v>0</v>
      </c>
      <c r="T24" s="462">
        <f t="shared" ref="T24" si="8">IF((ROUNDDOWN((SUM(K24:N25)/51)-(Q24+Q25+R24+S24),0.9))&lt;0,0,ROUNDDOWN((SUM(K24:N25)/51)-(Q24+Q25+R24+S24),0.9))</f>
        <v>0</v>
      </c>
      <c r="V24" s="464" t="s">
        <v>90</v>
      </c>
      <c r="W24" s="465">
        <f>SUM(Q24:T27)/2</f>
        <v>0</v>
      </c>
    </row>
    <row r="25" spans="3:23" ht="16.5" hidden="1" customHeight="1" thickBot="1" x14ac:dyDescent="0.3">
      <c r="C25" s="233" t="s">
        <v>31</v>
      </c>
      <c r="D25" s="212"/>
      <c r="E25" s="197"/>
      <c r="F25" s="197"/>
      <c r="G25" s="197"/>
      <c r="J25" s="202" t="s">
        <v>31</v>
      </c>
      <c r="K25" s="234"/>
      <c r="L25" s="235">
        <f t="shared" si="1"/>
        <v>0</v>
      </c>
      <c r="M25" s="235">
        <f>IF(F25&gt;101,102,IF(F25&gt;84,85,IF(F25&gt;67,68,IF(F25&gt;50,51,IF(F25&gt;33,34,IF(F25&gt;16,17,0))))))</f>
        <v>0</v>
      </c>
      <c r="N25" s="235">
        <f t="shared" si="2"/>
        <v>0</v>
      </c>
      <c r="O25" s="236"/>
      <c r="P25" s="244" t="s">
        <v>31</v>
      </c>
      <c r="Q25" s="245">
        <f t="shared" si="0"/>
        <v>0</v>
      </c>
      <c r="R25" s="463"/>
      <c r="S25" s="463"/>
      <c r="T25" s="463"/>
      <c r="V25" s="464"/>
      <c r="W25" s="465"/>
    </row>
    <row r="26" spans="3:23" ht="17.25" hidden="1" customHeight="1" thickTop="1" thickBot="1" x14ac:dyDescent="0.3">
      <c r="C26" s="233" t="s">
        <v>32</v>
      </c>
      <c r="D26" s="212"/>
      <c r="E26" s="197"/>
      <c r="F26" s="197"/>
      <c r="G26" s="197"/>
      <c r="J26" s="202" t="s">
        <v>32</v>
      </c>
      <c r="K26" s="234"/>
      <c r="L26" s="235">
        <f t="shared" ref="L26:L27" si="9">IF(E26&gt;101,102,IF(E26&gt;84,85,IF(E26&gt;67,68,IF(E26&gt;50,51,IF(E26&gt;33,34,IF(E26&gt;16,17,0))))))</f>
        <v>0</v>
      </c>
      <c r="M26" s="235">
        <f>IF(F26&gt;101,102,IF(F26&gt;84,85,IF(F26&gt;67,68,IF(F26&gt;50,51,IF(F26&gt;33,34,IF(F26&gt;16,17,0))))))</f>
        <v>0</v>
      </c>
      <c r="N26" s="235">
        <f t="shared" si="2"/>
        <v>0</v>
      </c>
      <c r="O26" s="236"/>
      <c r="P26" s="246" t="s">
        <v>32</v>
      </c>
      <c r="Q26" s="247">
        <f t="shared" si="0"/>
        <v>0</v>
      </c>
      <c r="R26" s="466">
        <f>IF((ROUNDDOWN((SUM(L26:L27)/51)-(Q26+Q27),0.9))&lt;0,0,(ROUNDDOWN((SUM(L26:L27)/51)-(Q26+Q27),0.9)))</f>
        <v>0</v>
      </c>
      <c r="S26" s="466">
        <f>IF((ROUNDDOWN((SUM(N26:N27)/51)-(Q26+Q27),0.9))&lt;0,0,(ROUNDDOWN((SUM(N26:N27)/51)-(Q26+Q27),0.9)))</f>
        <v>0</v>
      </c>
      <c r="T26" s="466">
        <f t="shared" ref="T26" si="10">IF((ROUNDDOWN((SUM(K26:N27)/51)-(Q26+Q27+R26+S26),0.9))&lt;0,0,ROUNDDOWN((SUM(K26:N27)/51)-(Q26+Q27+R26+S26),0.9))</f>
        <v>0</v>
      </c>
      <c r="V26" s="464"/>
      <c r="W26" s="465"/>
    </row>
    <row r="27" spans="3:23" ht="16.5" hidden="1" customHeight="1" thickBot="1" x14ac:dyDescent="0.3">
      <c r="C27" s="233" t="s">
        <v>33</v>
      </c>
      <c r="D27" s="212"/>
      <c r="E27" s="197"/>
      <c r="F27" s="197"/>
      <c r="G27" s="197"/>
      <c r="J27" s="202" t="s">
        <v>33</v>
      </c>
      <c r="K27" s="234"/>
      <c r="L27" s="235">
        <f t="shared" si="9"/>
        <v>0</v>
      </c>
      <c r="M27" s="235">
        <f>IF(F27&gt;101,102,IF(F27&gt;84,85,IF(F27&gt;67,68,IF(F27&gt;50,51,IF(F27&gt;33,34,IF(F27&gt;16,17,0))))))</f>
        <v>0</v>
      </c>
      <c r="N27" s="235">
        <f t="shared" si="2"/>
        <v>0</v>
      </c>
      <c r="O27" s="236"/>
      <c r="P27" s="256" t="s">
        <v>33</v>
      </c>
      <c r="Q27" s="257">
        <f t="shared" si="0"/>
        <v>0</v>
      </c>
      <c r="R27" s="467"/>
      <c r="S27" s="467"/>
      <c r="T27" s="467"/>
      <c r="V27" s="464"/>
      <c r="W27" s="465"/>
    </row>
    <row r="28" spans="3:23" ht="14.25" hidden="1" customHeight="1" x14ac:dyDescent="0.2"/>
    <row r="29" spans="3:23" ht="21" thickBot="1" x14ac:dyDescent="0.35">
      <c r="C29" s="482"/>
      <c r="D29" s="482"/>
      <c r="E29" s="482"/>
      <c r="F29" s="482"/>
      <c r="G29" s="482"/>
      <c r="P29" s="476" t="s">
        <v>118</v>
      </c>
      <c r="Q29" s="476"/>
      <c r="R29" s="476"/>
      <c r="S29" s="476"/>
      <c r="T29" s="476"/>
    </row>
    <row r="30" spans="3:23" ht="15.75" thickBot="1" x14ac:dyDescent="0.25">
      <c r="C30" s="477" t="s">
        <v>3</v>
      </c>
      <c r="D30" s="258">
        <v>80</v>
      </c>
      <c r="E30" s="232">
        <v>92</v>
      </c>
      <c r="F30" s="232">
        <v>95</v>
      </c>
      <c r="G30" s="232" t="s">
        <v>50</v>
      </c>
      <c r="J30" s="369" t="s">
        <v>3</v>
      </c>
      <c r="K30" s="231">
        <v>80</v>
      </c>
      <c r="L30" s="231">
        <v>92</v>
      </c>
      <c r="M30" s="231">
        <v>95</v>
      </c>
      <c r="N30" s="231" t="s">
        <v>50</v>
      </c>
      <c r="P30" s="369" t="s">
        <v>3</v>
      </c>
      <c r="Q30" s="479" t="s">
        <v>95</v>
      </c>
      <c r="R30" s="479" t="s">
        <v>96</v>
      </c>
      <c r="S30" s="479" t="s">
        <v>97</v>
      </c>
      <c r="T30" s="481" t="s">
        <v>98</v>
      </c>
      <c r="V30" s="369" t="s">
        <v>99</v>
      </c>
      <c r="W30" s="369" t="s">
        <v>100</v>
      </c>
    </row>
    <row r="31" spans="3:23" ht="15.75" thickBot="1" x14ac:dyDescent="0.25">
      <c r="C31" s="478"/>
      <c r="D31" s="258" t="s">
        <v>7</v>
      </c>
      <c r="E31" s="232" t="s">
        <v>7</v>
      </c>
      <c r="F31" s="232" t="s">
        <v>7</v>
      </c>
      <c r="G31" s="232" t="s">
        <v>7</v>
      </c>
      <c r="J31" s="369"/>
      <c r="K31" s="201" t="s">
        <v>7</v>
      </c>
      <c r="L31" s="201" t="s">
        <v>7</v>
      </c>
      <c r="M31" s="201" t="s">
        <v>7</v>
      </c>
      <c r="N31" s="201" t="s">
        <v>7</v>
      </c>
      <c r="P31" s="369"/>
      <c r="Q31" s="480"/>
      <c r="R31" s="480"/>
      <c r="S31" s="480"/>
      <c r="T31" s="481"/>
      <c r="V31" s="369"/>
      <c r="W31" s="369"/>
    </row>
    <row r="32" spans="3:23" ht="16.5" thickBot="1" x14ac:dyDescent="0.3">
      <c r="C32" s="233" t="s">
        <v>15</v>
      </c>
      <c r="D32" s="295"/>
      <c r="E32" s="194">
        <f>'التمام الصباحي'!K8+'التمام الصباحي'!M8</f>
        <v>45</v>
      </c>
      <c r="F32" s="194">
        <f>'التمام الصباحي'!Q8+'التمام الصباحي'!S8</f>
        <v>14</v>
      </c>
      <c r="G32" s="291"/>
      <c r="J32" s="233" t="s">
        <v>15</v>
      </c>
      <c r="K32" s="234"/>
      <c r="L32" s="235">
        <f>IF(E32&gt;101,102,IF(E32&gt;84,85,IF(E32&gt;67,68,IF(E32&gt;50,51,IF(E32&gt;33,34,IF(E32&gt;16,17,0))))))</f>
        <v>34</v>
      </c>
      <c r="M32" s="235">
        <f>IF(F32&gt;101,102,IF(F32&gt;84,85,IF(F32&gt;67,68,IF(F32&gt;50,51,IF(F32&gt;33,34,IF(F32&gt;16,17,0))))))</f>
        <v>0</v>
      </c>
      <c r="N32" s="234"/>
      <c r="O32" s="236"/>
      <c r="P32" s="237" t="s">
        <v>15</v>
      </c>
      <c r="Q32" s="238">
        <f t="shared" ref="Q32:Q51" si="11">ROUNDDOWN((SUM(K32:N32)/51),0.9)</f>
        <v>0</v>
      </c>
      <c r="R32" s="239"/>
      <c r="S32" s="240"/>
      <c r="T32" s="241"/>
      <c r="V32" s="470" t="s">
        <v>101</v>
      </c>
      <c r="W32" s="473">
        <f>SUM(Q32:T39)/3</f>
        <v>3.3333333333333335</v>
      </c>
    </row>
    <row r="33" spans="2:23" ht="16.5" thickBot="1" x14ac:dyDescent="0.3">
      <c r="C33" s="233" t="s">
        <v>163</v>
      </c>
      <c r="D33" s="295"/>
      <c r="E33" s="194">
        <f>'التمام الصباحي'!K9+'التمام الصباحي'!M9</f>
        <v>29</v>
      </c>
      <c r="F33" s="194">
        <f>'التمام الصباحي'!Q9+'التمام الصباحي'!S9</f>
        <v>20</v>
      </c>
      <c r="G33" s="291"/>
      <c r="J33" s="233" t="s">
        <v>163</v>
      </c>
      <c r="K33" s="234"/>
      <c r="L33" s="235">
        <f t="shared" ref="L33:L58" si="12">IF(E33&gt;101,102,IF(E33&gt;84,85,IF(E33&gt;67,68,IF(E33&gt;50,51,IF(E33&gt;33,34,IF(E33&gt;16,17,0))))))</f>
        <v>17</v>
      </c>
      <c r="M33" s="235">
        <f t="shared" ref="M33:N58" si="13">IF(F33&gt;101,102,IF(F33&gt;84,85,IF(F33&gt;67,68,IF(F33&gt;50,51,IF(F33&gt;33,34,IF(F33&gt;16,17,0))))))</f>
        <v>17</v>
      </c>
      <c r="N33" s="234"/>
      <c r="O33" s="236"/>
      <c r="P33" s="250" t="s">
        <v>163</v>
      </c>
      <c r="Q33" s="238">
        <f t="shared" si="11"/>
        <v>0</v>
      </c>
      <c r="R33" s="252"/>
      <c r="S33" s="253"/>
      <c r="T33" s="254"/>
      <c r="V33" s="471"/>
      <c r="W33" s="474"/>
    </row>
    <row r="34" spans="2:23" ht="17.25" thickTop="1" thickBot="1" x14ac:dyDescent="0.3">
      <c r="C34" s="233" t="s">
        <v>158</v>
      </c>
      <c r="D34" s="194">
        <f>'التمام الصباحي'!E10+'التمام الصباحي'!G10</f>
        <v>66</v>
      </c>
      <c r="E34" s="194">
        <f>'التمام الصباحي'!K10+'التمام الصباحي'!M10</f>
        <v>53</v>
      </c>
      <c r="F34" s="194">
        <f>'التمام الصباحي'!Q10+'التمام الصباحي'!S10</f>
        <v>17.5</v>
      </c>
      <c r="G34" s="354"/>
      <c r="J34" s="233" t="s">
        <v>158</v>
      </c>
      <c r="K34" s="235">
        <f>IF(D34&gt;101,102,IF(D34&gt;84,85,IF(D34&gt;67,68,IF(D34&gt;50,51,IF(D34&gt;33,34,IF(D34&gt;16,17,0))))))</f>
        <v>51</v>
      </c>
      <c r="L34" s="235">
        <f t="shared" si="12"/>
        <v>51</v>
      </c>
      <c r="M34" s="235">
        <f t="shared" si="13"/>
        <v>17</v>
      </c>
      <c r="N34" s="234"/>
      <c r="O34" s="236"/>
      <c r="P34" s="242" t="s">
        <v>16</v>
      </c>
      <c r="Q34" s="243">
        <f t="shared" si="11"/>
        <v>2</v>
      </c>
      <c r="R34" s="462">
        <f>IF((ROUNDDOWN((SUM(L34:L35)/51)-(Q34+Q35),0.9))&lt;0,0,(ROUNDDOWN((SUM(L34:L35)/51)-(Q34+Q35),0.9)))</f>
        <v>0</v>
      </c>
      <c r="S34" s="462">
        <f>IF((ROUNDDOWN((SUM(N34:N35)/51)-(Q34+Q35),0.9))&lt;0,0,(ROUNDDOWN((SUM(N34:N35)/51)-(Q34+Q35),0.9)))</f>
        <v>0</v>
      </c>
      <c r="T34" s="462">
        <f>IF((ROUNDDOWN((SUM(K34:N35)/51)-(Q34+Q35+R34+S34),0.9))&lt;0,0,ROUNDDOWN((SUM(K34:N35)/51)-(Q34+Q35+R34+S34),0.9))</f>
        <v>1</v>
      </c>
      <c r="V34" s="471"/>
      <c r="W34" s="474"/>
    </row>
    <row r="35" spans="2:23" ht="16.5" thickBot="1" x14ac:dyDescent="0.3">
      <c r="B35">
        <f>B36</f>
        <v>0</v>
      </c>
      <c r="C35" s="233" t="s">
        <v>16</v>
      </c>
      <c r="D35" s="194">
        <f>'التمام الصباحي'!E11+'التمام الصباحي'!G11</f>
        <v>18</v>
      </c>
      <c r="E35" s="194">
        <f>'التمام الصباحي'!K11+'التمام الصباحي'!M11</f>
        <v>44</v>
      </c>
      <c r="F35" s="194">
        <f>'التمام الصباحي'!Q11+'التمام الصباحي'!S11</f>
        <v>24</v>
      </c>
      <c r="G35" s="194">
        <f>'التمام الصباحي'!W11+'التمام الصباحي'!Y11</f>
        <v>21</v>
      </c>
      <c r="J35" s="233" t="s">
        <v>16</v>
      </c>
      <c r="K35" s="235">
        <f t="shared" ref="K35:K53" si="14">IF(D35&gt;101,102,IF(D35&gt;84,85,IF(D35&gt;67,68,IF(D35&gt;50,51,IF(D35&gt;33,34,IF(D35&gt;16,17,0))))))</f>
        <v>17</v>
      </c>
      <c r="L35" s="235">
        <f t="shared" si="12"/>
        <v>34</v>
      </c>
      <c r="M35" s="235">
        <f t="shared" si="13"/>
        <v>17</v>
      </c>
      <c r="N35" s="235">
        <f t="shared" si="13"/>
        <v>17</v>
      </c>
      <c r="O35" s="236"/>
      <c r="P35" s="244" t="s">
        <v>17</v>
      </c>
      <c r="Q35" s="245">
        <f t="shared" si="11"/>
        <v>1</v>
      </c>
      <c r="R35" s="463"/>
      <c r="S35" s="463"/>
      <c r="T35" s="463"/>
      <c r="V35" s="471"/>
      <c r="W35" s="474"/>
    </row>
    <row r="36" spans="2:23" ht="17.25" thickTop="1" thickBot="1" x14ac:dyDescent="0.3">
      <c r="C36" s="233" t="s">
        <v>17</v>
      </c>
      <c r="D36" s="295"/>
      <c r="E36" s="194">
        <f>'التمام الصباحي'!K12+'التمام الصباحي'!M12</f>
        <v>46</v>
      </c>
      <c r="F36" s="194">
        <f>'التمام الصباحي'!Q12+'التمام الصباحي'!S12</f>
        <v>17</v>
      </c>
      <c r="G36" s="354"/>
      <c r="J36" s="233" t="s">
        <v>17</v>
      </c>
      <c r="K36" s="234"/>
      <c r="L36" s="235">
        <f t="shared" si="12"/>
        <v>34</v>
      </c>
      <c r="M36" s="235">
        <f t="shared" si="13"/>
        <v>17</v>
      </c>
      <c r="N36" s="234"/>
      <c r="O36" s="236"/>
      <c r="P36" s="246" t="s">
        <v>18</v>
      </c>
      <c r="Q36" s="247">
        <f t="shared" si="11"/>
        <v>1</v>
      </c>
      <c r="R36" s="466">
        <f>IF((ROUNDDOWN((SUM(L36:L37)/51)-(Q36+Q37),0.9))&lt;0,0,(ROUNDDOWN((SUM(L36:L37)/51)-(Q36+Q37),0.9)))</f>
        <v>0</v>
      </c>
      <c r="S36" s="466">
        <f t="shared" ref="S36" si="15">IF((ROUNDDOWN((SUM(N36:N37)/51)-(Q36+Q37),0.9))&lt;0,0,(ROUNDDOWN((SUM(N36:N37)/51)-(Q36+Q37),0.9)))</f>
        <v>0</v>
      </c>
      <c r="T36" s="466">
        <f t="shared" ref="T36" si="16">IF((ROUNDDOWN((SUM(K36:N37)/51)-(Q36+Q37+R36+S36),0.9))&lt;0,0,ROUNDDOWN((SUM(K36:N37)/51)-(Q36+Q37+R36+S36),0.9))</f>
        <v>0</v>
      </c>
      <c r="V36" s="471"/>
      <c r="W36" s="474"/>
    </row>
    <row r="37" spans="2:23" ht="16.5" thickBot="1" x14ac:dyDescent="0.3">
      <c r="C37" s="233" t="s">
        <v>18</v>
      </c>
      <c r="D37" s="194">
        <f>'التمام الصباحي'!E13+'التمام الصباحي'!G13</f>
        <v>12</v>
      </c>
      <c r="E37" s="194">
        <f>'التمام الصباحي'!K13+'التمام الصباحي'!M13</f>
        <v>56</v>
      </c>
      <c r="F37" s="295"/>
      <c r="G37" s="194">
        <f>'التمام الصباحي'!W13+'التمام الصباحي'!Y13</f>
        <v>17</v>
      </c>
      <c r="J37" s="233" t="s">
        <v>18</v>
      </c>
      <c r="K37" s="235">
        <f t="shared" si="14"/>
        <v>0</v>
      </c>
      <c r="L37" s="235">
        <f t="shared" si="12"/>
        <v>51</v>
      </c>
      <c r="M37" s="234"/>
      <c r="N37" s="235">
        <f t="shared" ref="N37:N38" si="17">IF(G37&gt;101,102,IF(G37&gt;84,85,IF(G37&gt;67,68,IF(G37&gt;50,51,IF(G37&gt;33,34,IF(G37&gt;16,17,0))))))</f>
        <v>17</v>
      </c>
      <c r="O37" s="236"/>
      <c r="P37" s="248" t="s">
        <v>19</v>
      </c>
      <c r="Q37" s="249">
        <f t="shared" si="11"/>
        <v>1</v>
      </c>
      <c r="R37" s="466"/>
      <c r="S37" s="466"/>
      <c r="T37" s="466"/>
      <c r="V37" s="471"/>
      <c r="W37" s="474"/>
    </row>
    <row r="38" spans="2:23" ht="17.25" thickTop="1" thickBot="1" x14ac:dyDescent="0.3">
      <c r="C38" s="233" t="s">
        <v>19</v>
      </c>
      <c r="D38" s="194">
        <f>'التمام الصباحي'!E14+'التمام الصباحي'!G14</f>
        <v>25</v>
      </c>
      <c r="E38" s="194">
        <f>'التمام الصباحي'!K14+'التمام الصباحي'!M14</f>
        <v>50</v>
      </c>
      <c r="F38" s="295"/>
      <c r="G38" s="194">
        <f>'التمام الصباحي'!W14+'التمام الصباحي'!Y14</f>
        <v>47</v>
      </c>
      <c r="J38" s="233" t="s">
        <v>19</v>
      </c>
      <c r="K38" s="235">
        <f t="shared" si="14"/>
        <v>17</v>
      </c>
      <c r="L38" s="235">
        <f t="shared" si="12"/>
        <v>34</v>
      </c>
      <c r="M38" s="234"/>
      <c r="N38" s="235">
        <f t="shared" si="17"/>
        <v>34</v>
      </c>
      <c r="O38" s="236"/>
      <c r="P38" s="242" t="s">
        <v>20</v>
      </c>
      <c r="Q38" s="243">
        <f t="shared" si="11"/>
        <v>1</v>
      </c>
      <c r="R38" s="462">
        <f>IF((ROUNDDOWN((SUM(L38:L39)/51)-(Q38+Q39),0.9))&lt;0,0,(ROUNDDOWN((SUM(L38:L39)/51)-(Q38+Q39),0.9)))</f>
        <v>0</v>
      </c>
      <c r="S38" s="462">
        <f t="shared" ref="S38" si="18">IF((ROUNDDOWN((SUM(N38:N39)/51)-(Q38+Q39),0.9))&lt;0,0,(ROUNDDOWN((SUM(N38:N39)/51)-(Q38+Q39),0.9)))</f>
        <v>0</v>
      </c>
      <c r="T38" s="462">
        <f t="shared" ref="T38" si="19">IF((ROUNDDOWN((SUM(K38:N39)/51)-(Q38+Q39+R38+S38),0.9))&lt;0,0,ROUNDDOWN((SUM(K38:N39)/51)-(Q38+Q39+R38+S38),0.9))</f>
        <v>1</v>
      </c>
      <c r="V38" s="471"/>
      <c r="W38" s="474"/>
    </row>
    <row r="39" spans="2:23" ht="16.5" thickBot="1" x14ac:dyDescent="0.3">
      <c r="C39" s="233" t="s">
        <v>20</v>
      </c>
      <c r="D39" s="295"/>
      <c r="E39" s="194">
        <f>'التمام الصباحي'!K15+'التمام الصباحي'!M15</f>
        <v>97</v>
      </c>
      <c r="F39" s="194">
        <f>'التمام الصباحي'!Q15+'التمام الصباحي'!S15</f>
        <v>35</v>
      </c>
      <c r="G39" s="354"/>
      <c r="J39" s="233" t="s">
        <v>20</v>
      </c>
      <c r="K39" s="234"/>
      <c r="L39" s="235">
        <f t="shared" si="12"/>
        <v>85</v>
      </c>
      <c r="M39" s="235">
        <f t="shared" si="13"/>
        <v>34</v>
      </c>
      <c r="N39" s="234"/>
      <c r="O39" s="236"/>
      <c r="P39" s="244" t="s">
        <v>21</v>
      </c>
      <c r="Q39" s="245">
        <f t="shared" si="11"/>
        <v>2</v>
      </c>
      <c r="R39" s="463"/>
      <c r="S39" s="463"/>
      <c r="T39" s="463"/>
      <c r="V39" s="472"/>
      <c r="W39" s="475"/>
    </row>
    <row r="40" spans="2:23" ht="16.5" thickBot="1" x14ac:dyDescent="0.3">
      <c r="C40" s="233" t="s">
        <v>21</v>
      </c>
      <c r="D40" s="295"/>
      <c r="E40" s="194">
        <f>'التمام الصباحي'!K16+'التمام الصباحي'!M16</f>
        <v>97</v>
      </c>
      <c r="F40" s="194">
        <f>'التمام الصباحي'!Q16+'التمام الصباحي'!S16</f>
        <v>21</v>
      </c>
      <c r="G40" s="194">
        <f>'التمام الصباحي'!W16+'التمام الصباحي'!Y16</f>
        <v>65</v>
      </c>
      <c r="J40" s="233" t="s">
        <v>21</v>
      </c>
      <c r="K40" s="234"/>
      <c r="L40" s="235">
        <f t="shared" si="12"/>
        <v>85</v>
      </c>
      <c r="M40" s="235">
        <f t="shared" si="13"/>
        <v>17</v>
      </c>
      <c r="N40" s="235">
        <f t="shared" si="13"/>
        <v>51</v>
      </c>
      <c r="O40" s="236"/>
      <c r="P40" s="250" t="s">
        <v>22</v>
      </c>
      <c r="Q40" s="251">
        <f t="shared" si="11"/>
        <v>3</v>
      </c>
      <c r="R40" s="252"/>
      <c r="S40" s="253"/>
      <c r="T40" s="254"/>
      <c r="V40" s="464" t="s">
        <v>85</v>
      </c>
      <c r="W40" s="473">
        <f>SUM(Q40:T43)/3</f>
        <v>2</v>
      </c>
    </row>
    <row r="41" spans="2:23" ht="17.25" thickTop="1" thickBot="1" x14ac:dyDescent="0.3">
      <c r="C41" s="233" t="s">
        <v>22</v>
      </c>
      <c r="D41" s="295"/>
      <c r="E41" s="194">
        <f>'التمام الصباحي'!K17+'التمام الصباحي'!M17</f>
        <v>17</v>
      </c>
      <c r="F41" s="194">
        <f>'التمام الصباحي'!Q17+'التمام الصباحي'!S17</f>
        <v>11</v>
      </c>
      <c r="G41" s="194">
        <f>'التمام الصباحي'!W17+'التمام الصباحي'!Y17</f>
        <v>114</v>
      </c>
      <c r="J41" s="233" t="s">
        <v>22</v>
      </c>
      <c r="K41" s="234"/>
      <c r="L41" s="235">
        <f t="shared" si="12"/>
        <v>17</v>
      </c>
      <c r="M41" s="235">
        <f t="shared" si="13"/>
        <v>0</v>
      </c>
      <c r="N41" s="235">
        <f t="shared" si="13"/>
        <v>102</v>
      </c>
      <c r="O41" s="236"/>
      <c r="P41" s="246" t="s">
        <v>23</v>
      </c>
      <c r="Q41" s="247">
        <f t="shared" si="11"/>
        <v>2</v>
      </c>
      <c r="R41" s="468">
        <f>IF((ROUNDDOWN((SUM(L41:L42)/51)-(Q41+Q42),0.9))&lt;0,0,(ROUNDDOWN((SUM(L41:L42)/51)-(Q41+Q42),0.9)))</f>
        <v>0</v>
      </c>
      <c r="S41" s="468">
        <f>IF((ROUNDDOWN((SUM(N41:N42)/51)-(Q41+Q42),0.9))&lt;0,0,(ROUNDDOWN((SUM(N41:N42)/51)-(Q41+Q42),0.9)))</f>
        <v>0</v>
      </c>
      <c r="T41" s="468">
        <f>IF((ROUNDDOWN((SUM(K41:N42)/51)-(Q41+Q42+R41+S41),0.9))&lt;0,0,ROUNDDOWN((SUM(K41:N42)/51)-(Q41+Q42+R41+S41),0.9))</f>
        <v>0</v>
      </c>
      <c r="V41" s="464"/>
      <c r="W41" s="474"/>
    </row>
    <row r="42" spans="2:23" ht="16.5" thickBot="1" x14ac:dyDescent="0.3">
      <c r="C42" s="233" t="s">
        <v>23</v>
      </c>
      <c r="D42" s="295"/>
      <c r="E42" s="194">
        <f>'التمام الصباحي'!K18+'التمام الصباحي'!M18</f>
        <v>28</v>
      </c>
      <c r="F42" s="194">
        <f>'التمام الصباحي'!Q18+'التمام الصباحي'!S18</f>
        <v>18</v>
      </c>
      <c r="G42" s="194">
        <f>'التمام الصباحي'!W18+'التمام الصباحي'!Y18</f>
        <v>42</v>
      </c>
      <c r="J42" s="233" t="s">
        <v>23</v>
      </c>
      <c r="K42" s="234"/>
      <c r="L42" s="235">
        <f t="shared" si="12"/>
        <v>17</v>
      </c>
      <c r="M42" s="235">
        <f t="shared" si="13"/>
        <v>17</v>
      </c>
      <c r="N42" s="235">
        <f t="shared" si="13"/>
        <v>34</v>
      </c>
      <c r="O42" s="236"/>
      <c r="P42" s="248" t="s">
        <v>24</v>
      </c>
      <c r="Q42" s="249">
        <f t="shared" si="11"/>
        <v>1</v>
      </c>
      <c r="R42" s="469"/>
      <c r="S42" s="469"/>
      <c r="T42" s="469"/>
      <c r="V42" s="464"/>
      <c r="W42" s="474"/>
    </row>
    <row r="43" spans="2:23" ht="16.5" thickBot="1" x14ac:dyDescent="0.3">
      <c r="C43" s="233" t="s">
        <v>24</v>
      </c>
      <c r="D43" s="295"/>
      <c r="E43" s="194">
        <f>'التمام الصباحي'!K19+'التمام الصباحي'!M19</f>
        <v>24</v>
      </c>
      <c r="F43" s="194">
        <f>'التمام الصباحي'!Q19+'التمام الصباحي'!S19</f>
        <v>6</v>
      </c>
      <c r="G43" s="354"/>
      <c r="J43" s="233" t="s">
        <v>24</v>
      </c>
      <c r="K43" s="234"/>
      <c r="L43" s="235">
        <f t="shared" si="12"/>
        <v>17</v>
      </c>
      <c r="M43" s="235">
        <f t="shared" si="13"/>
        <v>0</v>
      </c>
      <c r="N43" s="234"/>
      <c r="O43" s="236"/>
      <c r="P43" s="250" t="s">
        <v>26</v>
      </c>
      <c r="Q43" s="251">
        <f t="shared" si="11"/>
        <v>0</v>
      </c>
      <c r="R43" s="252"/>
      <c r="S43" s="253"/>
      <c r="T43" s="255"/>
      <c r="V43" s="464"/>
      <c r="W43" s="475"/>
    </row>
    <row r="44" spans="2:23" ht="17.25" thickTop="1" thickBot="1" x14ac:dyDescent="0.3">
      <c r="C44" s="233" t="s">
        <v>26</v>
      </c>
      <c r="D44" s="295"/>
      <c r="E44" s="194">
        <f>'التمام الصباحي'!K20+'التمام الصباحي'!M20</f>
        <v>24</v>
      </c>
      <c r="F44" s="194">
        <f>'التمام الصباحي'!Q20+'التمام الصباحي'!S20</f>
        <v>11</v>
      </c>
      <c r="G44" s="194">
        <f>'التمام الصباحي'!W20+'التمام الصباحي'!Y20</f>
        <v>35</v>
      </c>
      <c r="J44" s="233" t="s">
        <v>26</v>
      </c>
      <c r="K44" s="234"/>
      <c r="L44" s="235">
        <f t="shared" si="12"/>
        <v>17</v>
      </c>
      <c r="M44" s="235">
        <f t="shared" si="13"/>
        <v>0</v>
      </c>
      <c r="N44" s="235">
        <f t="shared" si="13"/>
        <v>34</v>
      </c>
      <c r="O44" s="236"/>
      <c r="P44" s="242" t="s">
        <v>25</v>
      </c>
      <c r="Q44" s="243">
        <f t="shared" si="11"/>
        <v>1</v>
      </c>
      <c r="R44" s="462">
        <f>IF((ROUNDDOWN((SUM(L44:L45)/51)-(Q44+Q45),0.9))&lt;0,0,(ROUNDDOWN((SUM(L44:L45)/51)-(Q44+Q45),0.9)))</f>
        <v>0</v>
      </c>
      <c r="S44" s="462">
        <f>IF((ROUNDDOWN((SUM(N44:N45)/51)-(Q44+Q45),0.9))&lt;0,0,(ROUNDDOWN((SUM(N44:N45)/51)-(Q44+Q45),0.9)))</f>
        <v>0</v>
      </c>
      <c r="T44" s="462">
        <f>IF((ROUNDDOWN((SUM(K44:N45)/51)-(Q44+Q45+R44+S44),0.9))&lt;0,0,ROUNDDOWN((SUM(K44:N45)/51)-(Q44+Q45+R44+S44),0.9))</f>
        <v>0</v>
      </c>
      <c r="V44" s="464" t="s">
        <v>102</v>
      </c>
      <c r="W44" s="473">
        <f>SUM(Q44:T47)/3</f>
        <v>1</v>
      </c>
    </row>
    <row r="45" spans="2:23" ht="16.5" thickBot="1" x14ac:dyDescent="0.3">
      <c r="C45" s="233" t="s">
        <v>25</v>
      </c>
      <c r="D45" s="295"/>
      <c r="E45" s="194">
        <f>'التمام الصباحي'!K21+'التمام الصباحي'!M21</f>
        <v>35</v>
      </c>
      <c r="F45" s="194">
        <f>'التمام الصباحي'!Q21+'التمام الصباحي'!S21</f>
        <v>13</v>
      </c>
      <c r="G45" s="194">
        <f>'التمام الصباحي'!W21+'التمام الصباحي'!Y21</f>
        <v>54</v>
      </c>
      <c r="J45" s="233" t="s">
        <v>25</v>
      </c>
      <c r="K45" s="234"/>
      <c r="L45" s="235">
        <f t="shared" si="12"/>
        <v>34</v>
      </c>
      <c r="M45" s="235">
        <f t="shared" si="13"/>
        <v>0</v>
      </c>
      <c r="N45" s="235">
        <f t="shared" si="13"/>
        <v>51</v>
      </c>
      <c r="O45" s="236"/>
      <c r="P45" s="244" t="s">
        <v>27</v>
      </c>
      <c r="Q45" s="245">
        <f t="shared" si="11"/>
        <v>1</v>
      </c>
      <c r="R45" s="463"/>
      <c r="S45" s="463"/>
      <c r="T45" s="463"/>
      <c r="V45" s="464"/>
      <c r="W45" s="474"/>
    </row>
    <row r="46" spans="2:23" ht="17.25" thickTop="1" thickBot="1" x14ac:dyDescent="0.3">
      <c r="C46" s="233" t="s">
        <v>27</v>
      </c>
      <c r="D46" s="295"/>
      <c r="E46" s="194">
        <f>'التمام الصباحي'!K22+'التمام الصباحي'!M22</f>
        <v>36</v>
      </c>
      <c r="F46" s="194">
        <f>'التمام الصباحي'!Q22+'التمام الصباحي'!S22</f>
        <v>24</v>
      </c>
      <c r="G46" s="354"/>
      <c r="J46" s="233" t="s">
        <v>27</v>
      </c>
      <c r="K46" s="234"/>
      <c r="L46" s="235">
        <f t="shared" si="12"/>
        <v>34</v>
      </c>
      <c r="M46" s="235">
        <f t="shared" si="13"/>
        <v>17</v>
      </c>
      <c r="N46" s="234"/>
      <c r="O46" s="236"/>
      <c r="P46" s="246" t="s">
        <v>28</v>
      </c>
      <c r="Q46" s="247">
        <f t="shared" si="11"/>
        <v>1</v>
      </c>
      <c r="R46" s="466">
        <f>IF((ROUNDDOWN((SUM(L46:L47)/51)-(Q46+Q47),0.9))&lt;0,0,(ROUNDDOWN((SUM(L46:L47)/51)-(Q46+Q47),0.9)))</f>
        <v>0</v>
      </c>
      <c r="S46" s="468">
        <f>IF((ROUNDDOWN((SUM(N46:N47)/51)-(Q46+Q47),0.9))&lt;0,0,(ROUNDDOWN((SUM(N46:N47)/51)-(Q46+Q47),0.9)))</f>
        <v>0</v>
      </c>
      <c r="T46" s="468">
        <f t="shared" ref="T46" si="20">IF((ROUNDDOWN((SUM(K46:N47)/51)-(Q46+Q47+R46+S46),0.9))&lt;0,0,ROUNDDOWN((SUM(K46:N47)/51)-(Q46+Q47+R46+S46),0.9))</f>
        <v>0</v>
      </c>
      <c r="V46" s="464"/>
      <c r="W46" s="474"/>
    </row>
    <row r="47" spans="2:23" ht="16.5" thickBot="1" x14ac:dyDescent="0.3">
      <c r="C47" s="233" t="s">
        <v>28</v>
      </c>
      <c r="D47" s="194">
        <f>'التمام الصباحي'!E23+'التمام الصباحي'!G23</f>
        <v>8.6</v>
      </c>
      <c r="E47" s="194">
        <f>'التمام الصباحي'!K23+'التمام الصباحي'!M23</f>
        <v>7</v>
      </c>
      <c r="F47" s="295"/>
      <c r="G47" s="194">
        <f>'التمام الصباحي'!W23+'التمام الصباحي'!Y23</f>
        <v>47</v>
      </c>
      <c r="J47" s="233" t="s">
        <v>28</v>
      </c>
      <c r="K47" s="235">
        <f t="shared" si="14"/>
        <v>0</v>
      </c>
      <c r="L47" s="235">
        <f t="shared" si="12"/>
        <v>0</v>
      </c>
      <c r="M47" s="234"/>
      <c r="N47" s="235">
        <f t="shared" ref="N47:N53" si="21">IF(G47&gt;101,102,IF(G47&gt;84,85,IF(G47&gt;67,68,IF(G47&gt;50,51,IF(G47&gt;33,34,IF(G47&gt;16,17,0))))))</f>
        <v>34</v>
      </c>
      <c r="O47" s="236"/>
      <c r="P47" s="248" t="s">
        <v>29</v>
      </c>
      <c r="Q47" s="249">
        <f t="shared" si="11"/>
        <v>0</v>
      </c>
      <c r="R47" s="466"/>
      <c r="S47" s="469"/>
      <c r="T47" s="469"/>
      <c r="V47" s="464"/>
      <c r="W47" s="475"/>
    </row>
    <row r="48" spans="2:23" ht="17.25" thickTop="1" thickBot="1" x14ac:dyDescent="0.3">
      <c r="C48" s="233" t="s">
        <v>29</v>
      </c>
      <c r="D48" s="295"/>
      <c r="E48" s="194">
        <f>'التمام الصباحي'!K24+'التمام الصباحي'!M24</f>
        <v>25</v>
      </c>
      <c r="F48" s="295"/>
      <c r="G48" s="194">
        <f>'التمام الصباحي'!W24+'التمام الصباحي'!Y24</f>
        <v>33</v>
      </c>
      <c r="J48" s="233" t="s">
        <v>29</v>
      </c>
      <c r="K48" s="234"/>
      <c r="L48" s="235">
        <f t="shared" si="12"/>
        <v>17</v>
      </c>
      <c r="M48" s="234"/>
      <c r="N48" s="235">
        <f t="shared" si="21"/>
        <v>17</v>
      </c>
      <c r="O48" s="236"/>
      <c r="P48" s="242" t="s">
        <v>30</v>
      </c>
      <c r="Q48" s="243">
        <f t="shared" si="11"/>
        <v>0</v>
      </c>
      <c r="R48" s="462">
        <f>IF((ROUNDDOWN((SUM(L48:L49)/51)-(Q48+Q49),0.9))&lt;0,0,(ROUNDDOWN((SUM(L48:L49)/51)-(Q48+Q49),0.9)))</f>
        <v>0</v>
      </c>
      <c r="S48" s="462">
        <f>IF((ROUNDDOWN((SUM(N48:N49)/51)-(Q48+Q49),0.9))&lt;0,0,(ROUNDDOWN((SUM(N48:N49)/51)-(Q48+Q49),0.9)))</f>
        <v>0</v>
      </c>
      <c r="T48" s="462">
        <f t="shared" ref="T48" si="22">IF((ROUNDDOWN((SUM(K48:N49)/51)-(Q48+Q49+R48+S48),0.9))&lt;0,0,ROUNDDOWN((SUM(K48:N49)/51)-(Q48+Q49+R48+S48),0.9))</f>
        <v>1</v>
      </c>
      <c r="V48" s="464" t="s">
        <v>90</v>
      </c>
      <c r="W48" s="473">
        <f>SUM(Q48:T51)/3</f>
        <v>2</v>
      </c>
    </row>
    <row r="49" spans="3:23" ht="16.5" thickBot="1" x14ac:dyDescent="0.3">
      <c r="C49" s="233" t="s">
        <v>30</v>
      </c>
      <c r="D49" s="295"/>
      <c r="E49" s="194">
        <f>'التمام الصباحي'!K25+'التمام الصباحي'!M25</f>
        <v>18</v>
      </c>
      <c r="F49" s="194">
        <f>'التمام الصباحي'!Q25+'التمام الصباحي'!S25</f>
        <v>16</v>
      </c>
      <c r="G49" s="194">
        <f>'التمام الصباحي'!W25+'التمام الصباحي'!Y25</f>
        <v>107</v>
      </c>
      <c r="J49" s="233" t="s">
        <v>30</v>
      </c>
      <c r="K49" s="234"/>
      <c r="L49" s="235">
        <f t="shared" si="12"/>
        <v>17</v>
      </c>
      <c r="M49" s="235">
        <f t="shared" si="13"/>
        <v>0</v>
      </c>
      <c r="N49" s="235">
        <f t="shared" si="21"/>
        <v>102</v>
      </c>
      <c r="O49" s="236"/>
      <c r="P49" s="244" t="s">
        <v>31</v>
      </c>
      <c r="Q49" s="245">
        <f t="shared" si="11"/>
        <v>2</v>
      </c>
      <c r="R49" s="463"/>
      <c r="S49" s="463"/>
      <c r="T49" s="463"/>
      <c r="V49" s="464"/>
      <c r="W49" s="474"/>
    </row>
    <row r="50" spans="3:23" ht="17.25" thickTop="1" thickBot="1" x14ac:dyDescent="0.3">
      <c r="C50" s="233" t="s">
        <v>31</v>
      </c>
      <c r="D50" s="295"/>
      <c r="E50" s="194">
        <f>'التمام الصباحي'!K26+'التمام الصباحي'!M26</f>
        <v>35</v>
      </c>
      <c r="F50" s="194">
        <f>'التمام الصباحي'!Q26+'التمام الصباحي'!S26</f>
        <v>13</v>
      </c>
      <c r="G50" s="194">
        <f>'التمام الصباحي'!W26+'التمام الصباحي'!Y26</f>
        <v>89</v>
      </c>
      <c r="J50" s="233" t="s">
        <v>31</v>
      </c>
      <c r="K50" s="234"/>
      <c r="L50" s="235">
        <f t="shared" si="12"/>
        <v>34</v>
      </c>
      <c r="M50" s="235">
        <f t="shared" si="13"/>
        <v>0</v>
      </c>
      <c r="N50" s="235">
        <f t="shared" si="21"/>
        <v>85</v>
      </c>
      <c r="O50" s="236"/>
      <c r="P50" s="246" t="s">
        <v>32</v>
      </c>
      <c r="Q50" s="247">
        <f t="shared" si="11"/>
        <v>2</v>
      </c>
      <c r="R50" s="466">
        <f>IF((ROUNDDOWN((SUM(L50:L51)/51)-(Q50+Q51),0.9))&lt;0,0,(ROUNDDOWN((SUM(L50:L51)/51)-(Q50+Q51),0.9)))</f>
        <v>0</v>
      </c>
      <c r="S50" s="466">
        <f>IF((ROUNDDOWN((SUM(N50:N51)/51)-(Q50+Q51),0.9))&lt;0,0,(ROUNDDOWN((SUM(N50:N51)/51)-(Q50+Q51),0.9)))</f>
        <v>0</v>
      </c>
      <c r="T50" s="466">
        <f t="shared" ref="T50" si="23">IF((ROUNDDOWN((SUM(K50:N51)/51)-(Q50+Q51+R50+S50),0.9))&lt;0,0,ROUNDDOWN((SUM(K50:N51)/51)-(Q50+Q51+R50+S50),0.9))</f>
        <v>0</v>
      </c>
      <c r="V50" s="464"/>
      <c r="W50" s="474"/>
    </row>
    <row r="51" spans="3:23" ht="16.5" thickBot="1" x14ac:dyDescent="0.3">
      <c r="C51" s="233" t="s">
        <v>32</v>
      </c>
      <c r="D51" s="295"/>
      <c r="E51" s="194">
        <f>'التمام الصباحي'!K27+'التمام الصباحي'!M27</f>
        <v>22</v>
      </c>
      <c r="F51" s="194">
        <f>'التمام الصباحي'!Q27+'التمام الصباحي'!S27</f>
        <v>14</v>
      </c>
      <c r="G51" s="194">
        <f>'التمام الصباحي'!W27+'التمام الصباحي'!Y27</f>
        <v>45</v>
      </c>
      <c r="J51" s="233" t="s">
        <v>32</v>
      </c>
      <c r="K51" s="234"/>
      <c r="L51" s="235">
        <f t="shared" si="12"/>
        <v>17</v>
      </c>
      <c r="M51" s="235">
        <f t="shared" si="13"/>
        <v>0</v>
      </c>
      <c r="N51" s="235">
        <f t="shared" si="21"/>
        <v>34</v>
      </c>
      <c r="O51" s="236"/>
      <c r="P51" s="256" t="s">
        <v>33</v>
      </c>
      <c r="Q51" s="257">
        <f t="shared" si="11"/>
        <v>1</v>
      </c>
      <c r="R51" s="467"/>
      <c r="S51" s="467"/>
      <c r="T51" s="467"/>
      <c r="V51" s="464"/>
      <c r="W51" s="475"/>
    </row>
    <row r="52" spans="3:23" ht="16.5" thickBot="1" x14ac:dyDescent="0.3">
      <c r="C52" s="233" t="s">
        <v>33</v>
      </c>
      <c r="D52" s="295"/>
      <c r="E52" s="194">
        <f>'التمام الصباحي'!K28+'التمام الصباحي'!M28</f>
        <v>29</v>
      </c>
      <c r="F52" s="194">
        <f>'التمام الصباحي'!Q28+'التمام الصباحي'!S28</f>
        <v>16</v>
      </c>
      <c r="G52" s="194">
        <f>'التمام الصباحي'!W28+'التمام الصباحي'!Y28</f>
        <v>66</v>
      </c>
      <c r="J52" s="233" t="s">
        <v>33</v>
      </c>
      <c r="K52" s="234"/>
      <c r="L52" s="235">
        <f t="shared" si="12"/>
        <v>17</v>
      </c>
      <c r="M52" s="235">
        <f t="shared" si="13"/>
        <v>0</v>
      </c>
      <c r="N52" s="235">
        <f t="shared" si="21"/>
        <v>51</v>
      </c>
    </row>
    <row r="53" spans="3:23" ht="16.5" thickBot="1" x14ac:dyDescent="0.3">
      <c r="C53" s="233" t="s">
        <v>112</v>
      </c>
      <c r="D53" s="194">
        <f>'التمام الصباحي'!E29+'التمام الصباحي'!G29</f>
        <v>13</v>
      </c>
      <c r="E53" s="194">
        <f>'التمام الصباحي'!K29+'التمام الصباحي'!M29</f>
        <v>26</v>
      </c>
      <c r="F53" s="194">
        <f>'التمام الصباحي'!Q29+'التمام الصباحي'!S29</f>
        <v>19</v>
      </c>
      <c r="G53" s="194">
        <f>'التمام الصباحي'!W29+'التمام الصباحي'!Y29</f>
        <v>35</v>
      </c>
      <c r="J53" s="233" t="s">
        <v>112</v>
      </c>
      <c r="K53" s="235">
        <f t="shared" si="14"/>
        <v>0</v>
      </c>
      <c r="L53" s="235">
        <f t="shared" si="12"/>
        <v>17</v>
      </c>
      <c r="M53" s="235">
        <f t="shared" si="13"/>
        <v>17</v>
      </c>
      <c r="N53" s="235">
        <f t="shared" si="21"/>
        <v>34</v>
      </c>
    </row>
    <row r="54" spans="3:23" ht="16.5" thickBot="1" x14ac:dyDescent="0.3">
      <c r="C54" s="233" t="s">
        <v>121</v>
      </c>
      <c r="D54" s="295"/>
      <c r="E54" s="194">
        <f>'التمام الصباحي'!K30+'التمام الصباحي'!M30</f>
        <v>32</v>
      </c>
      <c r="F54" s="194">
        <f>'التمام الصباحي'!Q30+'التمام الصباحي'!S30</f>
        <v>16</v>
      </c>
      <c r="G54" s="354"/>
      <c r="J54" s="233" t="s">
        <v>121</v>
      </c>
      <c r="K54" s="234"/>
      <c r="L54" s="235">
        <f t="shared" si="12"/>
        <v>17</v>
      </c>
      <c r="M54" s="235">
        <f t="shared" si="13"/>
        <v>0</v>
      </c>
      <c r="N54" s="234"/>
    </row>
    <row r="55" spans="3:23" ht="16.5" thickBot="1" x14ac:dyDescent="0.3">
      <c r="C55" s="353" t="s">
        <v>168</v>
      </c>
      <c r="D55" s="295"/>
      <c r="E55" s="194">
        <f>'التمام الصباحي'!K31+'التمام الصباحي'!M31</f>
        <v>67</v>
      </c>
      <c r="F55" s="194">
        <f>'التمام الصباحي'!Q31+'التمام الصباحي'!S31</f>
        <v>32</v>
      </c>
      <c r="G55" s="354"/>
      <c r="J55" s="353" t="s">
        <v>168</v>
      </c>
      <c r="K55" s="234"/>
      <c r="L55" s="235">
        <f t="shared" si="12"/>
        <v>51</v>
      </c>
      <c r="M55" s="235">
        <f t="shared" si="13"/>
        <v>17</v>
      </c>
      <c r="N55" s="234"/>
    </row>
    <row r="56" spans="3:23" ht="16.5" thickBot="1" x14ac:dyDescent="0.3">
      <c r="C56" s="353" t="s">
        <v>169</v>
      </c>
      <c r="D56" s="295"/>
      <c r="E56" s="194">
        <f>'التمام الصباحي'!K32+'التمام الصباحي'!M32</f>
        <v>83</v>
      </c>
      <c r="F56" s="194">
        <f>'التمام الصباحي'!Q32+'التمام الصباحي'!S32</f>
        <v>24</v>
      </c>
      <c r="G56" s="354"/>
      <c r="J56" s="353" t="s">
        <v>169</v>
      </c>
      <c r="K56" s="234"/>
      <c r="L56" s="235">
        <f t="shared" si="12"/>
        <v>68</v>
      </c>
      <c r="M56" s="235">
        <f t="shared" si="13"/>
        <v>17</v>
      </c>
      <c r="N56" s="234"/>
    </row>
    <row r="57" spans="3:23" ht="16.5" thickBot="1" x14ac:dyDescent="0.3">
      <c r="C57" s="318" t="s">
        <v>170</v>
      </c>
      <c r="D57" s="295"/>
      <c r="E57" s="194">
        <f>'التمام الصباحي'!K33+'التمام الصباحي'!M33</f>
        <v>78</v>
      </c>
      <c r="F57" s="194">
        <f>'التمام الصباحي'!Q33+'التمام الصباحي'!S33</f>
        <v>20</v>
      </c>
      <c r="G57" s="354"/>
      <c r="J57" s="318" t="s">
        <v>170</v>
      </c>
      <c r="K57" s="234"/>
      <c r="L57" s="235">
        <f t="shared" si="12"/>
        <v>68</v>
      </c>
      <c r="M57" s="235">
        <f t="shared" si="13"/>
        <v>17</v>
      </c>
      <c r="N57" s="234"/>
    </row>
    <row r="58" spans="3:23" ht="16.5" thickBot="1" x14ac:dyDescent="0.3">
      <c r="C58" s="318" t="s">
        <v>171</v>
      </c>
      <c r="D58" s="295"/>
      <c r="E58" s="194">
        <f>'التمام الصباحي'!K34+'التمام الصباحي'!M34</f>
        <v>63</v>
      </c>
      <c r="F58" s="194">
        <f>'التمام الصباحي'!Q34+'التمام الصباحي'!S34</f>
        <v>24</v>
      </c>
      <c r="G58" s="354"/>
      <c r="J58" s="318" t="s">
        <v>171</v>
      </c>
      <c r="K58" s="234"/>
      <c r="L58" s="235">
        <f t="shared" si="12"/>
        <v>51</v>
      </c>
      <c r="M58" s="235">
        <f t="shared" si="13"/>
        <v>17</v>
      </c>
      <c r="N58" s="234"/>
    </row>
  </sheetData>
  <customSheetViews>
    <customSheetView guid="{18C0F7AC-4BB1-46DE-8A01-8E31FE0585FC}" hiddenRows="1" hiddenColumns="1" topLeftCell="C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R44:R45"/>
    <mergeCell ref="S44:S45"/>
    <mergeCell ref="T44:T45"/>
    <mergeCell ref="V44:V47"/>
    <mergeCell ref="W44:W47"/>
    <mergeCell ref="R46:R47"/>
    <mergeCell ref="S46:S47"/>
    <mergeCell ref="T46:T47"/>
    <mergeCell ref="R48:R49"/>
    <mergeCell ref="S48:S49"/>
    <mergeCell ref="T48:T49"/>
    <mergeCell ref="V48:V51"/>
    <mergeCell ref="W48:W51"/>
    <mergeCell ref="R50:R51"/>
    <mergeCell ref="S50:S51"/>
    <mergeCell ref="T50:T51"/>
    <mergeCell ref="V30:V31"/>
    <mergeCell ref="W30:W31"/>
    <mergeCell ref="V32:V39"/>
    <mergeCell ref="W32:W39"/>
    <mergeCell ref="R34:R35"/>
    <mergeCell ref="S34:S35"/>
    <mergeCell ref="T34:T35"/>
    <mergeCell ref="R36:R37"/>
    <mergeCell ref="S36:S37"/>
    <mergeCell ref="T36:T37"/>
    <mergeCell ref="R38:R39"/>
    <mergeCell ref="S38:S39"/>
    <mergeCell ref="T38:T39"/>
    <mergeCell ref="V40:V43"/>
    <mergeCell ref="W40:W43"/>
    <mergeCell ref="R41:R42"/>
    <mergeCell ref="S41:S42"/>
    <mergeCell ref="T41:T42"/>
    <mergeCell ref="C29:G29"/>
    <mergeCell ref="P29:T29"/>
    <mergeCell ref="C30:C31"/>
    <mergeCell ref="J30:J31"/>
    <mergeCell ref="P30:P31"/>
    <mergeCell ref="Q30:Q31"/>
    <mergeCell ref="R30:R31"/>
    <mergeCell ref="S30:S31"/>
    <mergeCell ref="T30:T31"/>
    <mergeCell ref="P5:T5"/>
    <mergeCell ref="C6:C7"/>
    <mergeCell ref="J6:J7"/>
    <mergeCell ref="P6:P7"/>
    <mergeCell ref="Q6:Q7"/>
    <mergeCell ref="R6:R7"/>
    <mergeCell ref="S6:S7"/>
    <mergeCell ref="T6:T7"/>
    <mergeCell ref="C5:G5"/>
    <mergeCell ref="V6:V7"/>
    <mergeCell ref="W6:W7"/>
    <mergeCell ref="V8:V15"/>
    <mergeCell ref="W8:W15"/>
    <mergeCell ref="R10:R11"/>
    <mergeCell ref="S10:S11"/>
    <mergeCell ref="T10:T11"/>
    <mergeCell ref="R12:R13"/>
    <mergeCell ref="S12:S13"/>
    <mergeCell ref="T12:T13"/>
    <mergeCell ref="R14:R15"/>
    <mergeCell ref="S14:S15"/>
    <mergeCell ref="T14:T15"/>
    <mergeCell ref="R20:R21"/>
    <mergeCell ref="S20:S21"/>
    <mergeCell ref="T20:T21"/>
    <mergeCell ref="V20:V23"/>
    <mergeCell ref="W20:W23"/>
    <mergeCell ref="R22:R23"/>
    <mergeCell ref="S22:S23"/>
    <mergeCell ref="T22:T23"/>
    <mergeCell ref="V16:V19"/>
    <mergeCell ref="W16:W19"/>
    <mergeCell ref="R17:R18"/>
    <mergeCell ref="S17:S18"/>
    <mergeCell ref="T17:T18"/>
    <mergeCell ref="R24:R25"/>
    <mergeCell ref="S24:S25"/>
    <mergeCell ref="T24:T25"/>
    <mergeCell ref="V24:V27"/>
    <mergeCell ref="W24:W27"/>
    <mergeCell ref="R26:R27"/>
    <mergeCell ref="S26:S27"/>
    <mergeCell ref="T26:T27"/>
  </mergeCells>
  <conditionalFormatting sqref="M24:M27 M10:M11 N10 L8:M9 K10:L13 N19:N20 N22:N27 L23:L27 K22:L22 L14:M21 N15:N17 N12:N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L32:M36 L39:M46 L49:M58 L47:L48 K34:K35 K47 K53 K37:L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N35 N37:N38 N40:N42 N44:N45 N47:N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الإمداد'!W32</f>
        <v>3.3333333333333335</v>
      </c>
    </row>
    <row r="3" spans="1:2" x14ac:dyDescent="0.2">
      <c r="A3" t="s">
        <v>85</v>
      </c>
      <c r="B3" s="138">
        <f>'خطة الإمداد'!W40</f>
        <v>2</v>
      </c>
    </row>
    <row r="4" spans="1:2" x14ac:dyDescent="0.2">
      <c r="A4" t="s">
        <v>109</v>
      </c>
      <c r="B4" s="138">
        <f>'خطة الإمداد'!W44</f>
        <v>1</v>
      </c>
    </row>
    <row r="5" spans="1:2" x14ac:dyDescent="0.2">
      <c r="A5" t="s">
        <v>90</v>
      </c>
      <c r="B5" s="138">
        <f>'خطة الإمداد'!W48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1" t="s">
        <v>0</v>
      </c>
      <c r="B1" s="371"/>
      <c r="C1" s="371"/>
      <c r="D1" s="371"/>
      <c r="E1" s="371"/>
      <c r="X1" s="367"/>
      <c r="Y1" s="367"/>
    </row>
    <row r="2" spans="1:25" ht="15.75" x14ac:dyDescent="0.25">
      <c r="A2" s="371" t="s">
        <v>1</v>
      </c>
      <c r="B2" s="371"/>
      <c r="C2" s="371"/>
      <c r="D2" s="371"/>
      <c r="E2" s="371"/>
    </row>
    <row r="3" spans="1:25" ht="15.75" x14ac:dyDescent="0.25">
      <c r="A3" s="371" t="s">
        <v>2</v>
      </c>
      <c r="B3" s="371"/>
      <c r="C3" s="371"/>
      <c r="D3" s="371"/>
      <c r="E3" s="371"/>
    </row>
    <row r="5" spans="1:25" ht="36.75" customHeight="1" thickBot="1" x14ac:dyDescent="0.3">
      <c r="G5" s="199"/>
      <c r="H5" s="370" t="s">
        <v>161</v>
      </c>
      <c r="I5" s="370"/>
      <c r="J5" s="370"/>
      <c r="K5" s="370"/>
      <c r="L5" s="370"/>
      <c r="M5" s="370"/>
      <c r="N5" s="370"/>
      <c r="O5" s="370"/>
      <c r="T5" s="200" t="s">
        <v>41</v>
      </c>
    </row>
    <row r="6" spans="1:25" ht="20.100000000000001" customHeight="1" thickBot="1" x14ac:dyDescent="0.25">
      <c r="A6" s="369" t="s">
        <v>14</v>
      </c>
      <c r="B6" s="369" t="s">
        <v>3</v>
      </c>
      <c r="C6" s="369" t="s">
        <v>4</v>
      </c>
      <c r="D6" s="483" t="s">
        <v>5</v>
      </c>
      <c r="E6" s="484"/>
      <c r="F6" s="484"/>
      <c r="G6" s="485"/>
      <c r="H6" s="369" t="s">
        <v>4</v>
      </c>
      <c r="I6" s="483" t="s">
        <v>11</v>
      </c>
      <c r="J6" s="484"/>
      <c r="K6" s="484"/>
      <c r="L6" s="485"/>
      <c r="M6" s="369" t="s">
        <v>4</v>
      </c>
      <c r="N6" s="483" t="s">
        <v>12</v>
      </c>
      <c r="O6" s="484"/>
      <c r="P6" s="484"/>
      <c r="Q6" s="485"/>
      <c r="R6" s="369" t="s">
        <v>4</v>
      </c>
      <c r="S6" s="483" t="s">
        <v>13</v>
      </c>
      <c r="T6" s="484"/>
      <c r="U6" s="484"/>
      <c r="V6" s="485"/>
    </row>
    <row r="7" spans="1:25" ht="20.100000000000001" customHeight="1" thickBot="1" x14ac:dyDescent="0.25">
      <c r="A7" s="369"/>
      <c r="B7" s="369"/>
      <c r="C7" s="369"/>
      <c r="D7" s="201" t="s">
        <v>6</v>
      </c>
      <c r="E7" s="201" t="s">
        <v>7</v>
      </c>
      <c r="F7" s="201" t="s">
        <v>9</v>
      </c>
      <c r="G7" s="201" t="s">
        <v>10</v>
      </c>
      <c r="H7" s="369"/>
      <c r="I7" s="201" t="s">
        <v>6</v>
      </c>
      <c r="J7" s="201" t="s">
        <v>7</v>
      </c>
      <c r="K7" s="201" t="s">
        <v>9</v>
      </c>
      <c r="L7" s="201" t="s">
        <v>10</v>
      </c>
      <c r="M7" s="369"/>
      <c r="N7" s="201" t="s">
        <v>6</v>
      </c>
      <c r="O7" s="201" t="s">
        <v>7</v>
      </c>
      <c r="P7" s="201" t="s">
        <v>9</v>
      </c>
      <c r="Q7" s="201" t="s">
        <v>10</v>
      </c>
      <c r="R7" s="369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الإمداد'!E8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الإمداد'!F8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الإمداد'!D10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الإمداد'!E10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الإمداد'!F10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الإمداد'!G10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الإمداد'!D11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الإمداد'!E11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الإمداد'!F11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الإمداد'!D12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الإمداد'!E12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الإمداد'!G12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الإمداد'!D13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الإمداد'!E13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الإمداد'!G13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الإمداد'!E14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الإمداد'!F14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الإمداد'!E15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الإمداد'!F15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الإمداد'!G15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الإمداد'!E16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الإمداد'!F16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الإمداد'!G16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الإمداد'!E17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الإمداد'!F17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الإمداد'!G17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الإمداد'!E18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الإمداد'!F18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الإمداد'!E19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الإمداد'!F19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الإمداد'!G19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الإمداد'!E20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الإمداد'!F20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الإمداد'!G20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الإمداد'!E21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الإمداد'!F21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الإمداد'!D22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الإمداد'!E22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الإمداد'!G22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الإمداد'!E23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الإمداد'!G23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الإمداد'!E24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الإمداد'!F24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الإمداد'!G24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الإمداد'!E25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الإمداد'!F25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الإمداد'!G25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الإمداد'!E26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الإمداد'!F26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الإمداد'!G26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الإمداد'!E27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الإمداد'!F27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الإمداد'!G27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1" t="s">
        <v>34</v>
      </c>
      <c r="B28" s="381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68" t="s">
        <v>35</v>
      </c>
      <c r="B29" s="368"/>
      <c r="C29" s="372">
        <f>C28+H28+M28+R28</f>
        <v>4605</v>
      </c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4"/>
    </row>
    <row r="30" spans="1:26" ht="20.100000000000001" customHeight="1" thickBot="1" x14ac:dyDescent="0.25">
      <c r="A30" s="368" t="s">
        <v>36</v>
      </c>
      <c r="B30" s="368"/>
      <c r="C30" s="372">
        <f>D28+I28+N28+S28</f>
        <v>4605</v>
      </c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4"/>
    </row>
    <row r="31" spans="1:26" ht="20.100000000000001" customHeight="1" thickBot="1" x14ac:dyDescent="0.25">
      <c r="A31" s="368" t="s">
        <v>37</v>
      </c>
      <c r="B31" s="368"/>
      <c r="C31" s="372">
        <f>E28+J28+O28+T28</f>
        <v>0</v>
      </c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  <c r="V31" s="374"/>
    </row>
    <row r="32" spans="1:26" ht="15.75" thickBot="1" x14ac:dyDescent="0.25">
      <c r="A32" s="368" t="s">
        <v>38</v>
      </c>
      <c r="B32" s="368"/>
      <c r="C32" s="375">
        <f>C30/C29</f>
        <v>1</v>
      </c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7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2019-09-04T07:30:00Z</cp:lastPrinted>
  <dcterms:created xsi:type="dcterms:W3CDTF">2018-10-24T15:18:02Z</dcterms:created>
  <dcterms:modified xsi:type="dcterms:W3CDTF">2019-09-05T07:29:44Z</dcterms:modified>
</cp:coreProperties>
</file>