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Septemper\"/>
    </mc:Choice>
  </mc:AlternateContent>
  <bookViews>
    <workbookView xWindow="0" yWindow="0" windowWidth="21600" windowHeight="9735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المستودعات" sheetId="6" r:id="rId6"/>
    <sheet name="خطة الإمداد" sheetId="7" r:id="rId7"/>
    <sheet name="الاحتياجات اكسس" sheetId="8" state="hidden" r:id="rId8"/>
    <sheet name="سعت 1700" sheetId="9" state="hidden" r:id="rId9"/>
    <sheet name="سعت 2200" sheetId="10" state="hidden" r:id="rId10"/>
    <sheet name="احتياجات المحطات" sheetId="11" state="hidden" r:id="rId11"/>
    <sheet name="المسافات المقطوعة" sheetId="12" state="hidden" r:id="rId12"/>
    <sheet name="منطقة القاهرة" sheetId="13" r:id="rId13"/>
    <sheet name="القاهرة اكسس" sheetId="14" state="hidden" r:id="rId14"/>
    <sheet name="منطقة السويس" sheetId="15" r:id="rId15"/>
    <sheet name="السويس اكسس" sheetId="16" state="hidden" r:id="rId16"/>
    <sheet name="منطقة الاسكندرية" sheetId="17" r:id="rId17"/>
    <sheet name="الاسكندرية اكسس" sheetId="18" state="hidden" r:id="rId18"/>
    <sheet name="منطقة طنطا" sheetId="19" r:id="rId19"/>
    <sheet name="منطقة الزقاريق" sheetId="20" state="hidden" r:id="rId20"/>
    <sheet name="توزيع الخطة" sheetId="21" r:id="rId21"/>
    <sheet name="Sheet1" sheetId="22" state="hidden" r:id="rId22"/>
    <sheet name="طنطا اكسس" sheetId="23" state="hidden" r:id="rId23"/>
  </sheets>
  <externalReferences>
    <externalReference r:id="rId24"/>
  </externalReferences>
  <definedNames>
    <definedName name="D10000000">'أخذ التمام الصباحي'!$D$1000000</definedName>
    <definedName name="D2000000">'أخذ التمام الصباحي'!$D$1000000</definedName>
    <definedName name="_xlnm.Print_Area" localSheetId="8">'سعت 1700'!$A$1:$V$32</definedName>
    <definedName name="_xlnm.Print_Area" localSheetId="9">'سعت 2200'!$A$1:$V$32</definedName>
    <definedName name="_xlnm.Print_Area" localSheetId="2">'موقف المحطات'!$A$1:$Q$68</definedName>
    <definedName name="Z_18C0F7AC_4BB1_46DE_8A01_8E31FE0585FC_.wvu.Cols" localSheetId="6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8" hidden="1">'سعت 1700'!$A$1:$V$32</definedName>
    <definedName name="Z_18C0F7AC_4BB1_46DE_8A01_8E31FE0585FC_.wvu.PrintArea" localSheetId="9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6" hidden="1">'خطة الإمداد'!$1:$28</definedName>
    <definedName name="Z_8317B6D8_8A99_4EB0_9DBC_8E9AE0170A4B_.wvu.Cols" localSheetId="6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8" hidden="1">'سعت 1700'!$A$1:$V$32</definedName>
    <definedName name="Z_8317B6D8_8A99_4EB0_9DBC_8E9AE0170A4B_.wvu.PrintArea" localSheetId="9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p - Personal View" guid="{8317B6D8-8A99-4EB0-9DBC-8E9AE0170A4B}" mergeInterval="0" personalView="1" xWindow="527" yWindow="257" windowWidth="1314" windowHeight="542" tabRatio="631" activeSheetId="4"/>
    <customWorkbookView name="pp - Personal View" guid="{18C0F7AC-4BB1-46DE-8A01-8E31FE0585FC}" mergeInterval="0" personalView="1" maximized="1" xWindow="-8" yWindow="-8" windowWidth="1456" windowHeight="8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H35" i="1" s="1"/>
  <c r="E35" i="1"/>
  <c r="F35" i="1"/>
  <c r="G34" i="6" l="1"/>
  <c r="F34" i="6"/>
  <c r="C34" i="2" l="1"/>
  <c r="D34" i="2"/>
  <c r="E34" i="2"/>
  <c r="F34" i="2"/>
  <c r="G34" i="2"/>
  <c r="H34" i="2"/>
  <c r="I34" i="2"/>
  <c r="J34" i="2" s="1"/>
  <c r="O34" i="2" s="1"/>
  <c r="Q34" i="2" s="1"/>
  <c r="L34" i="2"/>
  <c r="N34" i="2" s="1"/>
  <c r="M34" i="2"/>
  <c r="P34" i="2"/>
  <c r="C35" i="2"/>
  <c r="D35" i="2"/>
  <c r="O35" i="2" s="1"/>
  <c r="Q35" i="2" s="1"/>
  <c r="E35" i="2"/>
  <c r="F35" i="2"/>
  <c r="G35" i="2" s="1"/>
  <c r="I35" i="2"/>
  <c r="K35" i="2" s="1"/>
  <c r="J35" i="2"/>
  <c r="L35" i="2"/>
  <c r="M35" i="2"/>
  <c r="N35" i="2"/>
  <c r="P35" i="2"/>
  <c r="C36" i="2"/>
  <c r="D36" i="2" s="1"/>
  <c r="O36" i="2" s="1"/>
  <c r="Q36" i="2" s="1"/>
  <c r="F36" i="2"/>
  <c r="H36" i="2" s="1"/>
  <c r="G36" i="2"/>
  <c r="I36" i="2"/>
  <c r="J36" i="2"/>
  <c r="K36" i="2"/>
  <c r="L36" i="2"/>
  <c r="M36" i="2"/>
  <c r="N36" i="2"/>
  <c r="P36" i="2"/>
  <c r="C37" i="2"/>
  <c r="E37" i="2" s="1"/>
  <c r="D37" i="2"/>
  <c r="O37" i="2" s="1"/>
  <c r="F37" i="2"/>
  <c r="G37" i="2"/>
  <c r="H37" i="2"/>
  <c r="I37" i="2"/>
  <c r="J37" i="2"/>
  <c r="K37" i="2"/>
  <c r="L37" i="2"/>
  <c r="M37" i="2" s="1"/>
  <c r="G39" i="1"/>
  <c r="I39" i="1"/>
  <c r="M39" i="1"/>
  <c r="O39" i="1"/>
  <c r="S39" i="1"/>
  <c r="U39" i="1"/>
  <c r="Y39" i="1"/>
  <c r="C39" i="1"/>
  <c r="V38" i="1"/>
  <c r="Z38" i="1" s="1"/>
  <c r="W38" i="1"/>
  <c r="X38" i="1"/>
  <c r="J35" i="1"/>
  <c r="N35" i="1" s="1"/>
  <c r="K35" i="1"/>
  <c r="L35" i="1"/>
  <c r="P35" i="1"/>
  <c r="T35" i="1" s="1"/>
  <c r="Q35" i="1"/>
  <c r="R35" i="1"/>
  <c r="J36" i="1"/>
  <c r="N36" i="1" s="1"/>
  <c r="K36" i="1"/>
  <c r="L36" i="1"/>
  <c r="P36" i="1"/>
  <c r="T36" i="1" s="1"/>
  <c r="Q36" i="1"/>
  <c r="R36" i="1"/>
  <c r="J37" i="1"/>
  <c r="N37" i="1" s="1"/>
  <c r="K37" i="1"/>
  <c r="L37" i="1"/>
  <c r="P37" i="1"/>
  <c r="T37" i="1" s="1"/>
  <c r="Q37" i="1"/>
  <c r="R37" i="1"/>
  <c r="J38" i="1"/>
  <c r="N38" i="1" s="1"/>
  <c r="K38" i="1"/>
  <c r="L38" i="1"/>
  <c r="P38" i="1"/>
  <c r="T38" i="1" s="1"/>
  <c r="Q38" i="1"/>
  <c r="R38" i="1"/>
  <c r="Q32" i="4"/>
  <c r="Q33" i="4"/>
  <c r="Q34" i="4"/>
  <c r="Q35" i="4"/>
  <c r="P37" i="2" s="1"/>
  <c r="Q37" i="2" l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E17" i="5"/>
  <c r="G16" i="5"/>
  <c r="G18" i="5" s="1"/>
  <c r="F16" i="5"/>
  <c r="E16" i="5"/>
  <c r="D16" i="5"/>
  <c r="F15" i="5"/>
  <c r="D15" i="5"/>
  <c r="F14" i="5"/>
  <c r="E15" i="5"/>
  <c r="E14" i="5"/>
  <c r="E13" i="5"/>
  <c r="F13" i="5"/>
  <c r="F12" i="5"/>
  <c r="E12" i="5"/>
  <c r="E11" i="5"/>
  <c r="F11" i="5"/>
  <c r="F10" i="5"/>
  <c r="E10" i="5"/>
  <c r="H10" i="5" l="1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R39" i="1" s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F39" i="1" l="1"/>
  <c r="C44" i="1" s="1"/>
  <c r="X39" i="1"/>
  <c r="D39" i="1"/>
  <c r="J39" i="1"/>
  <c r="P39" i="1"/>
  <c r="V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H39" i="1" l="1"/>
  <c r="C41" i="1"/>
  <c r="C45" i="1" s="1"/>
  <c r="N39" i="1"/>
  <c r="T39" i="1"/>
  <c r="K8" i="1"/>
  <c r="F32" i="7" s="1"/>
  <c r="Q8" i="1"/>
  <c r="G32" i="7" s="1"/>
  <c r="K9" i="1"/>
  <c r="F33" i="7" s="1"/>
  <c r="M33" i="7" s="1"/>
  <c r="Q9" i="1"/>
  <c r="G33" i="7" s="1"/>
  <c r="N33" i="7" s="1"/>
  <c r="E10" i="1"/>
  <c r="E34" i="7" s="1"/>
  <c r="L34" i="7" s="1"/>
  <c r="K10" i="1"/>
  <c r="F34" i="7" s="1"/>
  <c r="M34" i="7" s="1"/>
  <c r="Q10" i="1"/>
  <c r="G34" i="7" s="1"/>
  <c r="N34" i="7" s="1"/>
  <c r="E11" i="1"/>
  <c r="E35" i="7" s="1"/>
  <c r="L35" i="7" s="1"/>
  <c r="K11" i="1"/>
  <c r="F35" i="7" s="1"/>
  <c r="M35" i="7" s="1"/>
  <c r="Q11" i="1"/>
  <c r="G35" i="7" s="1"/>
  <c r="N35" i="7" s="1"/>
  <c r="W11" i="1"/>
  <c r="H35" i="7" s="1"/>
  <c r="O35" i="7" s="1"/>
  <c r="K12" i="1"/>
  <c r="F36" i="7" s="1"/>
  <c r="M36" i="7" s="1"/>
  <c r="Q12" i="1"/>
  <c r="G36" i="7" s="1"/>
  <c r="N36" i="7" s="1"/>
  <c r="E13" i="1"/>
  <c r="E37" i="7" s="1"/>
  <c r="L37" i="7" s="1"/>
  <c r="K13" i="1"/>
  <c r="F37" i="7" s="1"/>
  <c r="M37" i="7" s="1"/>
  <c r="W13" i="1"/>
  <c r="H37" i="7" s="1"/>
  <c r="O37" i="7" s="1"/>
  <c r="E14" i="1"/>
  <c r="E38" i="7" s="1"/>
  <c r="L38" i="7" s="1"/>
  <c r="K14" i="1"/>
  <c r="F38" i="7" s="1"/>
  <c r="M38" i="7" s="1"/>
  <c r="W14" i="1"/>
  <c r="K15" i="1"/>
  <c r="F39" i="7" s="1"/>
  <c r="M39" i="7" s="1"/>
  <c r="Q15" i="1"/>
  <c r="G39" i="7" s="1"/>
  <c r="N39" i="7" s="1"/>
  <c r="K16" i="1"/>
  <c r="Q16" i="1"/>
  <c r="W16" i="1"/>
  <c r="K17" i="1"/>
  <c r="F41" i="7" s="1"/>
  <c r="M41" i="7" s="1"/>
  <c r="Q17" i="1"/>
  <c r="G41" i="7" s="1"/>
  <c r="N41" i="7" s="1"/>
  <c r="W17" i="1"/>
  <c r="H41" i="7" s="1"/>
  <c r="O41" i="7" s="1"/>
  <c r="K18" i="1"/>
  <c r="F42" i="7" s="1"/>
  <c r="M42" i="7" s="1"/>
  <c r="Q18" i="1"/>
  <c r="G42" i="7" s="1"/>
  <c r="N42" i="7" s="1"/>
  <c r="W18" i="1"/>
  <c r="H42" i="7" s="1"/>
  <c r="O42" i="7" s="1"/>
  <c r="K19" i="1"/>
  <c r="F43" i="7" s="1"/>
  <c r="M43" i="7" s="1"/>
  <c r="Q19" i="1"/>
  <c r="G43" i="7" s="1"/>
  <c r="N43" i="7" s="1"/>
  <c r="K20" i="1"/>
  <c r="F44" i="7" s="1"/>
  <c r="M44" i="7" s="1"/>
  <c r="Q20" i="1"/>
  <c r="G44" i="7" s="1"/>
  <c r="N44" i="7" s="1"/>
  <c r="W20" i="1"/>
  <c r="K21" i="1"/>
  <c r="F45" i="7" s="1"/>
  <c r="M45" i="7" s="1"/>
  <c r="Q21" i="1"/>
  <c r="G45" i="7" s="1"/>
  <c r="N45" i="7" s="1"/>
  <c r="W21" i="1"/>
  <c r="K22" i="1"/>
  <c r="F46" i="7" s="1"/>
  <c r="M46" i="7" s="1"/>
  <c r="Q22" i="1"/>
  <c r="G46" i="7" s="1"/>
  <c r="N46" i="7" s="1"/>
  <c r="E23" i="1"/>
  <c r="K23" i="1"/>
  <c r="F47" i="7" s="1"/>
  <c r="M47" i="7" s="1"/>
  <c r="W23" i="1"/>
  <c r="H47" i="7" s="1"/>
  <c r="O47" i="7" s="1"/>
  <c r="K24" i="1"/>
  <c r="F48" i="7" s="1"/>
  <c r="M48" i="7" s="1"/>
  <c r="W24" i="1"/>
  <c r="H48" i="7" s="1"/>
  <c r="O48" i="7" s="1"/>
  <c r="K25" i="1"/>
  <c r="F49" i="7" s="1"/>
  <c r="M49" i="7" s="1"/>
  <c r="Q25" i="1"/>
  <c r="G49" i="7" s="1"/>
  <c r="N49" i="7" s="1"/>
  <c r="W25" i="1"/>
  <c r="H49" i="7" s="1"/>
  <c r="O49" i="7" s="1"/>
  <c r="K26" i="1"/>
  <c r="F50" i="7" s="1"/>
  <c r="M50" i="7" s="1"/>
  <c r="Q26" i="1"/>
  <c r="G50" i="7" s="1"/>
  <c r="N50" i="7" s="1"/>
  <c r="W26" i="1"/>
  <c r="K27" i="1"/>
  <c r="F51" i="7" s="1"/>
  <c r="M51" i="7" s="1"/>
  <c r="Q27" i="1"/>
  <c r="G51" i="7" s="1"/>
  <c r="N51" i="7" s="1"/>
  <c r="W27" i="1"/>
  <c r="K28" i="1"/>
  <c r="F52" i="7" s="1"/>
  <c r="M52" i="7" s="1"/>
  <c r="Q28" i="1"/>
  <c r="G52" i="7" s="1"/>
  <c r="N52" i="7" s="1"/>
  <c r="W28" i="1"/>
  <c r="H52" i="7" s="1"/>
  <c r="O52" i="7" s="1"/>
  <c r="E29" i="1"/>
  <c r="E53" i="7" s="1"/>
  <c r="L53" i="7" s="1"/>
  <c r="K29" i="1"/>
  <c r="F53" i="7" s="1"/>
  <c r="M53" i="7" s="1"/>
  <c r="Q29" i="1"/>
  <c r="G53" i="7" s="1"/>
  <c r="N53" i="7" s="1"/>
  <c r="W29" i="1"/>
  <c r="H53" i="7" s="1"/>
  <c r="O53" i="7" s="1"/>
  <c r="K30" i="1"/>
  <c r="F54" i="7" s="1"/>
  <c r="M54" i="7" s="1"/>
  <c r="Q30" i="1"/>
  <c r="G54" i="7" s="1"/>
  <c r="N54" i="7" s="1"/>
  <c r="K31" i="1"/>
  <c r="F55" i="7" s="1"/>
  <c r="M55" i="7" s="1"/>
  <c r="Q31" i="1"/>
  <c r="G55" i="7" s="1"/>
  <c r="N55" i="7" s="1"/>
  <c r="K32" i="1"/>
  <c r="F56" i="7" s="1"/>
  <c r="M56" i="7" s="1"/>
  <c r="Q32" i="1"/>
  <c r="G56" i="7" s="1"/>
  <c r="N56" i="7" s="1"/>
  <c r="K33" i="1"/>
  <c r="F57" i="7" s="1"/>
  <c r="M57" i="7" s="1"/>
  <c r="Q33" i="1"/>
  <c r="G57" i="7" s="1"/>
  <c r="N57" i="7" s="1"/>
  <c r="K34" i="1"/>
  <c r="F58" i="7" s="1"/>
  <c r="M58" i="7" s="1"/>
  <c r="Q34" i="1"/>
  <c r="G58" i="7" s="1"/>
  <c r="N58" i="7" s="1"/>
  <c r="N8" i="1"/>
  <c r="Z11" i="1"/>
  <c r="Z39" i="1" s="1"/>
  <c r="E47" i="7" l="1"/>
  <c r="L47" i="7" s="1"/>
  <c r="E39" i="1"/>
  <c r="H40" i="7"/>
  <c r="O40" i="7" s="1"/>
  <c r="W39" i="1"/>
  <c r="F40" i="7"/>
  <c r="M40" i="7" s="1"/>
  <c r="K39" i="1"/>
  <c r="G40" i="7"/>
  <c r="N40" i="7" s="1"/>
  <c r="Q39" i="1"/>
  <c r="H50" i="7"/>
  <c r="O50" i="7" s="1"/>
  <c r="H38" i="7"/>
  <c r="O38" i="7" s="1"/>
  <c r="H45" i="7"/>
  <c r="O45" i="7" s="1"/>
  <c r="H44" i="7"/>
  <c r="O44" i="7" s="1"/>
  <c r="H51" i="7"/>
  <c r="O51" i="7" s="1"/>
  <c r="C42" i="1" l="1"/>
  <c r="Q19" i="6"/>
  <c r="P9" i="6"/>
  <c r="Q9" i="6"/>
  <c r="R9" i="6"/>
  <c r="S9" i="6"/>
  <c r="V16" i="6" s="1"/>
  <c r="T9" i="6"/>
  <c r="O9" i="6"/>
  <c r="G22" i="6"/>
  <c r="W16" i="6" l="1"/>
  <c r="U16" i="6"/>
  <c r="D18" i="15"/>
  <c r="D17" i="20"/>
  <c r="D15" i="20"/>
  <c r="D17" i="19"/>
  <c r="D15" i="19"/>
  <c r="D20" i="15"/>
  <c r="D21" i="17"/>
  <c r="D18" i="17"/>
  <c r="D16" i="17"/>
  <c r="D22" i="15"/>
  <c r="D17" i="15"/>
  <c r="F24" i="13"/>
  <c r="F23" i="13"/>
  <c r="F22" i="13"/>
  <c r="L11" i="3"/>
  <c r="I11" i="3"/>
  <c r="F11" i="3"/>
  <c r="C11" i="3"/>
  <c r="K44" i="6" l="1"/>
  <c r="H34" i="6" s="1"/>
  <c r="T15" i="6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O32" i="2" s="1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29" i="2" l="1"/>
  <c r="Q29" i="2" s="1"/>
  <c r="J10" i="20"/>
  <c r="J9" i="20"/>
  <c r="J8" i="20"/>
  <c r="J7" i="20"/>
  <c r="C44" i="6"/>
  <c r="D44" i="6"/>
  <c r="F22" i="6" s="1"/>
  <c r="E44" i="6"/>
  <c r="C22" i="6" s="1"/>
  <c r="F44" i="6"/>
  <c r="D22" i="6" s="1"/>
  <c r="G44" i="6"/>
  <c r="E22" i="6" s="1"/>
  <c r="H44" i="6"/>
  <c r="I44" i="6"/>
  <c r="J44" i="6"/>
  <c r="I34" i="6" s="1"/>
  <c r="L44" i="6"/>
  <c r="M44" i="6"/>
  <c r="D34" i="6" s="1"/>
  <c r="N44" i="6"/>
  <c r="E34" i="6" s="1"/>
  <c r="B44" i="6"/>
  <c r="H22" i="6" s="1"/>
  <c r="Q31" i="2"/>
  <c r="Q31" i="4"/>
  <c r="D39" i="4"/>
  <c r="M39" i="4"/>
  <c r="J39" i="4"/>
  <c r="G39" i="4"/>
  <c r="T14" i="6" l="1"/>
  <c r="C34" i="6"/>
  <c r="I22" i="6"/>
  <c r="W15" i="6"/>
  <c r="V15" i="6"/>
  <c r="U14" i="6"/>
  <c r="U15" i="6"/>
  <c r="W14" i="6"/>
  <c r="U20" i="6"/>
  <c r="T20" i="6"/>
  <c r="W20" i="6"/>
  <c r="Q32" i="2"/>
  <c r="P33" i="2"/>
  <c r="Q33" i="2" s="1"/>
  <c r="C28" i="2"/>
  <c r="D28" i="2" s="1"/>
  <c r="V14" i="6" l="1"/>
  <c r="V20" i="6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I16" i="2"/>
  <c r="J16" i="2" s="1"/>
  <c r="I17" i="2"/>
  <c r="J17" i="2" s="1"/>
  <c r="I18" i="2"/>
  <c r="K18" i="2" s="1"/>
  <c r="I19" i="2"/>
  <c r="K19" i="2" s="1"/>
  <c r="I20" i="2"/>
  <c r="J20" i="2" s="1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F16" i="2"/>
  <c r="H16" i="2" s="1"/>
  <c r="F17" i="2"/>
  <c r="G17" i="2" s="1"/>
  <c r="F18" i="2"/>
  <c r="G18" i="2" s="1"/>
  <c r="F19" i="2"/>
  <c r="H19" i="2" s="1"/>
  <c r="F20" i="2"/>
  <c r="G20" i="2" s="1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15" i="2" l="1"/>
  <c r="J15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7"/>
  <c r="N32" i="7"/>
  <c r="D19" i="3" l="1"/>
  <c r="D28" i="3" l="1"/>
  <c r="C28" i="3"/>
  <c r="A5" i="21" l="1"/>
  <c r="K5" i="13"/>
  <c r="L5" i="13"/>
  <c r="M5" i="13"/>
  <c r="N5" i="13"/>
  <c r="O5" i="13"/>
  <c r="L6" i="13"/>
  <c r="M6" i="13"/>
  <c r="N6" i="13"/>
  <c r="O6" i="13"/>
  <c r="K7" i="13"/>
  <c r="L7" i="13"/>
  <c r="O7" i="13"/>
  <c r="K8" i="13"/>
  <c r="L8" i="13"/>
  <c r="O8" i="13"/>
  <c r="K9" i="13"/>
  <c r="K10" i="13"/>
  <c r="O10" i="13"/>
  <c r="K11" i="13"/>
  <c r="N11" i="13"/>
  <c r="K12" i="13"/>
  <c r="N12" i="13"/>
  <c r="K13" i="13"/>
  <c r="L13" i="13"/>
  <c r="O13" i="13"/>
  <c r="K14" i="13"/>
  <c r="L14" i="13"/>
  <c r="N8" i="13"/>
  <c r="M8" i="13"/>
  <c r="R9" i="7"/>
  <c r="I8" i="2"/>
  <c r="K8" i="2" s="1"/>
  <c r="F8" i="2"/>
  <c r="G8" i="2" s="1"/>
  <c r="J8" i="2" l="1"/>
  <c r="O8" i="2" s="1"/>
  <c r="Q8" i="2" s="1"/>
  <c r="H8" i="2"/>
  <c r="R33" i="7"/>
  <c r="B28" i="21"/>
  <c r="K12" i="21" l="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31" i="21"/>
  <c r="L31" i="21"/>
  <c r="K32" i="21"/>
  <c r="L32" i="21"/>
  <c r="K33" i="21"/>
  <c r="L33" i="21"/>
  <c r="K34" i="21"/>
  <c r="L34" i="21"/>
  <c r="A31" i="21"/>
  <c r="B31" i="21"/>
  <c r="C31" i="21"/>
  <c r="D31" i="21"/>
  <c r="E31" i="21"/>
  <c r="F31" i="21"/>
  <c r="A32" i="21"/>
  <c r="B32" i="21"/>
  <c r="C32" i="21"/>
  <c r="D32" i="21"/>
  <c r="E32" i="21"/>
  <c r="F32" i="21"/>
  <c r="A33" i="21"/>
  <c r="B33" i="21"/>
  <c r="C33" i="21"/>
  <c r="D33" i="21"/>
  <c r="E33" i="21"/>
  <c r="F33" i="21"/>
  <c r="A34" i="21"/>
  <c r="A35" i="21"/>
  <c r="A36" i="21"/>
  <c r="A37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A22" i="21"/>
  <c r="B22" i="21"/>
  <c r="C22" i="21"/>
  <c r="D22" i="21"/>
  <c r="E22" i="21"/>
  <c r="F22" i="21"/>
  <c r="G22" i="21"/>
  <c r="H22" i="21"/>
  <c r="I22" i="21"/>
  <c r="A23" i="21"/>
  <c r="B23" i="21"/>
  <c r="C23" i="21"/>
  <c r="D23" i="21"/>
  <c r="E23" i="21"/>
  <c r="F23" i="21"/>
  <c r="G23" i="21"/>
  <c r="H23" i="21"/>
  <c r="I23" i="21"/>
  <c r="A24" i="21"/>
  <c r="B24" i="21"/>
  <c r="C24" i="21"/>
  <c r="D24" i="21"/>
  <c r="E24" i="21"/>
  <c r="F24" i="21"/>
  <c r="G24" i="21"/>
  <c r="H24" i="21"/>
  <c r="I24" i="21"/>
  <c r="A25" i="21"/>
  <c r="A26" i="21"/>
  <c r="A27" i="21"/>
  <c r="A28" i="21"/>
  <c r="A13" i="21"/>
  <c r="B13" i="21"/>
  <c r="C13" i="21"/>
  <c r="D13" i="21"/>
  <c r="E13" i="21"/>
  <c r="F13" i="21"/>
  <c r="G13" i="21"/>
  <c r="H13" i="21"/>
  <c r="A14" i="21"/>
  <c r="B14" i="21"/>
  <c r="C14" i="21"/>
  <c r="D14" i="21"/>
  <c r="E14" i="21"/>
  <c r="F14" i="21"/>
  <c r="G14" i="21"/>
  <c r="H14" i="21"/>
  <c r="A15" i="21"/>
  <c r="B15" i="21"/>
  <c r="C15" i="21"/>
  <c r="D15" i="21"/>
  <c r="E15" i="21"/>
  <c r="F15" i="21"/>
  <c r="G15" i="21"/>
  <c r="H15" i="21"/>
  <c r="A16" i="21"/>
  <c r="A17" i="21"/>
  <c r="A18" i="21"/>
  <c r="A19" i="21"/>
  <c r="K1" i="21"/>
  <c r="K2" i="21"/>
  <c r="L2" i="21"/>
  <c r="K3" i="21"/>
  <c r="L3" i="21"/>
  <c r="K4" i="21"/>
  <c r="L4" i="21"/>
  <c r="K5" i="21"/>
  <c r="K6" i="21"/>
  <c r="L6" i="21"/>
  <c r="L7" i="21"/>
  <c r="K8" i="21"/>
  <c r="L8" i="21"/>
  <c r="K9" i="21"/>
  <c r="L9" i="21"/>
  <c r="A1" i="21"/>
  <c r="B1" i="21"/>
  <c r="C1" i="21"/>
  <c r="D1" i="21"/>
  <c r="E1" i="21"/>
  <c r="F1" i="21"/>
  <c r="G1" i="21"/>
  <c r="H1" i="21"/>
  <c r="A2" i="21"/>
  <c r="B2" i="21"/>
  <c r="C2" i="21"/>
  <c r="D2" i="21"/>
  <c r="E2" i="21"/>
  <c r="F2" i="21"/>
  <c r="G2" i="21"/>
  <c r="H2" i="21"/>
  <c r="A3" i="21"/>
  <c r="B3" i="21"/>
  <c r="C3" i="21"/>
  <c r="D3" i="21"/>
  <c r="E3" i="21"/>
  <c r="F3" i="21"/>
  <c r="G3" i="21"/>
  <c r="H3" i="21"/>
  <c r="A4" i="21"/>
  <c r="A6" i="21"/>
  <c r="A7" i="21"/>
  <c r="A8" i="21"/>
  <c r="A9" i="21"/>
  <c r="A10" i="21"/>
  <c r="A11" i="21"/>
  <c r="J7" i="19" l="1"/>
  <c r="J8" i="19"/>
  <c r="J9" i="19"/>
  <c r="J10" i="19"/>
  <c r="L7" i="17"/>
  <c r="L8" i="17"/>
  <c r="O8" i="17"/>
  <c r="N9" i="17"/>
  <c r="L10" i="17"/>
  <c r="N10" i="17"/>
  <c r="L7" i="15"/>
  <c r="L8" i="15"/>
  <c r="L9" i="15"/>
  <c r="O9" i="15"/>
  <c r="L10" i="15"/>
  <c r="O24" i="9" l="1"/>
  <c r="N24" i="9" s="1"/>
  <c r="Q24" i="9" s="1"/>
  <c r="O25" i="9"/>
  <c r="N25" i="9" s="1"/>
  <c r="Q25" i="9" s="1"/>
  <c r="O26" i="9"/>
  <c r="N26" i="9" s="1"/>
  <c r="Q26" i="9" s="1"/>
  <c r="O27" i="9"/>
  <c r="N27" i="9" s="1"/>
  <c r="Q27" i="9" s="1"/>
  <c r="T23" i="9"/>
  <c r="S23" i="9" s="1"/>
  <c r="V23" i="9" s="1"/>
  <c r="T24" i="9"/>
  <c r="S24" i="9" s="1"/>
  <c r="V24" i="9" s="1"/>
  <c r="T25" i="9"/>
  <c r="S25" i="9" s="1"/>
  <c r="V25" i="9" s="1"/>
  <c r="T26" i="9"/>
  <c r="S26" i="9" s="1"/>
  <c r="V26" i="9" s="1"/>
  <c r="T27" i="9"/>
  <c r="S27" i="9" s="1"/>
  <c r="V27" i="9" s="1"/>
  <c r="T22" i="9"/>
  <c r="S22" i="9" s="1"/>
  <c r="V22" i="9" s="1"/>
  <c r="T13" i="9"/>
  <c r="S13" i="9" s="1"/>
  <c r="V13" i="9" s="1"/>
  <c r="T15" i="9"/>
  <c r="S15" i="9" s="1"/>
  <c r="V15" i="9" s="1"/>
  <c r="T16" i="9"/>
  <c r="S16" i="9" s="1"/>
  <c r="V16" i="9" s="1"/>
  <c r="T17" i="9"/>
  <c r="S17" i="9" s="1"/>
  <c r="V17" i="9" s="1"/>
  <c r="T19" i="9"/>
  <c r="S19" i="9" s="1"/>
  <c r="V19" i="9" s="1"/>
  <c r="T20" i="9"/>
  <c r="S20" i="9" s="1"/>
  <c r="V20" i="9" s="1"/>
  <c r="T12" i="9"/>
  <c r="S12" i="9" s="1"/>
  <c r="V12" i="9" s="1"/>
  <c r="T10" i="9"/>
  <c r="S10" i="9" s="1"/>
  <c r="V10" i="9" s="1"/>
  <c r="O11" i="9"/>
  <c r="N11" i="9" s="1"/>
  <c r="Q11" i="9" s="1"/>
  <c r="O14" i="9"/>
  <c r="N14" i="9" s="1"/>
  <c r="Q14" i="9" s="1"/>
  <c r="O15" i="9"/>
  <c r="N15" i="9" s="1"/>
  <c r="Q15" i="9" s="1"/>
  <c r="O16" i="9"/>
  <c r="N16" i="9" s="1"/>
  <c r="Q16" i="9" s="1"/>
  <c r="O17" i="9"/>
  <c r="N17" i="9" s="1"/>
  <c r="Q17" i="9" s="1"/>
  <c r="O18" i="9"/>
  <c r="N18" i="9" s="1"/>
  <c r="Q18" i="9" s="1"/>
  <c r="O19" i="9"/>
  <c r="N19" i="9" s="1"/>
  <c r="Q19" i="9" s="1"/>
  <c r="O20" i="9"/>
  <c r="N20" i="9" s="1"/>
  <c r="Q20" i="9" s="1"/>
  <c r="O21" i="9"/>
  <c r="N21" i="9" s="1"/>
  <c r="Q21" i="9" s="1"/>
  <c r="O10" i="9"/>
  <c r="N10" i="9" s="1"/>
  <c r="Q10" i="9" s="1"/>
  <c r="O8" i="9"/>
  <c r="J23" i="9"/>
  <c r="I23" i="9" s="1"/>
  <c r="L23" i="9" s="1"/>
  <c r="J24" i="9"/>
  <c r="I24" i="9" s="1"/>
  <c r="L24" i="9" s="1"/>
  <c r="J25" i="9"/>
  <c r="I25" i="9" s="1"/>
  <c r="L25" i="9" s="1"/>
  <c r="J26" i="9"/>
  <c r="I26" i="9" s="1"/>
  <c r="L26" i="9" s="1"/>
  <c r="J27" i="9"/>
  <c r="I27" i="9" s="1"/>
  <c r="L27" i="9" s="1"/>
  <c r="J22" i="9"/>
  <c r="I22" i="9" s="1"/>
  <c r="L22" i="9" s="1"/>
  <c r="J11" i="9"/>
  <c r="J12" i="9"/>
  <c r="I12" i="9" s="1"/>
  <c r="L12" i="9" s="1"/>
  <c r="J13" i="9"/>
  <c r="I13" i="9" s="1"/>
  <c r="L13" i="9" s="1"/>
  <c r="J14" i="9"/>
  <c r="I14" i="9" s="1"/>
  <c r="L14" i="9" s="1"/>
  <c r="J15" i="9"/>
  <c r="I15" i="9" s="1"/>
  <c r="L15" i="9" s="1"/>
  <c r="J16" i="9"/>
  <c r="I16" i="9" s="1"/>
  <c r="L16" i="9" s="1"/>
  <c r="J17" i="9"/>
  <c r="I17" i="9" s="1"/>
  <c r="L17" i="9" s="1"/>
  <c r="J18" i="9"/>
  <c r="I18" i="9" s="1"/>
  <c r="L18" i="9" s="1"/>
  <c r="J19" i="9"/>
  <c r="I19" i="9" s="1"/>
  <c r="L19" i="9" s="1"/>
  <c r="J20" i="9"/>
  <c r="I20" i="9" s="1"/>
  <c r="L20" i="9" s="1"/>
  <c r="J21" i="9"/>
  <c r="I21" i="9" s="1"/>
  <c r="L21" i="9" s="1"/>
  <c r="J10" i="9"/>
  <c r="I10" i="9" s="1"/>
  <c r="L10" i="9" s="1"/>
  <c r="I11" i="9"/>
  <c r="L11" i="9" s="1"/>
  <c r="J8" i="9"/>
  <c r="E22" i="9"/>
  <c r="D22" i="9" s="1"/>
  <c r="G22" i="9" s="1"/>
  <c r="E11" i="9"/>
  <c r="D11" i="9" s="1"/>
  <c r="G11" i="9" s="1"/>
  <c r="E12" i="9"/>
  <c r="D12" i="9" s="1"/>
  <c r="G12" i="9" s="1"/>
  <c r="E13" i="9"/>
  <c r="D13" i="9" s="1"/>
  <c r="G13" i="9" s="1"/>
  <c r="E10" i="9"/>
  <c r="D10" i="9" s="1"/>
  <c r="G10" i="9" s="1"/>
  <c r="U28" i="9"/>
  <c r="R28" i="9"/>
  <c r="P28" i="9"/>
  <c r="M28" i="9"/>
  <c r="K28" i="9"/>
  <c r="H28" i="9"/>
  <c r="F28" i="9"/>
  <c r="C28" i="9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2" i="10"/>
  <c r="S12" i="10" s="1"/>
  <c r="V1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0" i="10"/>
  <c r="S10" i="10" s="1"/>
  <c r="V10" i="10" s="1"/>
  <c r="O24" i="10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N8" i="10" s="1"/>
  <c r="Q8" i="10" s="1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E22" i="10"/>
  <c r="D22" i="10" s="1"/>
  <c r="G22" i="10" s="1"/>
  <c r="J11" i="10"/>
  <c r="I11" i="10" s="1"/>
  <c r="L11" i="10" s="1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J8" i="10"/>
  <c r="I8" i="10" s="1"/>
  <c r="L8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C29" i="9" l="1"/>
  <c r="J28" i="9"/>
  <c r="E28" i="9"/>
  <c r="T28" i="9"/>
  <c r="G28" i="9"/>
  <c r="O28" i="9"/>
  <c r="S28" i="9"/>
  <c r="V28" i="9"/>
  <c r="I8" i="9"/>
  <c r="N8" i="9"/>
  <c r="D28" i="9"/>
  <c r="J28" i="10"/>
  <c r="D28" i="10"/>
  <c r="C29" i="10"/>
  <c r="N28" i="10"/>
  <c r="V28" i="10"/>
  <c r="S28" i="10"/>
  <c r="L28" i="10"/>
  <c r="I28" i="10"/>
  <c r="G28" i="10"/>
  <c r="Q28" i="10"/>
  <c r="T28" i="10"/>
  <c r="E28" i="10"/>
  <c r="O28" i="10"/>
  <c r="C31" i="9" l="1"/>
  <c r="I28" i="9"/>
  <c r="L8" i="9"/>
  <c r="L28" i="9" s="1"/>
  <c r="Q8" i="9"/>
  <c r="Q28" i="9" s="1"/>
  <c r="N28" i="9"/>
  <c r="C30" i="10"/>
  <c r="C32" i="10" s="1"/>
  <c r="C31" i="10"/>
  <c r="C30" i="9" l="1"/>
  <c r="C32" i="9" s="1"/>
  <c r="N16" i="7" l="1"/>
  <c r="M10" i="17"/>
  <c r="O10" i="17"/>
  <c r="O9" i="17"/>
  <c r="M9" i="17"/>
  <c r="L9" i="17"/>
  <c r="N8" i="17"/>
  <c r="M8" i="17"/>
  <c r="O7" i="17"/>
  <c r="N7" i="17"/>
  <c r="M7" i="17"/>
  <c r="O10" i="15"/>
  <c r="I10" i="15" s="1"/>
  <c r="N10" i="15"/>
  <c r="M10" i="15"/>
  <c r="N9" i="15"/>
  <c r="M9" i="15"/>
  <c r="N8" i="15"/>
  <c r="M8" i="15"/>
  <c r="O8" i="15"/>
  <c r="O7" i="15"/>
  <c r="N7" i="15"/>
  <c r="M7" i="15"/>
  <c r="O14" i="13"/>
  <c r="N14" i="13"/>
  <c r="M14" i="13"/>
  <c r="M13" i="13"/>
  <c r="N13" i="13"/>
  <c r="O12" i="13"/>
  <c r="M12" i="13"/>
  <c r="L12" i="13"/>
  <c r="O11" i="13"/>
  <c r="M11" i="13"/>
  <c r="L11" i="13"/>
  <c r="N10" i="13"/>
  <c r="M10" i="13"/>
  <c r="L10" i="13"/>
  <c r="O9" i="13"/>
  <c r="N9" i="13"/>
  <c r="M9" i="13"/>
  <c r="L9" i="13"/>
  <c r="N7" i="13"/>
  <c r="M7" i="13"/>
  <c r="L7" i="19" l="1"/>
  <c r="L7" i="20"/>
  <c r="F7" i="20" s="1"/>
  <c r="M7" i="19"/>
  <c r="M7" i="20"/>
  <c r="K9" i="19"/>
  <c r="K9" i="20"/>
  <c r="L10" i="19"/>
  <c r="L10" i="20"/>
  <c r="F10" i="20" s="1"/>
  <c r="M8" i="19"/>
  <c r="M8" i="20"/>
  <c r="K8" i="19"/>
  <c r="K8" i="20"/>
  <c r="L9" i="19"/>
  <c r="L9" i="20"/>
  <c r="F9" i="20" s="1"/>
  <c r="M10" i="19"/>
  <c r="M10" i="20"/>
  <c r="K10" i="19"/>
  <c r="K10" i="20"/>
  <c r="K7" i="19"/>
  <c r="K7" i="20"/>
  <c r="L8" i="19"/>
  <c r="L8" i="20"/>
  <c r="F8" i="20" s="1"/>
  <c r="M9" i="19"/>
  <c r="M9" i="20"/>
  <c r="R42" i="7"/>
  <c r="R45" i="7"/>
  <c r="R37" i="7"/>
  <c r="R43" i="7"/>
  <c r="R49" i="7"/>
  <c r="R32" i="7"/>
  <c r="R46" i="7"/>
  <c r="R40" i="7"/>
  <c r="R36" i="7"/>
  <c r="R39" i="7"/>
  <c r="R48" i="7"/>
  <c r="R38" i="7"/>
  <c r="R41" i="7"/>
  <c r="R44" i="7"/>
  <c r="R50" i="7"/>
  <c r="R51" i="7"/>
  <c r="R34" i="7"/>
  <c r="R35" i="7"/>
  <c r="R47" i="7"/>
  <c r="S41" i="7" l="1"/>
  <c r="S36" i="7"/>
  <c r="T41" i="7"/>
  <c r="T48" i="7"/>
  <c r="T36" i="7"/>
  <c r="S48" i="7"/>
  <c r="S46" i="7"/>
  <c r="T50" i="7"/>
  <c r="S50" i="7"/>
  <c r="T38" i="7"/>
  <c r="S38" i="7"/>
  <c r="S44" i="7"/>
  <c r="T44" i="7"/>
  <c r="T46" i="7"/>
  <c r="S34" i="7"/>
  <c r="T34" i="7"/>
  <c r="U41" i="7" l="1"/>
  <c r="X40" i="7" s="1"/>
  <c r="B3" i="8" s="1"/>
  <c r="U50" i="7"/>
  <c r="U36" i="7"/>
  <c r="U48" i="7"/>
  <c r="U44" i="7"/>
  <c r="U38" i="7"/>
  <c r="U46" i="7"/>
  <c r="U34" i="7"/>
  <c r="X48" i="7" l="1"/>
  <c r="B5" i="8" s="1"/>
  <c r="X44" i="7"/>
  <c r="B4" i="8" s="1"/>
  <c r="X32" i="7"/>
  <c r="B2" i="8" s="1"/>
  <c r="Q9" i="2" l="1"/>
  <c r="H13" i="12" l="1"/>
  <c r="H11" i="12"/>
  <c r="G13" i="12"/>
  <c r="G11" i="12"/>
  <c r="H9" i="12"/>
  <c r="G9" i="12"/>
  <c r="H8" i="12"/>
  <c r="G8" i="12"/>
  <c r="H6" i="12"/>
  <c r="G6" i="12"/>
  <c r="D8" i="12"/>
  <c r="C8" i="12"/>
  <c r="H16" i="12" l="1"/>
  <c r="C44" i="12"/>
  <c r="Q8" i="12" s="1"/>
  <c r="C42" i="12"/>
  <c r="Q6" i="12" s="1"/>
  <c r="C39" i="12"/>
  <c r="N9" i="12" s="1"/>
  <c r="C36" i="12"/>
  <c r="N6" i="12" s="1"/>
  <c r="C34" i="12"/>
  <c r="K9" i="12" s="1"/>
  <c r="C32" i="12"/>
  <c r="K7" i="12" s="1"/>
  <c r="C31" i="12"/>
  <c r="K6" i="12" s="1"/>
  <c r="D28" i="12"/>
  <c r="D13" i="12" s="1"/>
  <c r="C28" i="12"/>
  <c r="C13" i="12" s="1"/>
  <c r="D26" i="12"/>
  <c r="D11" i="12" s="1"/>
  <c r="C26" i="12"/>
  <c r="C11" i="12" s="1"/>
  <c r="D24" i="12"/>
  <c r="D9" i="12" s="1"/>
  <c r="C24" i="12"/>
  <c r="C9" i="12" s="1"/>
  <c r="C21" i="12"/>
  <c r="C6" i="12" s="1"/>
  <c r="D21" i="12"/>
  <c r="D6" i="12" s="1"/>
  <c r="N12" i="12" l="1"/>
  <c r="Q12" i="12"/>
  <c r="D16" i="12"/>
  <c r="K12" i="12"/>
  <c r="P7" i="2" l="1"/>
  <c r="P38" i="2" s="1"/>
  <c r="C35" i="7" l="1"/>
  <c r="B2" i="18" l="1"/>
  <c r="B3" i="18"/>
  <c r="D3" i="18"/>
  <c r="F3" i="18"/>
  <c r="I3" i="18"/>
  <c r="H4" i="18"/>
  <c r="B5" i="18"/>
  <c r="H5" i="18"/>
  <c r="B4" i="16"/>
  <c r="E4" i="16"/>
  <c r="H4" i="16"/>
  <c r="B2" i="14"/>
  <c r="E2" i="14"/>
  <c r="H2" i="14"/>
  <c r="E4" i="14"/>
  <c r="H4" i="14"/>
  <c r="D5" i="14"/>
  <c r="G5" i="14"/>
  <c r="D6" i="14"/>
  <c r="G6" i="14"/>
  <c r="B7" i="14"/>
  <c r="E7" i="14"/>
  <c r="H7" i="14"/>
  <c r="B8" i="14"/>
  <c r="O27" i="7" l="1"/>
  <c r="N27" i="7"/>
  <c r="M27" i="7"/>
  <c r="O26" i="7"/>
  <c r="N26" i="7"/>
  <c r="M26" i="7"/>
  <c r="O25" i="7"/>
  <c r="N25" i="7"/>
  <c r="M25" i="7"/>
  <c r="O24" i="7"/>
  <c r="N24" i="7"/>
  <c r="M24" i="7"/>
  <c r="O23" i="7"/>
  <c r="M23" i="7"/>
  <c r="O22" i="7"/>
  <c r="M22" i="7"/>
  <c r="L22" i="7"/>
  <c r="N21" i="7"/>
  <c r="M21" i="7"/>
  <c r="O20" i="7"/>
  <c r="N20" i="7"/>
  <c r="M20" i="7"/>
  <c r="O19" i="7"/>
  <c r="N19" i="7"/>
  <c r="M19" i="7"/>
  <c r="N18" i="7"/>
  <c r="M18" i="7"/>
  <c r="O17" i="7"/>
  <c r="N17" i="7"/>
  <c r="M17" i="7"/>
  <c r="O16" i="7"/>
  <c r="M16" i="7"/>
  <c r="O15" i="7"/>
  <c r="N15" i="7"/>
  <c r="M15" i="7"/>
  <c r="N14" i="7"/>
  <c r="M14" i="7"/>
  <c r="O13" i="7"/>
  <c r="M13" i="7"/>
  <c r="L13" i="7"/>
  <c r="O12" i="7"/>
  <c r="M12" i="7"/>
  <c r="L12" i="7"/>
  <c r="N11" i="7"/>
  <c r="M11" i="7"/>
  <c r="L11" i="7"/>
  <c r="O10" i="7"/>
  <c r="N10" i="7"/>
  <c r="M10" i="7"/>
  <c r="L10" i="7"/>
  <c r="N8" i="7"/>
  <c r="M8" i="7"/>
  <c r="R21" i="7" l="1"/>
  <c r="R24" i="7"/>
  <c r="R27" i="7"/>
  <c r="R14" i="7"/>
  <c r="R26" i="7"/>
  <c r="R22" i="7"/>
  <c r="R19" i="7"/>
  <c r="R23" i="7"/>
  <c r="R25" i="7"/>
  <c r="R20" i="7"/>
  <c r="R17" i="7"/>
  <c r="R15" i="7"/>
  <c r="R8" i="7"/>
  <c r="R18" i="7"/>
  <c r="R16" i="7"/>
  <c r="R13" i="7"/>
  <c r="R12" i="7"/>
  <c r="R11" i="7"/>
  <c r="R10" i="7"/>
  <c r="T14" i="7" l="1"/>
  <c r="T24" i="7"/>
  <c r="S20" i="7"/>
  <c r="S26" i="7"/>
  <c r="S24" i="7"/>
  <c r="T20" i="7"/>
  <c r="S22" i="7"/>
  <c r="T26" i="7"/>
  <c r="T22" i="7"/>
  <c r="S17" i="7"/>
  <c r="T17" i="7"/>
  <c r="S14" i="7"/>
  <c r="S10" i="7"/>
  <c r="T10" i="7"/>
  <c r="T12" i="7"/>
  <c r="S12" i="7"/>
  <c r="U14" i="7" l="1"/>
  <c r="U26" i="7"/>
  <c r="U24" i="7"/>
  <c r="U20" i="7"/>
  <c r="U22" i="7"/>
  <c r="U10" i="7"/>
  <c r="U17" i="7"/>
  <c r="X16" i="7" s="1"/>
  <c r="U12" i="7"/>
  <c r="I8" i="11"/>
  <c r="I10" i="11"/>
  <c r="I13" i="11"/>
  <c r="I17" i="11"/>
  <c r="I20" i="11"/>
  <c r="H8" i="11"/>
  <c r="H10" i="11"/>
  <c r="H13" i="11"/>
  <c r="H17" i="11"/>
  <c r="H20" i="11"/>
  <c r="G11" i="11"/>
  <c r="G12" i="11"/>
  <c r="G21" i="11"/>
  <c r="G22" i="11"/>
  <c r="F11" i="11"/>
  <c r="F12" i="11"/>
  <c r="F21" i="11"/>
  <c r="F22" i="11"/>
  <c r="C8" i="11"/>
  <c r="C13" i="11"/>
  <c r="C14" i="11"/>
  <c r="C15" i="11"/>
  <c r="C16" i="11"/>
  <c r="C17" i="11"/>
  <c r="C18" i="11"/>
  <c r="C19" i="11"/>
  <c r="C20" i="11"/>
  <c r="C22" i="11"/>
  <c r="C23" i="11"/>
  <c r="C24" i="11"/>
  <c r="C25" i="11"/>
  <c r="C26" i="11"/>
  <c r="B8" i="11"/>
  <c r="B13" i="11"/>
  <c r="B14" i="11"/>
  <c r="B15" i="11"/>
  <c r="B16" i="11"/>
  <c r="B17" i="11"/>
  <c r="B18" i="11"/>
  <c r="B19" i="11"/>
  <c r="B20" i="11"/>
  <c r="B22" i="11"/>
  <c r="B23" i="11"/>
  <c r="B24" i="11"/>
  <c r="B25" i="11"/>
  <c r="B26" i="11"/>
  <c r="X24" i="7" l="1"/>
  <c r="X20" i="7"/>
  <c r="X8" i="7"/>
  <c r="L12" i="2" l="1"/>
  <c r="N12" i="2" s="1"/>
  <c r="L13" i="2"/>
  <c r="N13" i="2" s="1"/>
  <c r="L15" i="2"/>
  <c r="L16" i="2"/>
  <c r="N16" i="2" s="1"/>
  <c r="L17" i="2"/>
  <c r="N17" i="2" s="1"/>
  <c r="L19" i="2"/>
  <c r="N19" i="2" s="1"/>
  <c r="L20" i="2"/>
  <c r="N20" i="2" s="1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15" i="2" l="1"/>
  <c r="N38" i="2" s="1"/>
  <c r="L38" i="2"/>
  <c r="V19" i="6"/>
  <c r="V21" i="6" s="1"/>
  <c r="J11" i="3"/>
  <c r="K11" i="3" s="1"/>
  <c r="W19" i="6"/>
  <c r="W21" i="6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E22" i="2" l="1"/>
  <c r="C38" i="2"/>
  <c r="C20" i="3" s="1"/>
  <c r="C19" i="3" s="1"/>
  <c r="E19" i="3" s="1"/>
  <c r="T19" i="6"/>
  <c r="T21" i="6" s="1"/>
  <c r="D11" i="3"/>
  <c r="E11" i="3" s="1"/>
  <c r="U19" i="6"/>
  <c r="U21" i="6" s="1"/>
  <c r="G11" i="3"/>
  <c r="H11" i="3" s="1"/>
  <c r="E10" i="2"/>
  <c r="G15" i="11"/>
  <c r="E38" i="2" l="1"/>
  <c r="F25" i="11"/>
  <c r="N25" i="11" s="1"/>
  <c r="F9" i="19" s="1"/>
  <c r="F26" i="11"/>
  <c r="N26" i="11" s="1"/>
  <c r="F10" i="19" s="1"/>
  <c r="C35" i="3"/>
  <c r="F5" i="23" l="1"/>
  <c r="F37" i="21"/>
  <c r="F4" i="23"/>
  <c r="F36" i="21"/>
  <c r="G25" i="11"/>
  <c r="G26" i="11"/>
  <c r="D9" i="11" l="1"/>
  <c r="M9" i="11" s="1"/>
  <c r="I11" i="11"/>
  <c r="I12" i="11"/>
  <c r="I14" i="11"/>
  <c r="I15" i="11"/>
  <c r="I16" i="11"/>
  <c r="I18" i="11"/>
  <c r="I19" i="11"/>
  <c r="I21" i="11"/>
  <c r="I22" i="11"/>
  <c r="I23" i="11"/>
  <c r="I24" i="11"/>
  <c r="I25" i="11"/>
  <c r="I26" i="11"/>
  <c r="G10" i="11"/>
  <c r="G13" i="11"/>
  <c r="G14" i="11"/>
  <c r="G16" i="11"/>
  <c r="G17" i="11"/>
  <c r="G18" i="11"/>
  <c r="G19" i="11"/>
  <c r="G20" i="11"/>
  <c r="G23" i="11"/>
  <c r="G24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9" i="11" l="1"/>
  <c r="G9" i="11"/>
  <c r="G8" i="11"/>
  <c r="I9" i="11"/>
  <c r="E8" i="11"/>
  <c r="D23" i="11"/>
  <c r="M23" i="11" s="1"/>
  <c r="F23" i="11"/>
  <c r="N23" i="11" s="1"/>
  <c r="F7" i="19" s="1"/>
  <c r="H23" i="11"/>
  <c r="O23" i="11" s="1"/>
  <c r="D15" i="11"/>
  <c r="M15" i="11" s="1"/>
  <c r="H15" i="11"/>
  <c r="O15" i="11" s="1"/>
  <c r="B7" i="15" s="1"/>
  <c r="F15" i="11"/>
  <c r="N15" i="11" s="1"/>
  <c r="H25" i="11"/>
  <c r="O25" i="11" s="1"/>
  <c r="D25" i="11"/>
  <c r="M25" i="11" s="1"/>
  <c r="D22" i="11"/>
  <c r="M22" i="11" s="1"/>
  <c r="H22" i="11"/>
  <c r="O22" i="11" s="1"/>
  <c r="D16" i="11"/>
  <c r="M16" i="11" s="1"/>
  <c r="D26" i="11"/>
  <c r="M26" i="11" s="1"/>
  <c r="F16" i="11"/>
  <c r="N16" i="11" s="1"/>
  <c r="H26" i="11"/>
  <c r="O26" i="11" s="1"/>
  <c r="H16" i="11"/>
  <c r="O16" i="11" s="1"/>
  <c r="B8" i="15" s="1"/>
  <c r="D17" i="11"/>
  <c r="M17" i="11" s="1"/>
  <c r="F17" i="11"/>
  <c r="N17" i="11" s="1"/>
  <c r="H24" i="11"/>
  <c r="O24" i="11" s="1"/>
  <c r="D24" i="11"/>
  <c r="M24" i="11" s="1"/>
  <c r="D11" i="11"/>
  <c r="M11" i="11" s="1"/>
  <c r="H21" i="11"/>
  <c r="O21" i="11" s="1"/>
  <c r="H9" i="11"/>
  <c r="O9" i="11" s="1"/>
  <c r="D21" i="11"/>
  <c r="M21" i="11" s="1"/>
  <c r="F9" i="11"/>
  <c r="N9" i="11" s="1"/>
  <c r="F24" i="11"/>
  <c r="N24" i="11" s="1"/>
  <c r="F8" i="19" s="1"/>
  <c r="H11" i="11"/>
  <c r="O11" i="11" s="1"/>
  <c r="D13" i="11"/>
  <c r="M13" i="11" s="1"/>
  <c r="H18" i="11"/>
  <c r="O18" i="11" s="1"/>
  <c r="B10" i="15" s="1"/>
  <c r="H12" i="11"/>
  <c r="O12" i="11" s="1"/>
  <c r="F18" i="11"/>
  <c r="N18" i="11" s="1"/>
  <c r="F13" i="11"/>
  <c r="N13" i="11" s="1"/>
  <c r="D20" i="11"/>
  <c r="M20" i="11" s="1"/>
  <c r="D12" i="11"/>
  <c r="M12" i="11" s="1"/>
  <c r="F14" i="11"/>
  <c r="N14" i="11" s="1"/>
  <c r="D18" i="11"/>
  <c r="M18" i="11" s="1"/>
  <c r="D14" i="11"/>
  <c r="M14" i="11" s="1"/>
  <c r="D10" i="11"/>
  <c r="M10" i="11" s="1"/>
  <c r="F20" i="11"/>
  <c r="N20" i="11" s="1"/>
  <c r="H8" i="17" s="1"/>
  <c r="F10" i="11"/>
  <c r="N10" i="11" s="1"/>
  <c r="H14" i="11"/>
  <c r="O14" i="11" s="1"/>
  <c r="F8" i="11"/>
  <c r="N8" i="11" s="1"/>
  <c r="F19" i="11"/>
  <c r="N19" i="11" s="1"/>
  <c r="H7" i="17" s="1"/>
  <c r="D8" i="11"/>
  <c r="M8" i="11" s="1"/>
  <c r="D19" i="11"/>
  <c r="M19" i="11" s="1"/>
  <c r="H19" i="11"/>
  <c r="O19" i="11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1"/>
  <c r="C11" i="11"/>
  <c r="C12" i="11"/>
  <c r="C21" i="11"/>
  <c r="D34" i="3"/>
  <c r="D35" i="3"/>
  <c r="E34" i="3"/>
  <c r="E35" i="3"/>
  <c r="F35" i="3"/>
  <c r="C34" i="3"/>
  <c r="D38" i="2" l="1"/>
  <c r="C55" i="3" s="1"/>
  <c r="M38" i="2"/>
  <c r="F55" i="3" s="1"/>
  <c r="C9" i="11"/>
  <c r="G34" i="3"/>
  <c r="H2" i="18"/>
  <c r="H25" i="21"/>
  <c r="H3" i="18"/>
  <c r="H26" i="21"/>
  <c r="F2" i="23"/>
  <c r="F34" i="21"/>
  <c r="F3" i="23"/>
  <c r="F35" i="21"/>
  <c r="B5" i="16"/>
  <c r="B19" i="21"/>
  <c r="B3" i="16"/>
  <c r="B17" i="21"/>
  <c r="B2" i="16"/>
  <c r="B16" i="21"/>
  <c r="R19" i="11"/>
  <c r="R16" i="11"/>
  <c r="R18" i="11"/>
  <c r="R13" i="11"/>
  <c r="R17" i="11"/>
  <c r="R8" i="11"/>
  <c r="R20" i="11"/>
  <c r="R24" i="11"/>
  <c r="R22" i="11"/>
  <c r="R23" i="11"/>
  <c r="R15" i="11"/>
  <c r="R25" i="11"/>
  <c r="R26" i="11"/>
  <c r="B11" i="11"/>
  <c r="L11" i="11" s="1"/>
  <c r="R11" i="11" s="1"/>
  <c r="B21" i="11"/>
  <c r="L21" i="11" s="1"/>
  <c r="B9" i="11"/>
  <c r="L9" i="11" s="1"/>
  <c r="R9" i="11" s="1"/>
  <c r="R14" i="11"/>
  <c r="B12" i="11"/>
  <c r="L12" i="11" s="1"/>
  <c r="B10" i="11"/>
  <c r="L10" i="11" s="1"/>
  <c r="B10" i="13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Q20" i="2" s="1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E55" i="3"/>
  <c r="C39" i="2"/>
  <c r="F56" i="3"/>
  <c r="O12" i="2"/>
  <c r="Q12" i="2" s="1"/>
  <c r="E56" i="3"/>
  <c r="D55" i="3"/>
  <c r="Q15" i="2" l="1"/>
  <c r="O38" i="2"/>
  <c r="Q7" i="2"/>
  <c r="C42" i="3"/>
  <c r="B4" i="14"/>
  <c r="B7" i="21"/>
  <c r="R12" i="11"/>
  <c r="S11" i="11" s="1"/>
  <c r="S16" i="11"/>
  <c r="T19" i="11"/>
  <c r="G20" i="3"/>
  <c r="T16" i="11"/>
  <c r="T25" i="11"/>
  <c r="S25" i="11"/>
  <c r="S19" i="11"/>
  <c r="S13" i="11"/>
  <c r="T13" i="11"/>
  <c r="T23" i="11"/>
  <c r="M29" i="11"/>
  <c r="C37" i="3" s="1"/>
  <c r="C38" i="3" s="1"/>
  <c r="R10" i="11"/>
  <c r="S9" i="11" s="1"/>
  <c r="S23" i="11"/>
  <c r="B9" i="17"/>
  <c r="R21" i="11"/>
  <c r="S21" i="11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8"/>
  <c r="B27" i="21"/>
  <c r="T11" i="11"/>
  <c r="U11" i="11" s="1"/>
  <c r="U25" i="11"/>
  <c r="U16" i="11"/>
  <c r="U19" i="11"/>
  <c r="T21" i="11"/>
  <c r="U21" i="11" s="1"/>
  <c r="U13" i="11"/>
  <c r="T9" i="11"/>
  <c r="U9" i="11" s="1"/>
  <c r="U23" i="11"/>
  <c r="P20" i="3"/>
  <c r="Q20" i="3" s="1"/>
  <c r="C39" i="3"/>
  <c r="C41" i="3"/>
  <c r="H19" i="3" l="1"/>
  <c r="P19" i="3"/>
  <c r="U29" i="11"/>
  <c r="G48" i="3"/>
  <c r="N19" i="3" l="1"/>
  <c r="O19" i="3"/>
  <c r="C40" i="3" l="1"/>
  <c r="Q19" i="3"/>
  <c r="E11" i="13" l="1"/>
  <c r="B11" i="13"/>
  <c r="E14" i="13"/>
  <c r="E12" i="13"/>
  <c r="B12" i="13"/>
  <c r="E9" i="13"/>
  <c r="B9" i="13"/>
  <c r="E3" i="14" l="1"/>
  <c r="E6" i="21"/>
  <c r="E6" i="14"/>
  <c r="E9" i="21"/>
  <c r="B3" i="14"/>
  <c r="B6" i="21"/>
  <c r="B5" i="14"/>
  <c r="B8" i="21"/>
  <c r="E8" i="14"/>
  <c r="E11" i="21"/>
  <c r="B6" i="14"/>
  <c r="B9" i="21"/>
  <c r="E5" i="14"/>
  <c r="E8" i="21"/>
  <c r="M15" i="21" l="1"/>
  <c r="M31" i="21" l="1"/>
  <c r="M33" i="21" l="1"/>
  <c r="M25" i="21" l="1"/>
  <c r="M28" i="21" l="1"/>
  <c r="M23" i="21"/>
  <c r="M17" i="21" l="1"/>
  <c r="D8" i="15"/>
  <c r="D10" i="15"/>
  <c r="M19" i="21"/>
  <c r="M14" i="21"/>
  <c r="D5" i="16" l="1"/>
  <c r="D19" i="21"/>
  <c r="D17" i="21"/>
  <c r="D3" i="16"/>
  <c r="M7" i="21" l="1"/>
  <c r="M9" i="21"/>
  <c r="M8" i="21"/>
  <c r="D19" i="17" l="1"/>
  <c r="M26" i="21" l="1"/>
  <c r="D19" i="15" l="1"/>
  <c r="D16" i="15"/>
  <c r="M13" i="21" s="1"/>
  <c r="M16" i="21" l="1"/>
  <c r="G10" i="15"/>
  <c r="G7" i="15"/>
  <c r="G9" i="15"/>
  <c r="G8" i="15"/>
  <c r="D7" i="15"/>
  <c r="D16" i="20"/>
  <c r="D16" i="19"/>
  <c r="D18" i="19" l="1"/>
  <c r="D18" i="20"/>
  <c r="M32" i="21"/>
  <c r="E9" i="19"/>
  <c r="E10" i="19"/>
  <c r="C7" i="19"/>
  <c r="E7" i="19"/>
  <c r="C8" i="19"/>
  <c r="C10" i="19"/>
  <c r="C9" i="19"/>
  <c r="E8" i="19"/>
  <c r="G4" i="16"/>
  <c r="G18" i="21"/>
  <c r="G16" i="21"/>
  <c r="G2" i="16"/>
  <c r="D16" i="21"/>
  <c r="D2" i="16"/>
  <c r="G19" i="21"/>
  <c r="G5" i="16"/>
  <c r="E9" i="20"/>
  <c r="C10" i="20"/>
  <c r="C7" i="20"/>
  <c r="E10" i="20"/>
  <c r="C9" i="20"/>
  <c r="E8" i="20"/>
  <c r="C8" i="20"/>
  <c r="E7" i="20"/>
  <c r="G17" i="21"/>
  <c r="G3" i="16"/>
  <c r="C3" i="23" l="1"/>
  <c r="C35" i="21"/>
  <c r="E36" i="21"/>
  <c r="E4" i="23"/>
  <c r="E34" i="21"/>
  <c r="E2" i="23"/>
  <c r="C36" i="21"/>
  <c r="C4" i="23"/>
  <c r="C2" i="23"/>
  <c r="C34" i="21"/>
  <c r="B8" i="20"/>
  <c r="D7" i="20"/>
  <c r="B10" i="20"/>
  <c r="D10" i="20"/>
  <c r="B9" i="20"/>
  <c r="D9" i="20"/>
  <c r="B7" i="20"/>
  <c r="D8" i="20"/>
  <c r="E35" i="21"/>
  <c r="E3" i="23"/>
  <c r="C5" i="23"/>
  <c r="C37" i="21"/>
  <c r="E37" i="21"/>
  <c r="E5" i="23"/>
  <c r="B10" i="19"/>
  <c r="D10" i="19"/>
  <c r="B9" i="19"/>
  <c r="D7" i="19"/>
  <c r="M34" i="21"/>
  <c r="D9" i="19"/>
  <c r="D8" i="19"/>
  <c r="B7" i="19"/>
  <c r="B8" i="19"/>
  <c r="D3" i="23" l="1"/>
  <c r="D35" i="21"/>
  <c r="B3" i="23"/>
  <c r="B35" i="21"/>
  <c r="B5" i="23"/>
  <c r="B37" i="21"/>
  <c r="B34" i="21"/>
  <c r="B2" i="23"/>
  <c r="D2" i="23"/>
  <c r="D34" i="21"/>
  <c r="B4" i="23"/>
  <c r="B36" i="21"/>
  <c r="D36" i="21"/>
  <c r="D4" i="23"/>
  <c r="D5" i="23"/>
  <c r="D37" i="21"/>
  <c r="D15" i="15" l="1"/>
  <c r="M12" i="21" l="1"/>
  <c r="H7" i="15"/>
  <c r="H8" i="15"/>
  <c r="H10" i="15"/>
  <c r="E8" i="15"/>
  <c r="E10" i="15"/>
  <c r="E7" i="15"/>
  <c r="E3" i="16" l="1"/>
  <c r="E17" i="21"/>
  <c r="H19" i="21"/>
  <c r="H5" i="16"/>
  <c r="E2" i="16"/>
  <c r="E16" i="21"/>
  <c r="H3" i="16"/>
  <c r="H17" i="21"/>
  <c r="E5" i="16"/>
  <c r="E19" i="21"/>
  <c r="H16" i="21"/>
  <c r="H2" i="16"/>
  <c r="D21" i="15" l="1"/>
  <c r="M18" i="21" l="1"/>
  <c r="C9" i="15"/>
  <c r="F9" i="15"/>
  <c r="F7" i="15"/>
  <c r="C8" i="15"/>
  <c r="F8" i="15"/>
  <c r="C7" i="15"/>
  <c r="D9" i="15"/>
  <c r="F10" i="15"/>
  <c r="C10" i="15"/>
  <c r="F5" i="16" l="1"/>
  <c r="F19" i="21"/>
  <c r="D18" i="21"/>
  <c r="D4" i="16"/>
  <c r="F2" i="16"/>
  <c r="F16" i="21"/>
  <c r="C16" i="21"/>
  <c r="C2" i="16"/>
  <c r="F4" i="16"/>
  <c r="F18" i="21"/>
  <c r="C19" i="21"/>
  <c r="C5" i="16"/>
  <c r="F17" i="21"/>
  <c r="F3" i="16"/>
  <c r="C18" i="21"/>
  <c r="C4" i="16"/>
  <c r="C17" i="21"/>
  <c r="C3" i="16"/>
  <c r="D15" i="17" l="1"/>
  <c r="M22" i="21" l="1"/>
  <c r="I9" i="17"/>
  <c r="I10" i="17"/>
  <c r="I7" i="17"/>
  <c r="I28" i="21" l="1"/>
  <c r="I5" i="18"/>
  <c r="I27" i="21"/>
  <c r="I4" i="18"/>
  <c r="I25" i="21"/>
  <c r="I2" i="18"/>
  <c r="D14" i="17" l="1"/>
  <c r="F7" i="17" l="1"/>
  <c r="F10" i="17"/>
  <c r="F9" i="17"/>
  <c r="M21" i="21"/>
  <c r="D10" i="17"/>
  <c r="D9" i="17"/>
  <c r="D7" i="17"/>
  <c r="D5" i="18" l="1"/>
  <c r="D28" i="21"/>
  <c r="F25" i="21"/>
  <c r="F2" i="18"/>
  <c r="D25" i="21"/>
  <c r="D2" i="18"/>
  <c r="F27" i="21"/>
  <c r="F4" i="18"/>
  <c r="D27" i="21"/>
  <c r="D4" i="18"/>
  <c r="F5" i="18"/>
  <c r="F28" i="21"/>
  <c r="F21" i="13" l="1"/>
  <c r="H11" i="13" l="1"/>
  <c r="H9" i="13"/>
  <c r="M6" i="21"/>
  <c r="H12" i="13"/>
  <c r="H14" i="13"/>
  <c r="H8" i="21" l="1"/>
  <c r="H5" i="14"/>
  <c r="H6" i="14"/>
  <c r="H9" i="21"/>
  <c r="H11" i="21"/>
  <c r="H8" i="14"/>
  <c r="H3" i="14"/>
  <c r="H6" i="21"/>
  <c r="D17" i="17" l="1"/>
  <c r="M24" i="21" s="1"/>
  <c r="F18" i="13" l="1"/>
  <c r="F19" i="13"/>
  <c r="C13" i="13" l="1"/>
  <c r="F12" i="13"/>
  <c r="F10" i="13"/>
  <c r="C14" i="13"/>
  <c r="C11" i="13"/>
  <c r="F13" i="13"/>
  <c r="M4" i="21"/>
  <c r="C10" i="13"/>
  <c r="C7" i="13"/>
  <c r="F8" i="13"/>
  <c r="F5" i="21" s="1"/>
  <c r="C12" i="13"/>
  <c r="C8" i="13"/>
  <c r="C5" i="21" s="1"/>
  <c r="F14" i="13"/>
  <c r="F11" i="13"/>
  <c r="F7" i="13"/>
  <c r="F9" i="13"/>
  <c r="C9" i="13"/>
  <c r="D13" i="13"/>
  <c r="D7" i="13"/>
  <c r="D10" i="13"/>
  <c r="G8" i="13"/>
  <c r="G5" i="21" s="1"/>
  <c r="G14" i="13"/>
  <c r="D14" i="13"/>
  <c r="G9" i="13"/>
  <c r="G13" i="13"/>
  <c r="G10" i="13"/>
  <c r="D9" i="13"/>
  <c r="M3" i="21"/>
  <c r="D8" i="13"/>
  <c r="D5" i="21" s="1"/>
  <c r="G7" i="13"/>
  <c r="G7" i="14" l="1"/>
  <c r="G10" i="21"/>
  <c r="C6" i="21"/>
  <c r="C3" i="14"/>
  <c r="G6" i="21"/>
  <c r="G3" i="14"/>
  <c r="D4" i="14"/>
  <c r="D7" i="21"/>
  <c r="F6" i="21"/>
  <c r="F3" i="14"/>
  <c r="C7" i="21"/>
  <c r="C4" i="14"/>
  <c r="C11" i="21"/>
  <c r="C8" i="14"/>
  <c r="D6" i="21"/>
  <c r="D3" i="14"/>
  <c r="D8" i="14"/>
  <c r="D11" i="21"/>
  <c r="D4" i="21"/>
  <c r="D2" i="14"/>
  <c r="F2" i="14"/>
  <c r="F4" i="21"/>
  <c r="C6" i="14"/>
  <c r="C9" i="21"/>
  <c r="F4" i="14"/>
  <c r="F7" i="21"/>
  <c r="G2" i="14"/>
  <c r="G4" i="21"/>
  <c r="G7" i="21"/>
  <c r="G4" i="14"/>
  <c r="G8" i="14"/>
  <c r="G11" i="21"/>
  <c r="D10" i="21"/>
  <c r="D7" i="14"/>
  <c r="F8" i="21"/>
  <c r="F5" i="14"/>
  <c r="F7" i="14"/>
  <c r="F10" i="21"/>
  <c r="F6" i="14"/>
  <c r="F9" i="21"/>
  <c r="F11" i="21"/>
  <c r="F8" i="14"/>
  <c r="C2" i="14"/>
  <c r="C4" i="21"/>
  <c r="C8" i="21"/>
  <c r="C5" i="14"/>
  <c r="C7" i="14"/>
  <c r="C10" i="21"/>
  <c r="F17" i="13" l="1"/>
  <c r="M2" i="21" s="1"/>
  <c r="D20" i="17" l="1"/>
  <c r="G7" i="17" l="1"/>
  <c r="C8" i="17"/>
  <c r="M27" i="21"/>
  <c r="C10" i="17"/>
  <c r="C7" i="17"/>
  <c r="G9" i="17"/>
  <c r="C9" i="17"/>
  <c r="G10" i="17"/>
  <c r="G8" i="17"/>
  <c r="E8" i="17"/>
  <c r="E7" i="17"/>
  <c r="E10" i="17"/>
  <c r="E9" i="17"/>
  <c r="C25" i="21" l="1"/>
  <c r="C2" i="18"/>
  <c r="E28" i="21"/>
  <c r="E5" i="18"/>
  <c r="G5" i="18"/>
  <c r="G28" i="21"/>
  <c r="C28" i="21"/>
  <c r="C5" i="18"/>
  <c r="E27" i="21"/>
  <c r="E4" i="18"/>
  <c r="G3" i="18"/>
  <c r="G26" i="21"/>
  <c r="G25" i="21"/>
  <c r="G2" i="18"/>
  <c r="E2" i="18"/>
  <c r="E25" i="21"/>
  <c r="C4" i="18"/>
  <c r="C27" i="21"/>
  <c r="E26" i="21"/>
  <c r="E3" i="18"/>
  <c r="G4" i="18"/>
  <c r="G27" i="21"/>
  <c r="C26" i="21"/>
  <c r="C3" i="18"/>
</calcChain>
</file>

<file path=xl/sharedStrings.xml><?xml version="1.0" encoding="utf-8"?>
<sst xmlns="http://schemas.openxmlformats.org/spreadsheetml/2006/main" count="1123" uniqueCount="225">
  <si>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</si>
  <si>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</si>
  <si>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</si>
  <si>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</si>
  <si>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</si>
  <si>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</si>
  <si>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</si>
  <si>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</si>
  <si>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</si>
  <si>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</si>
  <si>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</si>
  <si>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</si>
  <si>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</si>
  <si>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</si>
  <si>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</si>
  <si>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</si>
  <si>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</si>
  <si>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</si>
  <si>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</si>
  <si>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</si>
  <si>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</si>
  <si>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</si>
  <si>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</si>
  <si>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</si>
  <si>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</si>
  <si>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</si>
  <si>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</si>
  <si>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</si>
  <si>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</si>
  <si>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</si>
  <si>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</si>
  <si>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</si>
  <si>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</si>
  <si>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</si>
  <si>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</si>
  <si>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</si>
  <si>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</si>
  <si>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</si>
  <si>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</si>
  <si>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</si>
  <si>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</si>
  <si>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</si>
  <si>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</si>
  <si>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</si>
  <si>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</si>
  <si>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</si>
  <si>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</si>
  <si>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</si>
  <si>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</si>
  <si>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</si>
  <si>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</si>
  <si>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</si>
  <si>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</si>
  <si>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</si>
  <si>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</si>
  <si>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</si>
  <si>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</si>
  <si>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</si>
  <si>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</si>
  <si>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</si>
  <si>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</si>
  <si>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</si>
  <si>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</si>
  <si>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</si>
  <si>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</si>
  <si>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</si>
  <si>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</si>
  <si>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</si>
  <si>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</si>
  <si>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</si>
  <si>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</si>
  <si>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</si>
  <si>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</si>
  <si>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</si>
  <si>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</si>
  <si>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</si>
  <si>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</si>
  <si>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</si>
  <si>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</si>
  <si>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</si>
  <si>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</si>
  <si>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</si>
  <si>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</si>
  <si>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</si>
  <si>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</si>
  <si>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</si>
  <si>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</si>
  <si>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</si>
  <si>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</si>
  <si>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</si>
  <si>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</si>
  <si>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</si>
  <si>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</si>
  <si>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</si>
  <si>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</si>
  <si>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</si>
  <si>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</si>
  <si>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</si>
  <si>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</si>
  <si>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</si>
  <si>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</si>
  <si>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</si>
  <si>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</si>
  <si>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</si>
  <si>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</si>
  <si>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</si>
  <si>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</si>
  <si>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</si>
  <si>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</si>
  <si>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</si>
  <si>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</si>
  <si>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</si>
  <si>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</si>
  <si>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</si>
  <si>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</si>
  <si>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</si>
  <si>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</si>
  <si>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</si>
  <si>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</si>
  <si>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</si>
  <si>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</si>
  <si>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</si>
  <si>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</si>
  <si>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</si>
  <si>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</si>
  <si>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</si>
  <si>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</si>
  <si>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</si>
  <si>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</si>
  <si>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</si>
  <si>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</si>
  <si>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</si>
  <si>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</si>
  <si>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</si>
  <si>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</si>
  <si>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</si>
  <si>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</si>
  <si>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</si>
  <si>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</si>
  <si>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</si>
  <si>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</si>
  <si>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</si>
  <si>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</si>
  <si>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</si>
  <si>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</si>
  <si>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</si>
  <si>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</si>
  <si>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</si>
  <si>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</si>
  <si>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</si>
  <si>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</si>
  <si>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</si>
  <si>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</si>
  <si>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</si>
  <si>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</si>
  <si>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</si>
  <si>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</si>
  <si>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</si>
  <si>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</si>
  <si>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</si>
  <si>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</si>
  <si>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</si>
  <si>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</si>
  <si>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</si>
  <si>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</si>
  <si>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</si>
  <si>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</si>
  <si>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</si>
  <si>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</si>
  <si>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</si>
  <si>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</si>
  <si>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</si>
  <si>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</si>
  <si>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</si>
  <si>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</si>
  <si>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</si>
  <si>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</si>
  <si>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</si>
  <si>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</si>
  <si>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</si>
  <si>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</si>
  <si>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</si>
  <si>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</si>
  <si>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</si>
  <si>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</si>
  <si>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</si>
  <si>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</si>
  <si>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</si>
  <si>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</si>
  <si>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</si>
  <si>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</si>
  <si>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</si>
  <si>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</si>
  <si>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</si>
  <si>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</si>
  <si>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</si>
  <si>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</si>
  <si>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</si>
  <si>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</si>
  <si>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</si>
  <si>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عميد/ اسامة</t>
  </si>
  <si>
    <t>عميد اشرف</t>
  </si>
  <si>
    <t xml:space="preserve">العقيد محمد </t>
  </si>
  <si>
    <t xml:space="preserve">عقيد محمد </t>
  </si>
  <si>
    <t xml:space="preserve">النقيب ايمن </t>
  </si>
  <si>
    <t>عقيد علاء</t>
  </si>
  <si>
    <t>جندي عبدالله</t>
  </si>
  <si>
    <t>عميد خالد</t>
  </si>
  <si>
    <t>نقيب صلاح</t>
  </si>
  <si>
    <t>مقدم محمد</t>
  </si>
  <si>
    <t>م هشام</t>
  </si>
  <si>
    <t>عقيد طارق</t>
  </si>
  <si>
    <t>جندي ابراهيم</t>
  </si>
  <si>
    <t>محاسسب ماركو</t>
  </si>
  <si>
    <t>جندي احمد المتولي</t>
  </si>
  <si>
    <t xml:space="preserve">استاذ احمد </t>
  </si>
  <si>
    <t xml:space="preserve">عميد هشام </t>
  </si>
  <si>
    <t xml:space="preserve">عميد سمير </t>
  </si>
  <si>
    <t>مبيعات محطات وقود شل اوت عن يوم الأربعاء الموافق 4 / 9 / 2019</t>
  </si>
  <si>
    <t>مصطفي</t>
  </si>
  <si>
    <t>ظ رزق</t>
  </si>
  <si>
    <t xml:space="preserve">جندي ابراهيم </t>
  </si>
  <si>
    <t xml:space="preserve">جندي مصطفي </t>
  </si>
  <si>
    <t xml:space="preserve">الرائد محمد </t>
  </si>
  <si>
    <t>التمام الصباحي الإثنين الموافق  5 / 10 /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</si>
</sst>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1"/>
      <sheetName val="شركات"/>
      <sheetName val="Chart3"/>
      <sheetName val="Sheet1"/>
      <sheetName val="مستودعات"/>
      <sheetName val="Chart2"/>
      <sheetName val="Chart4"/>
      <sheetName val="Chart5"/>
    </sheetNames>
    <sheetDataSet>
      <sheetData sheetId="0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/>
      <sheetData sheetId="3">
        <row r="2">
          <cell r="D2">
            <v>1409</v>
          </cell>
        </row>
        <row r="3">
          <cell r="D3">
            <v>2827</v>
          </cell>
        </row>
        <row r="4">
          <cell r="D4">
            <v>928</v>
          </cell>
        </row>
        <row r="5">
          <cell r="D5">
            <v>1939</v>
          </cell>
        </row>
        <row r="6">
          <cell r="D6">
            <v>0</v>
          </cell>
        </row>
        <row r="7">
          <cell r="D7">
            <v>149</v>
          </cell>
        </row>
        <row r="8">
          <cell r="D8">
            <v>83</v>
          </cell>
        </row>
        <row r="9">
          <cell r="D9">
            <v>215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/>
      <sheetData sheetId="7"/>
      <sheetData sheetId="8">
        <row r="36">
          <cell r="Y36">
            <v>0</v>
          </cell>
        </row>
      </sheetData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  <sheetData sheetId="20" refreshError="1"/>
      <sheetData sheetId="21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34" Type="http://schemas.openxmlformats.org/officeDocument/2006/relationships/revisionLog" Target="revisionLog34.xml"/><Relationship Id="rId33" Type="http://schemas.openxmlformats.org/officeDocument/2006/relationships/revisionLog" Target="revisionLog33.xml"/><Relationship Id="rId37" Type="http://schemas.openxmlformats.org/officeDocument/2006/relationships/revisionLog" Target="revisionLog37.xml"/><Relationship Id="rId32" Type="http://schemas.openxmlformats.org/officeDocument/2006/relationships/revisionLog" Target="revisionLog32.xml"/><Relationship Id="rId36" Type="http://schemas.openxmlformats.org/officeDocument/2006/relationships/revisionLog" Target="revisionLog36.xml"/><Relationship Id="rId35" Type="http://schemas.openxmlformats.org/officeDocument/2006/relationships/revisionLog" Target="revisionLog3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93DBED2-C8DC-49CD-A789-63B928A6086F}" diskRevisions="1" revisionId="430" version="37">
  <header guid="{B4D7ED73-DDCB-4F47-9B0C-CA910C5B8E43}" dateTime="2019-09-06T00:39:44" maxSheetId="24" userName="pp" r:id="rId32" minRId="253" maxRId="254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C01DE40-43D3-4B3C-8FD6-5F2BE08DAD3A}" dateTime="2019-09-06T01:37:27" maxSheetId="24" userName="pp" r:id="rId33" minRId="255" maxRId="291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D92544A2-94F7-48A0-9517-73C5C83543B7}" dateTime="2019-09-06T01:45:19" maxSheetId="24" userName="pp" r:id="rId34" minRId="292" maxRId="329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F0E8ABC4-1F2F-4B55-81AE-788246CBDD29}" dateTime="2019-09-07T07:28:51" maxSheetId="24" userName="pp" r:id="rId35" minRId="330" maxRId="37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EC02A209-A2E4-4607-9D16-3972171611AA}" dateTime="2019-09-21T14:43:56" maxSheetId="24" userName="pp" r:id="rId36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  <header guid="{193DBED2-C8DC-49CD-A789-63B928A6086F}" dateTime="2019-10-05T10:25:40" maxSheetId="24" userName="pp" r:id="rId37" minRId="377" maxRId="430">
    <sheetIdMap count="23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</sheetIdMap>
  </header>
</header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253" name="D10000000">
    <formula>'أخذ التمام الصباحي'!$D$1000000</formula>
  </rdn>
  <rdn rId="254" name="D2000000">
    <formula>'أخذ التمام الصباحي'!$D$1000000</formula>
  </rdn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5" sId="4">
    <nc r="D8">
      <v>17</v>
    </nc>
  </rcc>
  <rcc rId="256" sId="4">
    <nc r="G29">
      <v>51</v>
    </nc>
  </rcc>
  <rcc rId="257" sId="4">
    <nc r="G8">
      <v>51</v>
    </nc>
  </rcc>
  <rcc rId="258" sId="4">
    <nc r="G6">
      <v>17</v>
    </nc>
  </rcc>
  <rcc rId="259" sId="4">
    <nc r="J6">
      <v>17</v>
    </nc>
  </rcc>
  <rcc rId="260" sId="4">
    <nc r="G27">
      <v>17</v>
    </nc>
  </rcc>
  <rcc rId="261" sId="4">
    <nc r="J7">
      <v>17</v>
    </nc>
  </rcc>
  <rcc rId="262" sId="4">
    <nc r="G26">
      <v>17</v>
    </nc>
  </rcc>
  <rcc rId="263" sId="4">
    <nc r="J26">
      <v>17</v>
    </nc>
  </rcc>
  <rcc rId="264" sId="4">
    <nc r="M26">
      <v>17</v>
    </nc>
  </rcc>
  <rcc rId="265" sId="4">
    <nc r="M14">
      <v>51</v>
    </nc>
  </rcc>
  <rcc rId="266" sId="4">
    <nc r="G22">
      <v>17</v>
    </nc>
  </rcc>
  <rcc rId="267" sId="4">
    <nc r="G23">
      <v>34</v>
    </nc>
  </rcc>
  <rcc rId="268" sId="4">
    <nc r="G12">
      <v>51</v>
    </nc>
  </rcc>
  <rcc rId="269" sId="4">
    <nc r="G13">
      <v>34</v>
    </nc>
  </rcc>
  <rcc rId="270" sId="4">
    <nc r="J13">
      <v>17</v>
    </nc>
  </rcc>
  <rcc rId="271" sId="4">
    <nc r="J5">
      <v>17</v>
    </nc>
  </rcc>
  <rcc rId="272" sId="4">
    <nc r="G5">
      <v>34</v>
    </nc>
  </rcc>
  <rcc rId="273" sId="4">
    <nc r="G19">
      <v>34</v>
    </nc>
  </rcc>
  <rcc rId="274" sId="4">
    <nc r="J19">
      <v>17</v>
    </nc>
  </rcc>
  <rcc rId="275" sId="4">
    <nc r="G30">
      <v>34</v>
    </nc>
  </rcc>
  <rcc rId="276" sId="4">
    <nc r="J30">
      <v>17</v>
    </nc>
  </rcc>
  <rcc rId="277" sId="4">
    <nc r="M22">
      <v>51</v>
    </nc>
  </rcc>
  <rcc rId="278" sId="4">
    <nc r="G10">
      <v>17</v>
    </nc>
  </rcc>
  <rcc rId="279" sId="4">
    <nc r="G11">
      <v>17</v>
    </nc>
  </rcc>
  <rcc rId="280" sId="4">
    <nc r="M11">
      <v>17</v>
    </nc>
  </rcc>
  <rcc rId="281" sId="4">
    <nc r="M18">
      <v>51</v>
    </nc>
  </rcc>
  <rcc rId="282" sId="4">
    <nc r="M23">
      <v>51</v>
    </nc>
  </rcc>
  <rcc rId="283" sId="4">
    <nc r="M17">
      <v>34</v>
    </nc>
  </rcc>
  <rcc rId="284" sId="4">
    <nc r="G17">
      <v>17</v>
    </nc>
  </rcc>
  <rcc rId="285" sId="4">
    <nc r="G9">
      <v>68</v>
    </nc>
  </rcc>
  <rcc rId="286" sId="4">
    <nc r="J9">
      <v>17</v>
    </nc>
  </rcc>
  <rcc rId="287" sId="4">
    <nc r="G25">
      <v>34</v>
    </nc>
  </rcc>
  <rcc rId="288" sId="4">
    <nc r="J25">
      <v>17</v>
    </nc>
  </rcc>
  <rcc rId="289" sId="4">
    <nc r="M24">
      <v>51</v>
    </nc>
  </rcc>
  <rcc rId="290" sId="4">
    <nc r="D7">
      <v>51</v>
    </nc>
  </rcc>
  <rcc rId="291" sId="4">
    <nc r="G7">
      <v>34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" sId="6">
    <nc r="G9">
      <v>17</v>
    </nc>
  </rcc>
  <rcc rId="293" sId="6">
    <nc r="H18">
      <v>51</v>
    </nc>
  </rcc>
  <rcc rId="294" sId="6">
    <nc r="H10">
      <v>34</v>
    </nc>
  </rcc>
  <rcc rId="295" sId="6">
    <nc r="H9">
      <v>51</v>
    </nc>
  </rcc>
  <rcc rId="296" sId="6">
    <nc r="H7">
      <v>17</v>
    </nc>
  </rcc>
  <rcc rId="297" sId="6">
    <nc r="I7">
      <v>17</v>
    </nc>
  </rcc>
  <rcc rId="298" sId="6">
    <nc r="H6">
      <v>17</v>
    </nc>
  </rcc>
  <rcc rId="299" sId="6">
    <nc r="I8">
      <v>17</v>
    </nc>
  </rcc>
  <rcc rId="300" sId="6">
    <nc r="F32">
      <v>17</v>
    </nc>
  </rcc>
  <rcc rId="301" sId="6">
    <nc r="G32">
      <v>17</v>
    </nc>
  </rcc>
  <rcc rId="302" sId="6">
    <nc r="I32">
      <v>17</v>
    </nc>
  </rcc>
  <rcc rId="303" sId="6">
    <nc r="T5">
      <v>51</v>
    </nc>
  </rcc>
  <rcc rId="304" sId="6">
    <nc r="B40">
      <v>17</v>
    </nc>
  </rcc>
  <rcc rId="305" sId="6">
    <nc r="B41">
      <v>34</v>
    </nc>
  </rcc>
  <rcc rId="306" sId="6">
    <nc r="H13">
      <v>51</v>
    </nc>
  </rcc>
  <rcc rId="307" sId="6">
    <nc r="H14">
      <v>34</v>
    </nc>
  </rcc>
  <rcc rId="308" sId="6">
    <nc r="I14">
      <v>17</v>
    </nc>
  </rcc>
  <rcc rId="309" sId="6">
    <nc r="H5">
      <v>34</v>
    </nc>
  </rcc>
  <rcc rId="310" sId="6">
    <nc r="I5">
      <v>17</v>
    </nc>
  </rcc>
  <rcc rId="311" sId="6">
    <nc r="F29">
      <v>34</v>
    </nc>
  </rcc>
  <rcc rId="312" sId="6">
    <nc r="G29">
      <v>17</v>
    </nc>
  </rcc>
  <rcc rId="313" sId="6">
    <nc r="H15">
      <v>34</v>
    </nc>
  </rcc>
  <rcc rId="314" sId="6">
    <nc r="I15">
      <v>17</v>
    </nc>
  </rcc>
  <rcc rId="315" sId="6">
    <nc r="Q15">
      <v>51</v>
    </nc>
  </rcc>
  <rcc rId="316" sId="6">
    <nc r="Q16">
      <v>51</v>
    </nc>
  </rcc>
  <rcc rId="317" sId="6">
    <nc r="C11">
      <v>17</v>
    </nc>
  </rcc>
  <rcc rId="318" sId="6">
    <nc r="C12">
      <v>17</v>
    </nc>
  </rcc>
  <rcc rId="319" sId="6">
    <nc r="E12">
      <v>17</v>
    </nc>
  </rcc>
  <rcc rId="320" sId="6">
    <nc r="I28">
      <v>51</v>
    </nc>
  </rcc>
  <rcc rId="321" sId="6">
    <nc r="R8">
      <v>17</v>
    </nc>
  </rcc>
  <rcc rId="322" sId="6">
    <nc r="T8">
      <v>34</v>
    </nc>
  </rcc>
  <rcc rId="323" sId="6">
    <nc r="C10">
      <v>34</v>
    </nc>
  </rcc>
  <rcc rId="324" sId="6">
    <nc r="D10">
      <v>17</v>
    </nc>
  </rcc>
  <rcc rId="325" sId="6">
    <nc r="E43">
      <v>34</v>
    </nc>
  </rcc>
  <rcc rId="326" sId="6">
    <nc r="F43">
      <v>17</v>
    </nc>
  </rcc>
  <rcc rId="327" sId="6">
    <nc r="D42">
      <v>51</v>
    </nc>
  </rcc>
  <rcc rId="328" sId="6">
    <nc r="G8">
      <v>51</v>
    </nc>
  </rcc>
  <rcc rId="329" sId="6">
    <nc r="H8">
      <v>34</v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0" sId="3">
    <oc r="C11">
      <f>'Z:\Current Month\[مسحوبات المستودعات والتحويلات.xlsx]كوتة الاكسيل'!$F$15/30*1000</f>
    </oc>
    <nc r="C11">
      <f>'Z:\Current Month\[مسحوبات المستودعات والتحويلات.xlsx]كوتة الاكسيل'!$F$15/30*1000</f>
    </nc>
  </rcc>
  <rcc rId="331" sId="3">
    <oc r="D11">
      <f>'التمام الصباحي'!F39*1000</f>
    </oc>
    <nc r="D11">
      <f>'التمام الصباحي'!F39*1000</f>
    </nc>
  </rcc>
  <rcc rId="332" sId="3">
    <oc r="E11">
      <f>D11/C11</f>
    </oc>
    <nc r="E11">
      <f>D11/C11</f>
    </nc>
  </rcc>
  <rcc rId="333" sId="3">
    <oc r="F11">
      <f>'Z:\Current Month\[مسحوبات المستودعات والتحويلات.xlsx]كوتة الاكسيل'!$N$15/30*1000</f>
    </oc>
    <nc r="F11">
      <f>'Z:\Current Month\[مسحوبات المستودعات والتحويلات.xlsx]كوتة الاكسيل'!$N$15/30*1000</f>
    </nc>
  </rcc>
  <rcc rId="334" sId="3">
    <oc r="G11">
      <f>'التمام الصباحي'!L39*1000</f>
    </oc>
    <nc r="G11">
      <f>'التمام الصباحي'!L39*1000</f>
    </nc>
  </rcc>
  <rcc rId="335" sId="3">
    <oc r="H11">
      <f>G11/F11</f>
    </oc>
    <nc r="H11">
      <f>G11/F11</f>
    </nc>
  </rcc>
  <rcc rId="336" sId="3">
    <oc r="I11">
      <f>'Z:\Current Month\[مسحوبات المستودعات والتحويلات.xlsx]كوتة الاكسيل'!$J$15/30*1000</f>
    </oc>
    <nc r="I11">
      <f>'Z:\Current Month\[مسحوبات المستودعات والتحويلات.xlsx]كوتة الاكسيل'!$J$15/30*1000</f>
    </nc>
  </rcc>
  <rcc rId="337" sId="3">
    <oc r="J11">
      <f>'التمام الصباحي'!R39*1000</f>
    </oc>
    <nc r="J11">
      <f>'التمام الصباحي'!R39*1000</f>
    </nc>
  </rcc>
  <rcc rId="338" sId="3">
    <oc r="K11">
      <f>J11/I11</f>
    </oc>
    <nc r="K11">
      <f>J11/I11</f>
    </nc>
  </rcc>
  <rcc rId="339" sId="3">
    <oc r="L11">
      <f>'Z:\Current Month\[مسحوبات المستودعات والتحويلات.xlsx]كوتة الاكسيل'!$B$15/30*1000</f>
    </oc>
    <nc r="L11">
      <f>'Z:\Current Month\[مسحوبات المستودعات والتحويلات.xlsx]كوتة الاكسيل'!$B$15/30*1000</f>
    </nc>
  </rcc>
  <rcc rId="340" sId="13">
    <oc r="F17">
      <f>'Z:\Current Month\[مسحوبات المستودعات والتحويلات.xlsx]التعاون.ملخص'!$D$2</f>
    </oc>
    <nc r="F17">
      <f>'Z:\Current Month\[مسحوبات المستودعات والتحويلات.xlsx]التعاون.ملخص'!$D$2</f>
    </nc>
  </rcc>
  <rcc rId="341" sId="13">
    <oc r="F18">
      <f>'Z:\Current Month\[مسحوبات المستودعات والتحويلات.xlsx]التعاون.ملخص'!$D$4</f>
    </oc>
    <nc r="F18">
      <f>'Z:\Current Month\[مسحوبات المستودعات والتحويلات.xlsx]التعاون.ملخص'!$D$4</f>
    </nc>
  </rcc>
  <rcc rId="342" sId="13">
    <oc r="F19">
      <f>'Z:\Current Month\[مسحوبات المستودعات والتحويلات.xlsx]التعاون.ملخص'!$D$3</f>
    </oc>
    <nc r="F19">
      <f>'Z:\Current Month\[مسحوبات المستودعات والتحويلات.xlsx]التعاون.ملخص'!$D$3</f>
    </nc>
  </rcc>
  <rcc rId="343" sId="13">
    <oc r="F21">
      <f>'Z:\Current Month\[مسحوبات المستودعات والتحويلات.xlsx]التعاون.ملخص'!$D$5</f>
    </oc>
    <nc r="F21">
      <f>'Z:\Current Month\[مسحوبات المستودعات والتحويلات.xlsx]التعاون.ملخص'!$D$5</f>
    </nc>
  </rcc>
  <rcc rId="344" sId="15">
    <oc r="D16">
      <f>'Z:\Current Month\[مسحوبات المستودعات والتحويلات.xlsx]التعاون.ملخص'!$D$6</f>
    </oc>
    <nc r="D16">
      <f>'Z:\Current Month\[مسحوبات المستودعات والتحويلات.xlsx]التعاون.ملخص'!$D$6</f>
    </nc>
  </rcc>
  <rcc rId="345" sId="17">
    <oc r="D15">
      <f>'Z:\Current Month\[مسحوبات المستودعات والتحويلات.xlsx]التعاون.ملخص'!$D$7</f>
    </oc>
    <nc r="D15">
      <f>'Z:\Current Month\[مسحوبات المستودعات والتحويلات.xlsx]التعاون.ملخص'!$D$7</f>
    </nc>
  </rcc>
  <rcc rId="346" sId="19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347" sId="20">
    <oc r="D18">
      <f>'Z:\Current Month\[مسحوبات المستودعات والتحويلات.xlsx]التعاون.ملخص'!$D$11</f>
    </oc>
    <nc r="D18">
      <f>'Z:\Current Month\[مسحوبات المستودعات والتحويلات.xlsx]التعاون.ملخص'!$D$11</f>
    </nc>
  </rcc>
  <rcc rId="348" sId="13">
    <oc r="F22">
      <f>'Z:\Current Month\[مسحوبات المستودعات والتحويلات.xlsx]موبيل.ملخص'!$D$2</f>
    </oc>
    <nc r="F22">
      <f>'Z:\Current Month\[مسحوبات المستودعات والتحويلات.xlsx]موبيل.ملخص'!$D$2</f>
    </nc>
  </rcc>
  <rcc rId="349" sId="13">
    <oc r="F23">
      <f>'Z:\Current Month\[مسحوبات المستودعات والتحويلات.xlsx]موبيل.ملخص'!$D$4</f>
    </oc>
    <nc r="F23">
      <f>'Z:\Current Month\[مسحوبات المستودعات والتحويلات.xlsx]موبيل.ملخص'!$D$4</f>
    </nc>
  </rcc>
  <rcc rId="350" sId="13">
    <oc r="F24">
      <f>'Z:\Current Month\[مسحوبات المستودعات والتحويلات.xlsx]موبيل.ملخص'!$D$3</f>
    </oc>
    <nc r="F24">
      <f>'Z:\Current Month\[مسحوبات المستودعات والتحويلات.xlsx]موبيل.ملخص'!$D$3</f>
    </nc>
  </rcc>
  <rcc rId="351" sId="15">
    <oc r="D17">
      <f>'Z:\Current Month\[مسحوبات المستودعات والتحويلات.xlsx]موبيل.ملخص'!$D$5</f>
    </oc>
    <nc r="D17">
      <f>'Z:\Current Month\[مسحوبات المستودعات والتحويلات.xlsx]موبيل.ملخص'!$D$5</f>
    </nc>
  </rcc>
  <rcc rId="352" sId="15">
    <oc r="D22">
      <f>'Z:\Current Month\[مسحوبات المستودعات والتحويلات.xlsx]موبيل.ملخص'!$D$6</f>
    </oc>
    <nc r="D22">
      <f>'Z:\Current Month\[مسحوبات المستودعات والتحويلات.xlsx]موبيل.ملخص'!$D$6</f>
    </nc>
  </rcc>
  <rcc rId="353" sId="17">
    <oc r="D16">
      <f>'Z:\Current Month\[مسحوبات المستودعات والتحويلات.xlsx]موبيل.ملخص'!$D$8</f>
    </oc>
    <nc r="D16">
      <f>'Z:\Current Month\[مسحوبات المستودعات والتحويلات.xlsx]موبيل.ملخص'!$D$8</f>
    </nc>
  </rcc>
  <rcc rId="354" sId="17">
    <oc r="D17">
      <f>'Z:\Current Month\[مسحوبات المستودعات والتحويلات.xlsx]التعاون.ملخص'!$D$8</f>
    </oc>
    <nc r="D17">
      <f>'Z:\Current Month\[مسحوبات المستودعات والتحويلات.xlsx]التعاون.ملخص'!$D$8</f>
    </nc>
  </rcc>
  <rcc rId="355" sId="17">
    <oc r="D18">
      <f>'Z:\Current Month\[مسحوبات المستودعات والتحويلات.xlsx]موبيل.ملخص'!$D$10</f>
    </oc>
    <nc r="D18">
      <f>'Z:\Current Month\[مسحوبات المستودعات والتحويلات.xlsx]موبيل.ملخص'!$D$10</f>
    </nc>
  </rcc>
  <rcc rId="356" sId="17">
    <oc r="D20">
      <f>'Z:\Current Month\[مسحوبات المستودعات والتحويلات.xlsx]التعاون.ملخص'!$D$9</f>
    </oc>
    <nc r="D20">
      <f>'Z:\Current Month\[مسحوبات المستودعات والتحويلات.xlsx]التعاون.ملخص'!$D$9</f>
    </nc>
  </rcc>
  <rcc rId="357" sId="17">
    <oc r="D21">
      <f>'Z:\Current Month\[مسحوبات المستودعات والتحويلات.xlsx]موبيل.ملخص'!$D$9</f>
    </oc>
    <nc r="D21">
      <f>'Z:\Current Month\[مسحوبات المستودعات والتحويلات.xlsx]موبيل.ملخص'!$D$9</f>
    </nc>
  </rcc>
  <rcc rId="358" sId="15">
    <oc r="D15">
      <f>'Z:\Current Month\[مسحوبات المستودعات والتحويلات.xlsx]مصرملخص'!$D$2</f>
    </oc>
    <nc r="D15">
      <f>'Z:\Current Month\[مسحوبات المستودعات والتحويلات.xlsx]مصرملخص'!$D$2</f>
    </nc>
  </rcc>
  <rcc rId="359" sId="15">
    <oc r="D19">
      <f>'Z:\Current Month\[مسحوبات المستودعات والتحويلات.xlsx]مصرملخص'!$D$4</f>
    </oc>
    <nc r="D19">
      <f>'Z:\Current Month\[مسحوبات المستودعات والتحويلات.xlsx]مصرملخص'!$D$4</f>
    </nc>
  </rcc>
  <rcc rId="360" sId="15">
    <oc r="D20">
      <f>'Z:\Current Month\[مسحوبات المستودعات والتحويلات.xlsx]موبيل.ملخص'!$D$7</f>
    </oc>
    <nc r="D20">
      <f>'Z:\Current Month\[مسحوبات المستودعات والتحويلات.xlsx]موبيل.ملخص'!$D$7</f>
    </nc>
  </rcc>
  <rcc rId="361" sId="15">
    <oc r="D21">
      <f>'Z:\Current Month\[مسحوبات المستودعات والتحويلات.xlsx]مصرملخص'!$D$3</f>
    </oc>
    <nc r="D21">
      <f>'Z:\Current Month\[مسحوبات المستودعات والتحويلات.xlsx]مصرملخص'!$D$3</f>
    </nc>
  </rcc>
  <rcc rId="362" sId="17">
    <oc r="D14">
      <f>'Z:\Current Month\[مسحوبات المستودعات والتحويلات.xlsx]مصرملخص'!$D$6</f>
    </oc>
    <nc r="D14">
      <f>'Z:\Current Month\[مسحوبات المستودعات والتحويلات.xlsx]مصرملخص'!$D$6</f>
    </nc>
  </rcc>
  <rcc rId="363" sId="17">
    <oc r="D19">
      <f>'Z:\Current Month\[مسحوبات المستودعات والتحويلات.xlsx]مصرملخص'!$D$7</f>
    </oc>
    <nc r="D19">
      <f>'Z:\Current Month\[مسحوبات المستودعات والتحويلات.xlsx]مصرملخص'!$D$7</f>
    </nc>
  </rcc>
  <rcc rId="364" sId="19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365" sId="19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366" sId="19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367" sId="20">
    <oc r="D15">
      <f>'Z:\Current Month\[مسحوبات المستودعات والتحويلات.xlsx]مصرملخص'!$D$8</f>
    </oc>
    <nc r="D15">
      <f>'Z:\Current Month\[مسحوبات المستودعات والتحويلات.xlsx]مصرملخص'!$D$8</f>
    </nc>
  </rcc>
  <rcc rId="368" sId="20">
    <oc r="D16">
      <f>'Z:\Current Month\[مسحوبات المستودعات والتحويلات.xlsx]التعاون.ملخص'!$D$10</f>
    </oc>
    <nc r="D16">
      <f>'Z:\Current Month\[مسحوبات المستودعات والتحويلات.xlsx]التعاون.ملخص'!$D$10</f>
    </nc>
  </rcc>
  <rcc rId="369" sId="20">
    <oc r="D17">
      <f>'Z:\Current Month\[مسحوبات المستودعات والتحويلات.xlsx]مصرملخص'!$D$9</f>
    </oc>
    <nc r="D17">
      <f>'Z:\Current Month\[مسحوبات المستودعات والتحويلات.xlsx]مصرملخص'!$D$9</f>
    </nc>
  </rcc>
  <rcc rId="370" sId="15">
    <oc r="D18">
      <f>'Z:\Current Month\[مسحوبات المستودعات والتحويلات.xlsx]مصر للبترول'!$Y$36</f>
    </oc>
    <nc r="D18">
      <f>'Z:\Current Month\[مسحوبات المستودعات والتحويلات.xlsx]مصر للبترول'!$Y$36</f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7" customView="1" name="Z_18C0F7AC_4BB1_46DE_8A01_8E31FE0585FC_.wvu.Rows" hidden="1" oldHidden="1">
    <formula>'خطة الإمداد'!$1:$28</formula>
    <oldFormula>'خطة الإمداد'!$1:$28</oldFormula>
  </rdn>
  <rdn rId="0" localSheetId="7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9" customView="1" name="Z_18C0F7AC_4BB1_46DE_8A01_8E31FE0585FC_.wvu.PrintArea" hidden="1" oldHidden="1">
    <formula>'سعت 1700'!$A$1:$V$32</formula>
    <oldFormula>'سعت 1700'!$A$1:$V$32</oldFormula>
  </rdn>
  <rdn rId="0" localSheetId="10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" sId="1">
    <oc r="I5" t="inlineStr">
      <is>
        <t>التمام الصباحي الإثنين الموافق  1 / 9 / 2019</t>
      </is>
    </oc>
    <nc r="I5" t="inlineStr">
      <is>
        <t>التمام الصباحي الإثنين الموافق  5 / 10 / 2019</t>
      </is>
    </nc>
  </rcc>
  <rcc rId="378" sId="1">
    <oc r="M9">
      <v>29</v>
    </oc>
    <nc r="M9">
      <v>30</v>
    </nc>
  </rcc>
  <rcc rId="379" sId="1">
    <oc r="S9">
      <v>9</v>
    </oc>
    <nc r="S9">
      <v>10</v>
    </nc>
  </rcc>
  <rcc rId="380" sId="1">
    <oc r="M10">
      <v>24</v>
    </oc>
    <nc r="M10">
      <v>22</v>
    </nc>
  </rcc>
  <rcc rId="381" sId="1">
    <oc r="G10">
      <v>36</v>
    </oc>
    <nc r="G10">
      <v>39</v>
    </nc>
  </rcc>
  <rcc rId="382" sId="1">
    <oc r="G11">
      <v>5</v>
    </oc>
    <nc r="G11">
      <v>4</v>
    </nc>
  </rcc>
  <rcc rId="383" sId="1">
    <oc r="Y11">
      <v>4</v>
    </oc>
    <nc r="Y11">
      <v>5</v>
    </nc>
  </rcc>
  <rcc rId="384" sId="1">
    <oc r="M12">
      <v>42</v>
    </oc>
    <nc r="M12">
      <v>38</v>
    </nc>
  </rcc>
  <rcc rId="385" sId="1">
    <oc r="M13">
      <v>27</v>
    </oc>
    <nc r="M13">
      <v>26</v>
    </nc>
  </rcc>
  <rcc rId="386" sId="1">
    <oc r="M14">
      <v>22</v>
    </oc>
    <nc r="M14">
      <v>20</v>
    </nc>
  </rcc>
  <rcc rId="387" sId="1">
    <oc r="G14">
      <v>9</v>
    </oc>
    <nc r="G14">
      <v>8</v>
    </nc>
  </rcc>
  <rcc rId="388" sId="1">
    <oc r="M15">
      <v>52</v>
    </oc>
    <nc r="M15">
      <v>42</v>
    </nc>
  </rcc>
  <rcc rId="389" sId="1">
    <oc r="Y16">
      <v>25</v>
    </oc>
    <nc r="Y16">
      <v>33</v>
    </nc>
  </rcc>
  <rcc rId="390" sId="1">
    <oc r="S16">
      <v>11</v>
    </oc>
    <nc r="S16">
      <v>12</v>
    </nc>
  </rcc>
  <rcc rId="391" sId="1">
    <oc r="S15">
      <v>15</v>
    </oc>
    <nc r="S15">
      <v>13</v>
    </nc>
  </rcc>
  <rcc rId="392" sId="1">
    <oc r="M16">
      <v>35</v>
    </oc>
    <nc r="M16">
      <v>38</v>
    </nc>
  </rcc>
  <rcc rId="393" sId="1">
    <oc r="M17">
      <v>11</v>
    </oc>
    <nc r="M17">
      <v>9</v>
    </nc>
  </rcc>
  <rcc rId="394" sId="1">
    <oc r="S17">
      <v>6</v>
    </oc>
    <nc r="S17">
      <v>5</v>
    </nc>
  </rcc>
  <rcc rId="395" sId="1">
    <oc r="Y17">
      <v>31</v>
    </oc>
    <nc r="Y17">
      <v>59</v>
    </nc>
  </rcc>
  <rcc rId="396" sId="1">
    <oc r="Y18">
      <v>5</v>
    </oc>
    <nc r="Y18">
      <v>4</v>
    </nc>
  </rcc>
  <rcc rId="397" sId="1">
    <oc r="M18">
      <v>12</v>
    </oc>
    <nc r="M18">
      <v>11</v>
    </nc>
  </rcc>
  <rcc rId="398" sId="1">
    <oc r="S20">
      <v>2</v>
    </oc>
    <nc r="S20">
      <v>1</v>
    </nc>
  </rcc>
  <rcc rId="399" sId="1">
    <oc r="Y21">
      <v>22</v>
    </oc>
    <nc r="Y21">
      <v>24</v>
    </nc>
  </rcc>
  <rcc rId="400" sId="1">
    <oc r="S21">
      <v>13</v>
    </oc>
    <nc r="S21">
      <v>6</v>
    </nc>
  </rcc>
  <rcc rId="401" sId="1">
    <oc r="M21">
      <v>34</v>
    </oc>
    <nc r="M21">
      <v>17</v>
    </nc>
  </rcc>
  <rcc rId="402" sId="1">
    <oc r="G23">
      <v>0.6</v>
    </oc>
    <nc r="G23">
      <v>0.5</v>
    </nc>
  </rcc>
  <rcc rId="403" sId="1">
    <oc r="M23">
      <v>3</v>
    </oc>
    <nc r="M23">
      <v>2</v>
    </nc>
  </rcc>
  <rcc rId="404" sId="1">
    <oc r="Y23">
      <v>8</v>
    </oc>
    <nc r="Y23">
      <v>10</v>
    </nc>
  </rcc>
  <rcc rId="405" sId="1">
    <oc r="M24">
      <v>6</v>
    </oc>
    <nc r="M24">
      <v>3</v>
    </nc>
  </rcc>
  <rcc rId="406" sId="1">
    <oc r="M25">
      <v>16</v>
    </oc>
    <nc r="M25">
      <v>15</v>
    </nc>
  </rcc>
  <rcc rId="407" sId="1">
    <oc r="Y25">
      <v>43</v>
    </oc>
    <nc r="Y25">
      <v>54</v>
    </nc>
  </rcc>
  <rcc rId="408" sId="1">
    <oc r="Y26">
      <v>40</v>
    </oc>
    <nc r="Y26">
      <v>50</v>
    </nc>
  </rcc>
  <rcc rId="409" sId="1">
    <oc r="M26">
      <v>18</v>
    </oc>
    <nc r="M26">
      <v>17</v>
    </nc>
  </rcc>
  <rcc rId="410" sId="1">
    <oc r="M27">
      <v>13</v>
    </oc>
    <nc r="M27">
      <v>12</v>
    </nc>
  </rcc>
  <rcc rId="411" sId="1">
    <oc r="Y28">
      <v>19</v>
    </oc>
    <nc r="Y28">
      <v>25</v>
    </nc>
  </rcc>
  <rcc rId="412" sId="1">
    <oc r="Y27">
      <v>22</v>
    </oc>
    <nc r="Y27">
      <v>27</v>
    </nc>
  </rcc>
  <rcc rId="413" sId="1">
    <oc r="G29">
      <v>5</v>
    </oc>
    <nc r="G29">
      <v>4</v>
    </nc>
  </rcc>
  <rcc rId="414" sId="1">
    <oc r="M30">
      <v>6</v>
    </oc>
    <nc r="M30">
      <v>8</v>
    </nc>
  </rcc>
  <rcc rId="415" sId="1">
    <oc r="M31">
      <v>27</v>
    </oc>
    <nc r="M31">
      <v>29</v>
    </nc>
  </rcc>
  <rcc rId="416" sId="1">
    <oc r="M32">
      <v>27</v>
    </oc>
    <nc r="M32">
      <v>32</v>
    </nc>
  </rcc>
  <rcc rId="417" sId="1">
    <oc r="S32">
      <v>9</v>
    </oc>
    <nc r="S32">
      <v>11</v>
    </nc>
  </rcc>
  <rcc rId="418" sId="1">
    <oc r="S31">
      <v>10</v>
    </oc>
    <nc r="S31">
      <v>11</v>
    </nc>
  </rcc>
  <rcc rId="419" sId="1">
    <oc r="S33">
      <v>8</v>
    </oc>
    <nc r="S33">
      <v>10</v>
    </nc>
  </rcc>
  <rcc rId="420" sId="1">
    <oc r="S34">
      <v>12</v>
    </oc>
    <nc r="S34">
      <v>15</v>
    </nc>
  </rcc>
  <rcc rId="421" sId="1">
    <oc r="M34">
      <v>52</v>
    </oc>
    <nc r="M34">
      <v>62</v>
    </nc>
  </rcc>
  <rcc rId="422" sId="1">
    <oc r="M33">
      <v>33</v>
    </oc>
    <nc r="M33">
      <v>38</v>
    </nc>
  </rcc>
  <rcc rId="423" sId="1">
    <oc r="M35">
      <v>27</v>
    </oc>
    <nc r="M35">
      <v>16</v>
    </nc>
  </rcc>
  <rcc rId="424" sId="1">
    <oc r="S35">
      <v>7</v>
    </oc>
    <nc r="S35">
      <v>2</v>
    </nc>
  </rcc>
  <rfmt sheetId="1" sqref="C30" start="0" length="0">
    <dxf>
      <fill>
        <patternFill>
          <bgColor theme="0" tint="-0.14999847407452621"/>
        </patternFill>
      </fill>
    </dxf>
  </rfmt>
  <rfmt sheetId="1" sqref="D30" start="0" length="0">
    <dxf>
      <fill>
        <patternFill patternType="none">
          <bgColor indexed="65"/>
        </patternFill>
      </fill>
    </dxf>
  </rfmt>
  <rfmt sheetId="1" sqref="E30" start="0" length="0">
    <dxf>
      <fill>
        <patternFill patternType="none">
          <bgColor indexed="65"/>
        </patternFill>
      </fill>
    </dxf>
  </rfmt>
  <rfmt sheetId="1" sqref="F30" start="0" length="0">
    <dxf>
      <fill>
        <patternFill patternType="none">
          <bgColor indexed="65"/>
        </patternFill>
      </fill>
    </dxf>
  </rfmt>
  <rfmt sheetId="1" sqref="G30" start="0" length="0">
    <dxf>
      <fill>
        <patternFill patternType="none">
          <bgColor indexed="65"/>
        </patternFill>
      </fill>
    </dxf>
  </rfmt>
  <rfmt sheetId="1" sqref="H30" start="0" length="0">
    <dxf>
      <fill>
        <patternFill patternType="none">
          <bgColor indexed="65"/>
        </patternFill>
      </fill>
    </dxf>
  </rfmt>
  <rfmt sheetId="1" sqref="C31" start="0" length="0">
    <dxf>
      <fill>
        <patternFill>
          <bgColor theme="0" tint="-0.14999847407452621"/>
        </patternFill>
      </fill>
    </dxf>
  </rfmt>
  <rfmt sheetId="1" sqref="D31" start="0" length="0">
    <dxf>
      <fill>
        <patternFill patternType="none">
          <bgColor indexed="65"/>
        </patternFill>
      </fill>
    </dxf>
  </rfmt>
  <rfmt sheetId="1" sqref="E31" start="0" length="0">
    <dxf>
      <fill>
        <patternFill patternType="none">
          <bgColor indexed="65"/>
        </patternFill>
      </fill>
    </dxf>
  </rfmt>
  <rfmt sheetId="1" sqref="F31" start="0" length="0">
    <dxf>
      <fill>
        <patternFill patternType="none">
          <bgColor indexed="65"/>
        </patternFill>
      </fill>
    </dxf>
  </rfmt>
  <rfmt sheetId="1" sqref="G31" start="0" length="0">
    <dxf>
      <fill>
        <patternFill patternType="none">
          <bgColor indexed="65"/>
        </patternFill>
      </fill>
    </dxf>
  </rfmt>
  <rfmt sheetId="1" sqref="H31" start="0" length="0">
    <dxf>
      <fill>
        <patternFill patternType="none">
          <bgColor indexed="65"/>
        </patternFill>
      </fill>
    </dxf>
  </rfmt>
  <rfmt sheetId="1" sqref="C32" start="0" length="0">
    <dxf>
      <fill>
        <patternFill>
          <bgColor theme="0" tint="-0.14999847407452621"/>
        </patternFill>
      </fill>
    </dxf>
  </rfmt>
  <rfmt sheetId="1" sqref="D32" start="0" length="0">
    <dxf>
      <fill>
        <patternFill patternType="none">
          <bgColor indexed="65"/>
        </patternFill>
      </fill>
    </dxf>
  </rfmt>
  <rfmt sheetId="1" sqref="E32" start="0" length="0">
    <dxf>
      <fill>
        <patternFill patternType="none">
          <bgColor indexed="65"/>
        </patternFill>
      </fill>
    </dxf>
  </rfmt>
  <rfmt sheetId="1" sqref="F32" start="0" length="0">
    <dxf>
      <fill>
        <patternFill patternType="none">
          <bgColor indexed="65"/>
        </patternFill>
      </fill>
    </dxf>
  </rfmt>
  <rfmt sheetId="1" sqref="G32" start="0" length="0">
    <dxf>
      <fill>
        <patternFill patternType="none">
          <bgColor indexed="65"/>
        </patternFill>
      </fill>
    </dxf>
  </rfmt>
  <rfmt sheetId="1" sqref="H32" start="0" length="0">
    <dxf>
      <fill>
        <patternFill patternType="none">
          <bgColor indexed="65"/>
        </patternFill>
      </fill>
    </dxf>
  </rfmt>
  <rfmt sheetId="1" sqref="C33" start="0" length="0">
    <dxf>
      <fill>
        <patternFill>
          <bgColor theme="0" tint="-0.14999847407452621"/>
        </patternFill>
      </fill>
    </dxf>
  </rfmt>
  <rfmt sheetId="1" sqref="D33" start="0" length="0">
    <dxf>
      <fill>
        <patternFill patternType="none">
          <bgColor indexed="65"/>
        </patternFill>
      </fill>
    </dxf>
  </rfmt>
  <rfmt sheetId="1" sqref="E33" start="0" length="0">
    <dxf>
      <fill>
        <patternFill patternType="none">
          <bgColor indexed="65"/>
        </patternFill>
      </fill>
    </dxf>
  </rfmt>
  <rfmt sheetId="1" sqref="F33" start="0" length="0">
    <dxf>
      <fill>
        <patternFill patternType="none">
          <bgColor indexed="65"/>
        </patternFill>
      </fill>
    </dxf>
  </rfmt>
  <rfmt sheetId="1" sqref="G33" start="0" length="0">
    <dxf>
      <fill>
        <patternFill patternType="none">
          <bgColor indexed="65"/>
        </patternFill>
      </fill>
    </dxf>
  </rfmt>
  <rfmt sheetId="1" sqref="H33" start="0" length="0">
    <dxf>
      <fill>
        <patternFill patternType="none">
          <bgColor indexed="65"/>
        </patternFill>
      </fill>
    </dxf>
  </rfmt>
  <rfmt sheetId="1" sqref="C34" start="0" length="0">
    <dxf>
      <fill>
        <patternFill>
          <bgColor theme="0" tint="-0.14999847407452621"/>
        </patternFill>
      </fill>
    </dxf>
  </rfmt>
  <rfmt sheetId="1" sqref="D34" start="0" length="0">
    <dxf>
      <fill>
        <patternFill patternType="none">
          <bgColor indexed="65"/>
        </patternFill>
      </fill>
    </dxf>
  </rfmt>
  <rfmt sheetId="1" sqref="E34" start="0" length="0">
    <dxf>
      <fill>
        <patternFill patternType="none">
          <bgColor indexed="65"/>
        </patternFill>
      </fill>
    </dxf>
  </rfmt>
  <rfmt sheetId="1" sqref="F34" start="0" length="0">
    <dxf>
      <fill>
        <patternFill patternType="none">
          <bgColor indexed="65"/>
        </patternFill>
      </fill>
    </dxf>
  </rfmt>
  <rfmt sheetId="1" sqref="G34" start="0" length="0">
    <dxf>
      <fill>
        <patternFill patternType="none">
          <bgColor indexed="65"/>
        </patternFill>
      </fill>
    </dxf>
  </rfmt>
  <rfmt sheetId="1" sqref="H34" start="0" length="0">
    <dxf>
      <fill>
        <patternFill patternType="none">
          <bgColor indexed="65"/>
        </patternFill>
      </fill>
    </dxf>
  </rfmt>
  <rfmt sheetId="1" sqref="C35" start="0" length="0">
    <dxf>
      <fill>
        <patternFill>
          <bgColor theme="0" tint="-0.14999847407452621"/>
        </patternFill>
      </fill>
    </dxf>
  </rfmt>
  <rcc rId="425" sId="1" odxf="1" dxf="1">
    <nc r="D35">
      <f>'أخذ التمام الصباحي'!C32</f>
    </nc>
    <odxf>
      <fill>
        <patternFill patternType="solid">
          <bgColor theme="8" tint="0.59999389629810485"/>
        </patternFill>
      </fill>
    </odxf>
    <ndxf>
      <fill>
        <patternFill patternType="none">
          <bgColor indexed="65"/>
        </patternFill>
      </fill>
    </ndxf>
  </rcc>
  <rcc rId="426" sId="1" odxf="1" dxf="1">
    <nc r="E35">
      <f>C35-D35</f>
    </nc>
    <odxf>
      <fill>
        <patternFill patternType="solid">
          <bgColor theme="8" tint="0.59999389629810485"/>
        </patternFill>
      </fill>
    </odxf>
    <ndxf>
      <fill>
        <patternFill patternType="none">
          <bgColor indexed="65"/>
        </patternFill>
      </fill>
    </ndxf>
  </rcc>
  <rcc rId="427" sId="1" odxf="1" dxf="1">
    <nc r="F35">
      <f>'أخذ التمام الصباحي'!D32</f>
    </nc>
    <odxf>
      <fill>
        <patternFill patternType="solid">
          <bgColor theme="8" tint="0.59999389629810485"/>
        </patternFill>
      </fill>
    </odxf>
    <ndxf>
      <fill>
        <patternFill patternType="none">
          <bgColor indexed="65"/>
        </patternFill>
      </fill>
    </ndxf>
  </rcc>
  <rfmt sheetId="1" sqref="G35" start="0" length="0">
    <dxf>
      <fill>
        <patternFill patternType="none">
          <bgColor indexed="65"/>
        </patternFill>
      </fill>
    </dxf>
  </rfmt>
  <rcc rId="428" sId="1" odxf="1" dxf="1">
    <nc r="H35">
      <f>D35/G35</f>
    </nc>
    <odxf>
      <fill>
        <patternFill patternType="solid">
          <bgColor theme="8" tint="0.59999389629810485"/>
        </patternFill>
      </fill>
    </odxf>
    <ndxf>
      <fill>
        <patternFill patternType="none">
          <bgColor indexed="65"/>
        </patternFill>
      </fill>
    </ndxf>
  </rcc>
  <rfmt sheetId="1" sqref="C30" start="0" length="0">
    <dxf>
      <fill>
        <patternFill>
          <bgColor theme="8" tint="0.59999389629810485"/>
        </patternFill>
      </fill>
    </dxf>
  </rfmt>
  <rfmt sheetId="1" sqref="D30" start="0" length="0">
    <dxf>
      <fill>
        <patternFill patternType="solid">
          <bgColor theme="8" tint="0.59999389629810485"/>
        </patternFill>
      </fill>
    </dxf>
  </rfmt>
  <rfmt sheetId="1" sqref="E30" start="0" length="0">
    <dxf>
      <fill>
        <patternFill patternType="solid">
          <bgColor theme="8" tint="0.59999389629810485"/>
        </patternFill>
      </fill>
    </dxf>
  </rfmt>
  <rfmt sheetId="1" sqref="F30" start="0" length="0">
    <dxf>
      <fill>
        <patternFill patternType="solid">
          <bgColor theme="8" tint="0.59999389629810485"/>
        </patternFill>
      </fill>
    </dxf>
  </rfmt>
  <rfmt sheetId="1" sqref="G30" start="0" length="0">
    <dxf>
      <fill>
        <patternFill patternType="solid">
          <bgColor theme="8" tint="0.59999389629810485"/>
        </patternFill>
      </fill>
    </dxf>
  </rfmt>
  <rfmt sheetId="1" sqref="H30" start="0" length="0">
    <dxf>
      <fill>
        <patternFill patternType="solid">
          <bgColor theme="8" tint="0.59999389629810485"/>
        </patternFill>
      </fill>
    </dxf>
  </rfmt>
  <rfmt sheetId="1" sqref="C31" start="0" length="0">
    <dxf>
      <fill>
        <patternFill>
          <bgColor theme="8" tint="0.59999389629810485"/>
        </patternFill>
      </fill>
    </dxf>
  </rfmt>
  <rfmt sheetId="1" sqref="D31" start="0" length="0">
    <dxf>
      <fill>
        <patternFill patternType="solid">
          <bgColor theme="8" tint="0.59999389629810485"/>
        </patternFill>
      </fill>
    </dxf>
  </rfmt>
  <rfmt sheetId="1" sqref="E31" start="0" length="0">
    <dxf>
      <fill>
        <patternFill patternType="solid">
          <bgColor theme="8" tint="0.59999389629810485"/>
        </patternFill>
      </fill>
    </dxf>
  </rfmt>
  <rfmt sheetId="1" sqref="F31" start="0" length="0">
    <dxf>
      <fill>
        <patternFill patternType="solid">
          <bgColor theme="8" tint="0.59999389629810485"/>
        </patternFill>
      </fill>
    </dxf>
  </rfmt>
  <rfmt sheetId="1" sqref="G31" start="0" length="0">
    <dxf>
      <fill>
        <patternFill patternType="solid">
          <bgColor theme="8" tint="0.59999389629810485"/>
        </patternFill>
      </fill>
    </dxf>
  </rfmt>
  <rfmt sheetId="1" sqref="H31" start="0" length="0">
    <dxf>
      <fill>
        <patternFill patternType="solid">
          <bgColor theme="8" tint="0.59999389629810485"/>
        </patternFill>
      </fill>
    </dxf>
  </rfmt>
  <rfmt sheetId="1" sqref="C32" start="0" length="0">
    <dxf>
      <fill>
        <patternFill>
          <bgColor theme="8" tint="0.59999389629810485"/>
        </patternFill>
      </fill>
    </dxf>
  </rfmt>
  <rfmt sheetId="1" sqref="D32" start="0" length="0">
    <dxf>
      <fill>
        <patternFill patternType="solid">
          <bgColor theme="8" tint="0.59999389629810485"/>
        </patternFill>
      </fill>
    </dxf>
  </rfmt>
  <rfmt sheetId="1" sqref="E32" start="0" length="0">
    <dxf>
      <fill>
        <patternFill patternType="solid">
          <bgColor theme="8" tint="0.59999389629810485"/>
        </patternFill>
      </fill>
    </dxf>
  </rfmt>
  <rfmt sheetId="1" sqref="F32" start="0" length="0">
    <dxf>
      <fill>
        <patternFill patternType="solid">
          <bgColor theme="8" tint="0.59999389629810485"/>
        </patternFill>
      </fill>
    </dxf>
  </rfmt>
  <rfmt sheetId="1" sqref="G32" start="0" length="0">
    <dxf>
      <fill>
        <patternFill patternType="solid">
          <bgColor theme="8" tint="0.59999389629810485"/>
        </patternFill>
      </fill>
    </dxf>
  </rfmt>
  <rfmt sheetId="1" sqref="H32" start="0" length="0">
    <dxf>
      <fill>
        <patternFill patternType="solid">
          <bgColor theme="8" tint="0.59999389629810485"/>
        </patternFill>
      </fill>
    </dxf>
  </rfmt>
  <rfmt sheetId="1" sqref="C33" start="0" length="0">
    <dxf>
      <fill>
        <patternFill>
          <bgColor theme="8" tint="0.59999389629810485"/>
        </patternFill>
      </fill>
    </dxf>
  </rfmt>
  <rfmt sheetId="1" sqref="D33" start="0" length="0">
    <dxf>
      <fill>
        <patternFill patternType="solid">
          <bgColor theme="8" tint="0.59999389629810485"/>
        </patternFill>
      </fill>
    </dxf>
  </rfmt>
  <rfmt sheetId="1" sqref="E33" start="0" length="0">
    <dxf>
      <fill>
        <patternFill patternType="solid">
          <bgColor theme="8" tint="0.59999389629810485"/>
        </patternFill>
      </fill>
    </dxf>
  </rfmt>
  <rfmt sheetId="1" sqref="F33" start="0" length="0">
    <dxf>
      <fill>
        <patternFill patternType="solid">
          <bgColor theme="8" tint="0.59999389629810485"/>
        </patternFill>
      </fill>
    </dxf>
  </rfmt>
  <rfmt sheetId="1" sqref="G33" start="0" length="0">
    <dxf>
      <fill>
        <patternFill patternType="solid">
          <bgColor theme="8" tint="0.59999389629810485"/>
        </patternFill>
      </fill>
    </dxf>
  </rfmt>
  <rfmt sheetId="1" sqref="H33" start="0" length="0">
    <dxf>
      <fill>
        <patternFill patternType="solid">
          <bgColor theme="8" tint="0.59999389629810485"/>
        </patternFill>
      </fill>
    </dxf>
  </rfmt>
  <rfmt sheetId="1" sqref="C34" start="0" length="0">
    <dxf>
      <fill>
        <patternFill>
          <bgColor theme="8" tint="0.59999389629810485"/>
        </patternFill>
      </fill>
    </dxf>
  </rfmt>
  <rfmt sheetId="1" sqref="D34" start="0" length="0">
    <dxf>
      <fill>
        <patternFill patternType="solid">
          <bgColor theme="8" tint="0.59999389629810485"/>
        </patternFill>
      </fill>
    </dxf>
  </rfmt>
  <rfmt sheetId="1" sqref="E34" start="0" length="0">
    <dxf>
      <fill>
        <patternFill patternType="solid">
          <bgColor theme="8" tint="0.59999389629810485"/>
        </patternFill>
      </fill>
    </dxf>
  </rfmt>
  <rfmt sheetId="1" sqref="F34" start="0" length="0">
    <dxf>
      <fill>
        <patternFill patternType="solid">
          <bgColor theme="8" tint="0.59999389629810485"/>
        </patternFill>
      </fill>
    </dxf>
  </rfmt>
  <rfmt sheetId="1" sqref="G34" start="0" length="0">
    <dxf>
      <fill>
        <patternFill patternType="solid">
          <bgColor theme="8" tint="0.59999389629810485"/>
        </patternFill>
      </fill>
    </dxf>
  </rfmt>
  <rfmt sheetId="1" sqref="H34" start="0" length="0">
    <dxf>
      <fill>
        <patternFill patternType="solid">
          <bgColor theme="8" tint="0.59999389629810485"/>
        </patternFill>
      </fill>
    </dxf>
  </rfmt>
  <rcc rId="429" sId="1">
    <nc r="C35">
      <v>90</v>
    </nc>
  </rcc>
  <rcc rId="430" sId="1">
    <nc r="G35">
      <v>16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4.bin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view="pageBreakPreview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F21" sqref="AF21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81" t="s">
        <v>0</v>
      </c>
      <c r="B1" s="381"/>
      <c r="C1" s="381"/>
      <c r="D1" s="381"/>
      <c r="E1" s="381"/>
      <c r="X1" s="378"/>
      <c r="Y1" s="378"/>
    </row>
    <row r="2" spans="1:26" ht="15.75" x14ac:dyDescent="0.25">
      <c r="A2" s="381" t="s">
        <v>1</v>
      </c>
      <c r="B2" s="381"/>
      <c r="C2" s="381"/>
      <c r="D2" s="381"/>
      <c r="E2" s="381"/>
    </row>
    <row r="3" spans="1:26" ht="15.75" x14ac:dyDescent="0.25">
      <c r="A3" s="381" t="s">
        <v>2</v>
      </c>
      <c r="B3" s="381"/>
      <c r="C3" s="381"/>
      <c r="D3" s="381"/>
      <c r="E3" s="381"/>
    </row>
    <row r="5" spans="1:26" ht="18.75" thickBot="1" x14ac:dyDescent="0.3">
      <c r="G5" s="199"/>
      <c r="I5" s="380" t="s">
        <v>224</v>
      </c>
      <c r="J5" s="380"/>
      <c r="K5" s="380"/>
      <c r="L5" s="380"/>
      <c r="M5" s="380"/>
      <c r="N5" s="380"/>
      <c r="V5" s="200" t="s">
        <v>41</v>
      </c>
    </row>
    <row r="6" spans="1:26" ht="20.100000000000001" customHeight="1" thickBot="1" x14ac:dyDescent="0.25">
      <c r="A6" s="379" t="s">
        <v>14</v>
      </c>
      <c r="B6" s="379" t="s">
        <v>3</v>
      </c>
      <c r="C6" s="379" t="s">
        <v>4</v>
      </c>
      <c r="D6" s="379" t="s">
        <v>5</v>
      </c>
      <c r="E6" s="379"/>
      <c r="F6" s="379"/>
      <c r="G6" s="379"/>
      <c r="H6" s="379"/>
      <c r="I6" s="379" t="s">
        <v>4</v>
      </c>
      <c r="J6" s="379" t="s">
        <v>11</v>
      </c>
      <c r="K6" s="379"/>
      <c r="L6" s="379"/>
      <c r="M6" s="379"/>
      <c r="N6" s="379"/>
      <c r="O6" s="379" t="s">
        <v>4</v>
      </c>
      <c r="P6" s="379" t="s">
        <v>12</v>
      </c>
      <c r="Q6" s="379"/>
      <c r="R6" s="379"/>
      <c r="S6" s="379"/>
      <c r="T6" s="379"/>
      <c r="U6" s="379" t="s">
        <v>4</v>
      </c>
      <c r="V6" s="379" t="s">
        <v>13</v>
      </c>
      <c r="W6" s="379"/>
      <c r="X6" s="379"/>
      <c r="Y6" s="379"/>
      <c r="Z6" s="379"/>
    </row>
    <row r="7" spans="1:26" ht="20.100000000000001" customHeight="1" thickBot="1" x14ac:dyDescent="0.25">
      <c r="A7" s="379"/>
      <c r="B7" s="379"/>
      <c r="C7" s="379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79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79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79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50</v>
      </c>
      <c r="K8" s="221">
        <f>I8-J8</f>
        <v>40</v>
      </c>
      <c r="L8" s="335">
        <f>'أخذ التمام الصباحي'!G5</f>
        <v>34</v>
      </c>
      <c r="M8" s="335">
        <v>25</v>
      </c>
      <c r="N8" s="203">
        <f>J8/M8</f>
        <v>2</v>
      </c>
      <c r="O8" s="336">
        <v>30</v>
      </c>
      <c r="P8" s="335">
        <f>'أخذ التمام الصباحي'!I5</f>
        <v>13</v>
      </c>
      <c r="Q8" s="221">
        <f>O8-P8</f>
        <v>17</v>
      </c>
      <c r="R8" s="335">
        <f>'أخذ التمام الصباحي'!J5</f>
        <v>17</v>
      </c>
      <c r="S8" s="335">
        <v>8</v>
      </c>
      <c r="T8" s="203">
        <f>P8/S8</f>
        <v>1.625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77</v>
      </c>
      <c r="K9" s="221">
        <f>I9-J9</f>
        <v>13</v>
      </c>
      <c r="L9" s="355">
        <f>'أخذ التمام الصباحي'!G6</f>
        <v>17</v>
      </c>
      <c r="M9" s="335">
        <v>30</v>
      </c>
      <c r="N9" s="203">
        <f>J9/M9</f>
        <v>2.5666666666666669</v>
      </c>
      <c r="O9" s="336">
        <v>30</v>
      </c>
      <c r="P9" s="338">
        <f>'أخذ التمام الصباحي'!I6</f>
        <v>26</v>
      </c>
      <c r="Q9" s="221">
        <f>O9-P9</f>
        <v>4</v>
      </c>
      <c r="R9" s="338">
        <f>'أخذ التمام الصباحي'!J6</f>
        <v>17</v>
      </c>
      <c r="S9" s="335">
        <v>10</v>
      </c>
      <c r="T9" s="203">
        <f>P9/S9</f>
        <v>2.6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72</v>
      </c>
      <c r="E10" s="221">
        <f t="shared" ref="E10:E23" si="0">C10-D10</f>
        <v>18</v>
      </c>
      <c r="F10" s="335">
        <f>'أخذ التمام الصباحي'!D7</f>
        <v>51</v>
      </c>
      <c r="G10" s="335">
        <v>39</v>
      </c>
      <c r="H10" s="204">
        <f t="shared" ref="H10:H23" si="1">D10/G10</f>
        <v>1.8461538461538463</v>
      </c>
      <c r="I10" s="336">
        <v>45</v>
      </c>
      <c r="J10" s="338">
        <f>'أخذ التمام الصباحي'!F7</f>
        <v>28</v>
      </c>
      <c r="K10" s="221">
        <f t="shared" ref="K10:K34" si="2">I10-J10</f>
        <v>17</v>
      </c>
      <c r="L10" s="355">
        <f>'أخذ التمام الصباحي'!G7</f>
        <v>34</v>
      </c>
      <c r="M10" s="335">
        <v>22</v>
      </c>
      <c r="N10" s="203">
        <f t="shared" ref="N10:N34" si="3">J10/M10</f>
        <v>1.2727272727272727</v>
      </c>
      <c r="O10" s="336">
        <v>45</v>
      </c>
      <c r="P10" s="338">
        <f>'أخذ التمام الصباحي'!I7</f>
        <v>43</v>
      </c>
      <c r="Q10" s="221">
        <f t="shared" ref="Q10:Q34" si="4">O10-P10</f>
        <v>2</v>
      </c>
      <c r="R10" s="338">
        <f>'أخذ التمام الصباحي'!J7</f>
        <v>17</v>
      </c>
      <c r="S10" s="335">
        <v>4</v>
      </c>
      <c r="T10" s="203">
        <f t="shared" ref="T10:T34" si="5">P10/S10</f>
        <v>10.75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15</v>
      </c>
      <c r="E11" s="221">
        <f t="shared" si="0"/>
        <v>15</v>
      </c>
      <c r="F11" s="338">
        <f>'أخذ التمام الصباحي'!D8</f>
        <v>17</v>
      </c>
      <c r="G11" s="335">
        <v>4</v>
      </c>
      <c r="H11" s="204">
        <f t="shared" si="1"/>
        <v>3.75</v>
      </c>
      <c r="I11" s="336">
        <v>60</v>
      </c>
      <c r="J11" s="338">
        <f>'أخذ التمام الصباحي'!F8</f>
        <v>35</v>
      </c>
      <c r="K11" s="221">
        <f t="shared" si="2"/>
        <v>25</v>
      </c>
      <c r="L11" s="355">
        <f>'أخذ التمام الصباحي'!G8</f>
        <v>51</v>
      </c>
      <c r="M11" s="335">
        <v>24</v>
      </c>
      <c r="N11" s="203">
        <f t="shared" si="3"/>
        <v>1.4583333333333333</v>
      </c>
      <c r="O11" s="336">
        <v>30</v>
      </c>
      <c r="P11" s="338">
        <f>'أخذ التمام الصباحي'!I8</f>
        <v>24</v>
      </c>
      <c r="Q11" s="221">
        <f t="shared" si="4"/>
        <v>6</v>
      </c>
      <c r="R11" s="338">
        <f>'أخذ التمام الصباحي'!J8</f>
        <v>0</v>
      </c>
      <c r="S11" s="335">
        <v>8</v>
      </c>
      <c r="T11" s="203">
        <f t="shared" si="5"/>
        <v>3</v>
      </c>
      <c r="U11" s="336">
        <v>180</v>
      </c>
      <c r="V11" s="335">
        <f>'أخذ التمام الصباحي'!L8</f>
        <v>179</v>
      </c>
      <c r="W11" s="221">
        <f t="shared" ref="W11:W29" si="6">U11-V11</f>
        <v>1</v>
      </c>
      <c r="X11" s="335">
        <f>'أخذ التمام الصباحي'!M8</f>
        <v>0</v>
      </c>
      <c r="Y11" s="335">
        <v>5</v>
      </c>
      <c r="Z11" s="203">
        <f>V11/Y11</f>
        <v>35.799999999999997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73</v>
      </c>
      <c r="K12" s="221">
        <f t="shared" si="2"/>
        <v>17</v>
      </c>
      <c r="L12" s="355">
        <f>'أخذ التمام الصباحي'!G9</f>
        <v>68</v>
      </c>
      <c r="M12" s="335">
        <v>38</v>
      </c>
      <c r="N12" s="203">
        <f t="shared" si="3"/>
        <v>1.9210526315789473</v>
      </c>
      <c r="O12" s="336">
        <v>30</v>
      </c>
      <c r="P12" s="338">
        <f>'أخذ التمام الصباحي'!I9</f>
        <v>13</v>
      </c>
      <c r="Q12" s="221">
        <f t="shared" si="4"/>
        <v>17</v>
      </c>
      <c r="R12" s="338">
        <f>'أخذ التمام الصباحي'!J9</f>
        <v>17</v>
      </c>
      <c r="S12" s="335">
        <v>12</v>
      </c>
      <c r="T12" s="203">
        <f t="shared" si="5"/>
        <v>1.0833333333333333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18</v>
      </c>
      <c r="E13" s="221">
        <f t="shared" si="0"/>
        <v>12</v>
      </c>
      <c r="F13" s="338">
        <f>'أخذ التمام الصباحي'!D10</f>
        <v>0</v>
      </c>
      <c r="G13" s="335">
        <v>4</v>
      </c>
      <c r="H13" s="204">
        <f t="shared" si="1"/>
        <v>4.5</v>
      </c>
      <c r="I13" s="336">
        <v>90</v>
      </c>
      <c r="J13" s="338">
        <f>'أخذ التمام الصباحي'!F10</f>
        <v>65</v>
      </c>
      <c r="K13" s="221">
        <f t="shared" si="2"/>
        <v>25</v>
      </c>
      <c r="L13" s="355">
        <f>'أخذ التمام الصباحي'!G10</f>
        <v>17</v>
      </c>
      <c r="M13" s="335">
        <v>26</v>
      </c>
      <c r="N13" s="203">
        <f t="shared" si="3"/>
        <v>2.5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168</v>
      </c>
      <c r="W13" s="221">
        <f t="shared" si="6"/>
        <v>12</v>
      </c>
      <c r="X13" s="335">
        <f>'أخذ التمام الصباحي'!M10</f>
        <v>0</v>
      </c>
      <c r="Y13" s="335">
        <v>8</v>
      </c>
      <c r="Z13" s="203">
        <f t="shared" ref="Z13:Z29" si="7">V13/Y13</f>
        <v>21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22</v>
      </c>
      <c r="E14" s="221">
        <f t="shared" si="0"/>
        <v>8</v>
      </c>
      <c r="F14" s="338">
        <f>'أخذ التمام الصباحي'!D11</f>
        <v>0</v>
      </c>
      <c r="G14" s="335">
        <v>8</v>
      </c>
      <c r="H14" s="204">
        <f t="shared" si="1"/>
        <v>2.75</v>
      </c>
      <c r="I14" s="336">
        <v>90</v>
      </c>
      <c r="J14" s="338">
        <f>'أخذ التمام الصباحي'!F11</f>
        <v>78</v>
      </c>
      <c r="K14" s="221">
        <f t="shared" si="2"/>
        <v>12</v>
      </c>
      <c r="L14" s="355">
        <f>'أخذ التمام الصباحي'!G11</f>
        <v>17</v>
      </c>
      <c r="M14" s="335">
        <v>20</v>
      </c>
      <c r="N14" s="203">
        <f t="shared" si="3"/>
        <v>3.9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151</v>
      </c>
      <c r="W14" s="221">
        <f t="shared" si="6"/>
        <v>29</v>
      </c>
      <c r="X14" s="338">
        <f>'أخذ التمام الصباحي'!M11</f>
        <v>17</v>
      </c>
      <c r="Y14" s="335">
        <v>19</v>
      </c>
      <c r="Z14" s="203">
        <f t="shared" si="7"/>
        <v>7.9473684210526319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120</v>
      </c>
      <c r="K15" s="221">
        <f t="shared" si="2"/>
        <v>60</v>
      </c>
      <c r="L15" s="355">
        <f>'أخذ التمام الصباحي'!G12</f>
        <v>51</v>
      </c>
      <c r="M15" s="335">
        <v>42</v>
      </c>
      <c r="N15" s="203">
        <f t="shared" si="3"/>
        <v>2.8571428571428572</v>
      </c>
      <c r="O15" s="336">
        <v>60</v>
      </c>
      <c r="P15" s="335">
        <f>'أخذ التمام الصباحي'!I12</f>
        <v>40</v>
      </c>
      <c r="Q15" s="221">
        <f t="shared" si="4"/>
        <v>20</v>
      </c>
      <c r="R15" s="335">
        <f>'أخذ التمام الصباحي'!J12</f>
        <v>0</v>
      </c>
      <c r="S15" s="335">
        <v>13</v>
      </c>
      <c r="T15" s="203">
        <f t="shared" si="5"/>
        <v>3.0769230769230771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145</v>
      </c>
      <c r="K16" s="221">
        <f t="shared" si="2"/>
        <v>35</v>
      </c>
      <c r="L16" s="355">
        <f>'أخذ التمام الصباحي'!G13</f>
        <v>34</v>
      </c>
      <c r="M16" s="335">
        <v>38</v>
      </c>
      <c r="N16" s="203">
        <f t="shared" si="3"/>
        <v>3.8157894736842106</v>
      </c>
      <c r="O16" s="336">
        <v>45</v>
      </c>
      <c r="P16" s="338">
        <f>'أخذ التمام الصباحي'!I13</f>
        <v>27</v>
      </c>
      <c r="Q16" s="221">
        <f t="shared" si="4"/>
        <v>18</v>
      </c>
      <c r="R16" s="338">
        <f>'أخذ التمام الصباحي'!J13</f>
        <v>17</v>
      </c>
      <c r="S16" s="335">
        <v>12</v>
      </c>
      <c r="T16" s="203">
        <f t="shared" si="5"/>
        <v>2.25</v>
      </c>
      <c r="U16" s="336">
        <v>120</v>
      </c>
      <c r="V16" s="335">
        <f>'أخذ التمام الصباحي'!L13</f>
        <v>105</v>
      </c>
      <c r="W16" s="221">
        <f t="shared" si="6"/>
        <v>15</v>
      </c>
      <c r="X16" s="335">
        <f>'أخذ التمام الصباحي'!M13</f>
        <v>0</v>
      </c>
      <c r="Y16" s="335">
        <v>33</v>
      </c>
      <c r="Z16" s="203">
        <f t="shared" si="7"/>
        <v>3.1818181818181817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79</v>
      </c>
      <c r="K17" s="221">
        <f t="shared" si="2"/>
        <v>11</v>
      </c>
      <c r="L17" s="355">
        <f>'أخذ التمام الصباحي'!G14</f>
        <v>0</v>
      </c>
      <c r="M17" s="335">
        <v>9</v>
      </c>
      <c r="N17" s="203">
        <f t="shared" si="3"/>
        <v>8.7777777777777786</v>
      </c>
      <c r="O17" s="336">
        <v>30</v>
      </c>
      <c r="P17" s="338">
        <f>'أخذ التمام الصباحي'!I14</f>
        <v>20</v>
      </c>
      <c r="Q17" s="221">
        <f t="shared" si="4"/>
        <v>10</v>
      </c>
      <c r="R17" s="338">
        <f>'أخذ التمام الصباحي'!J14</f>
        <v>0</v>
      </c>
      <c r="S17" s="335">
        <v>5</v>
      </c>
      <c r="T17" s="203">
        <f>P17/S17</f>
        <v>4</v>
      </c>
      <c r="U17" s="336">
        <v>180</v>
      </c>
      <c r="V17" s="338">
        <f>'أخذ التمام الصباحي'!L14</f>
        <v>128</v>
      </c>
      <c r="W17" s="221">
        <f t="shared" si="6"/>
        <v>52</v>
      </c>
      <c r="X17" s="338">
        <f>'أخذ التمام الصباحي'!M14</f>
        <v>51</v>
      </c>
      <c r="Y17" s="335">
        <v>59</v>
      </c>
      <c r="Z17" s="203">
        <f t="shared" si="7"/>
        <v>2.1694915254237288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78</v>
      </c>
      <c r="K18" s="221">
        <f t="shared" si="2"/>
        <v>12</v>
      </c>
      <c r="L18" s="355">
        <f>'أخذ التمام الصباحي'!G15</f>
        <v>0</v>
      </c>
      <c r="M18" s="335">
        <v>11</v>
      </c>
      <c r="N18" s="203">
        <f t="shared" si="3"/>
        <v>7.0909090909090908</v>
      </c>
      <c r="O18" s="336">
        <v>30</v>
      </c>
      <c r="P18" s="338">
        <f>'أخذ التمام الصباحي'!I15</f>
        <v>13</v>
      </c>
      <c r="Q18" s="221">
        <f t="shared" si="4"/>
        <v>17</v>
      </c>
      <c r="R18" s="338">
        <f>'أخذ التمام الصباحي'!J15</f>
        <v>0</v>
      </c>
      <c r="S18" s="335">
        <v>4</v>
      </c>
      <c r="T18" s="203">
        <f t="shared" si="5"/>
        <v>3.25</v>
      </c>
      <c r="U18" s="336">
        <v>60</v>
      </c>
      <c r="V18" s="338">
        <f>'أخذ التمام الصباحي'!L15</f>
        <v>51</v>
      </c>
      <c r="W18" s="194">
        <f t="shared" si="6"/>
        <v>9</v>
      </c>
      <c r="X18" s="338">
        <f>'أخذ التمام الصباحي'!M15</f>
        <v>0</v>
      </c>
      <c r="Y18" s="335">
        <v>4</v>
      </c>
      <c r="Z18" s="335">
        <f t="shared" si="7"/>
        <v>12.75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37</v>
      </c>
      <c r="K19" s="221">
        <f t="shared" si="2"/>
        <v>23</v>
      </c>
      <c r="L19" s="355">
        <f>'أخذ التمام الصباحي'!G16</f>
        <v>0</v>
      </c>
      <c r="M19" s="335">
        <v>5</v>
      </c>
      <c r="N19" s="203">
        <f t="shared" si="3"/>
        <v>7.4</v>
      </c>
      <c r="O19" s="336">
        <v>30</v>
      </c>
      <c r="P19" s="338">
        <f>'أخذ التمام الصباحي'!I16</f>
        <v>25</v>
      </c>
      <c r="Q19" s="221">
        <f t="shared" si="4"/>
        <v>5</v>
      </c>
      <c r="R19" s="338">
        <f>'أخذ التمام الصباحي'!J16</f>
        <v>0</v>
      </c>
      <c r="S19" s="335">
        <v>2</v>
      </c>
      <c r="T19" s="203">
        <f t="shared" si="5"/>
        <v>12.5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66</v>
      </c>
      <c r="K20" s="221">
        <f t="shared" si="2"/>
        <v>24</v>
      </c>
      <c r="L20" s="355">
        <f>'أخذ التمام الصباحي'!G17</f>
        <v>17</v>
      </c>
      <c r="M20" s="335">
        <v>4</v>
      </c>
      <c r="N20" s="203">
        <f t="shared" si="3"/>
        <v>16.5</v>
      </c>
      <c r="O20" s="336">
        <v>30</v>
      </c>
      <c r="P20" s="338">
        <f>'أخذ التمام الصباحي'!I17</f>
        <v>21</v>
      </c>
      <c r="Q20" s="221">
        <f t="shared" si="4"/>
        <v>9</v>
      </c>
      <c r="R20" s="338">
        <f>'أخذ التمام الصباحي'!J17</f>
        <v>0</v>
      </c>
      <c r="S20" s="335">
        <v>1</v>
      </c>
      <c r="T20" s="203">
        <f t="shared" si="5"/>
        <v>21</v>
      </c>
      <c r="U20" s="336">
        <v>180</v>
      </c>
      <c r="V20" s="335">
        <f>'أخذ التمام الصباحي'!L17</f>
        <v>148</v>
      </c>
      <c r="W20" s="221">
        <f t="shared" si="6"/>
        <v>32</v>
      </c>
      <c r="X20" s="335">
        <f>'أخذ التمام الصباحي'!M17</f>
        <v>34</v>
      </c>
      <c r="Y20" s="335">
        <v>7</v>
      </c>
      <c r="Z20" s="203">
        <f t="shared" si="7"/>
        <v>21.142857142857142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67</v>
      </c>
      <c r="K21" s="221">
        <f t="shared" si="2"/>
        <v>23</v>
      </c>
      <c r="L21" s="355">
        <f>'أخذ التمام الصباحي'!G18</f>
        <v>0</v>
      </c>
      <c r="M21" s="335">
        <v>17</v>
      </c>
      <c r="N21" s="203">
        <f t="shared" si="3"/>
        <v>3.9411764705882355</v>
      </c>
      <c r="O21" s="336">
        <v>30</v>
      </c>
      <c r="P21" s="338">
        <f>'أخذ التمام الصباحي'!I18</f>
        <v>19</v>
      </c>
      <c r="Q21" s="221">
        <f t="shared" si="4"/>
        <v>11</v>
      </c>
      <c r="R21" s="338">
        <f>'أخذ التمام الصباحي'!J18</f>
        <v>0</v>
      </c>
      <c r="S21" s="335">
        <v>6</v>
      </c>
      <c r="T21" s="203">
        <f t="shared" si="5"/>
        <v>3.1666666666666665</v>
      </c>
      <c r="U21" s="336">
        <v>180</v>
      </c>
      <c r="V21" s="338">
        <f>'أخذ التمام الصباحي'!L18</f>
        <v>130</v>
      </c>
      <c r="W21" s="221">
        <f t="shared" si="6"/>
        <v>50</v>
      </c>
      <c r="X21" s="338">
        <f>'أخذ التمام الصباحي'!M18</f>
        <v>51</v>
      </c>
      <c r="Y21" s="335">
        <v>24</v>
      </c>
      <c r="Z21" s="203">
        <f t="shared" si="7"/>
        <v>5.416666666666667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54</v>
      </c>
      <c r="K22" s="221">
        <f t="shared" si="2"/>
        <v>36</v>
      </c>
      <c r="L22" s="355">
        <f>'أخذ التمام الصباحي'!G19</f>
        <v>34</v>
      </c>
      <c r="M22" s="335">
        <v>8</v>
      </c>
      <c r="N22" s="203">
        <f t="shared" si="3"/>
        <v>6.75</v>
      </c>
      <c r="O22" s="336">
        <v>30</v>
      </c>
      <c r="P22" s="338">
        <f>'أخذ التمام الصباحي'!I19</f>
        <v>7</v>
      </c>
      <c r="Q22" s="221">
        <f t="shared" si="4"/>
        <v>23</v>
      </c>
      <c r="R22" s="338">
        <f>'أخذ التمام الصباحي'!J19</f>
        <v>17</v>
      </c>
      <c r="S22" s="335">
        <v>2</v>
      </c>
      <c r="T22" s="203">
        <f t="shared" si="5"/>
        <v>3.5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22</v>
      </c>
      <c r="E23" s="194">
        <f t="shared" si="0"/>
        <v>8</v>
      </c>
      <c r="F23" s="194">
        <f>'أخذ التمام الصباحي'!D20</f>
        <v>0</v>
      </c>
      <c r="G23" s="194">
        <v>0.5</v>
      </c>
      <c r="H23" s="194">
        <f t="shared" si="1"/>
        <v>44</v>
      </c>
      <c r="I23" s="336">
        <v>60</v>
      </c>
      <c r="J23" s="338">
        <f>'أخذ التمام الصباحي'!F20</f>
        <v>54</v>
      </c>
      <c r="K23" s="221">
        <f t="shared" si="2"/>
        <v>6</v>
      </c>
      <c r="L23" s="355">
        <f>'أخذ التمام الصباحي'!G20</f>
        <v>0</v>
      </c>
      <c r="M23" s="335">
        <v>2</v>
      </c>
      <c r="N23" s="203">
        <f t="shared" si="3"/>
        <v>27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110</v>
      </c>
      <c r="W23" s="221">
        <f t="shared" si="6"/>
        <v>10</v>
      </c>
      <c r="X23" s="335">
        <f>'أخذ التمام الصباحي'!M20</f>
        <v>0</v>
      </c>
      <c r="Y23" s="335">
        <v>10</v>
      </c>
      <c r="Z23" s="203">
        <f t="shared" si="7"/>
        <v>11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54</v>
      </c>
      <c r="K24" s="221">
        <f t="shared" si="2"/>
        <v>6</v>
      </c>
      <c r="L24" s="355">
        <f>'أخذ التمام الصباحي'!G21</f>
        <v>0</v>
      </c>
      <c r="M24" s="335">
        <v>3</v>
      </c>
      <c r="N24" s="203">
        <f t="shared" si="3"/>
        <v>18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91</v>
      </c>
      <c r="W24" s="221">
        <f t="shared" si="6"/>
        <v>29</v>
      </c>
      <c r="X24" s="338">
        <f>'أخذ التمام الصباحي'!M21</f>
        <v>0</v>
      </c>
      <c r="Y24" s="335">
        <v>5</v>
      </c>
      <c r="Z24" s="203">
        <f t="shared" si="7"/>
        <v>18.2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72</v>
      </c>
      <c r="K25" s="221">
        <f t="shared" si="2"/>
        <v>18</v>
      </c>
      <c r="L25" s="355">
        <f>'أخذ التمام الصباحي'!G22</f>
        <v>17</v>
      </c>
      <c r="M25" s="335">
        <v>15</v>
      </c>
      <c r="N25" s="203">
        <f t="shared" si="3"/>
        <v>4.8</v>
      </c>
      <c r="O25" s="336">
        <v>30</v>
      </c>
      <c r="P25" s="335">
        <f>'أخذ التمام الصباحي'!I22</f>
        <v>14</v>
      </c>
      <c r="Q25" s="221">
        <f t="shared" si="4"/>
        <v>16</v>
      </c>
      <c r="R25" s="335">
        <f>'أخذ التمام الصباحي'!J22</f>
        <v>0</v>
      </c>
      <c r="S25" s="335">
        <v>3</v>
      </c>
      <c r="T25" s="203">
        <f t="shared" si="5"/>
        <v>4.666666666666667</v>
      </c>
      <c r="U25" s="336">
        <v>180</v>
      </c>
      <c r="V25" s="338">
        <f>'أخذ التمام الصباحي'!L22</f>
        <v>123</v>
      </c>
      <c r="W25" s="221">
        <f t="shared" si="6"/>
        <v>57</v>
      </c>
      <c r="X25" s="338">
        <f>'أخذ التمام الصباحي'!M22</f>
        <v>51</v>
      </c>
      <c r="Y25" s="335">
        <v>54</v>
      </c>
      <c r="Z25" s="203">
        <f t="shared" si="7"/>
        <v>2.2777777777777777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54</v>
      </c>
      <c r="K26" s="221">
        <f t="shared" si="2"/>
        <v>36</v>
      </c>
      <c r="L26" s="355">
        <f>'أخذ التمام الصباحي'!G23</f>
        <v>34</v>
      </c>
      <c r="M26" s="335">
        <v>17</v>
      </c>
      <c r="N26" s="203">
        <f t="shared" si="3"/>
        <v>3.1764705882352939</v>
      </c>
      <c r="O26" s="336">
        <v>30</v>
      </c>
      <c r="P26" s="338">
        <f>'أخذ التمام الصباحي'!I23</f>
        <v>18</v>
      </c>
      <c r="Q26" s="221">
        <f t="shared" si="4"/>
        <v>12</v>
      </c>
      <c r="R26" s="338">
        <f>'أخذ التمام الصباحي'!J23</f>
        <v>0</v>
      </c>
      <c r="S26" s="335">
        <v>4</v>
      </c>
      <c r="T26" s="203">
        <f t="shared" si="5"/>
        <v>4.5</v>
      </c>
      <c r="U26" s="336">
        <v>180</v>
      </c>
      <c r="V26" s="338">
        <f>'أخذ التمام الصباحي'!L23</f>
        <v>129</v>
      </c>
      <c r="W26" s="221">
        <f t="shared" si="6"/>
        <v>51</v>
      </c>
      <c r="X26" s="338">
        <f>'أخذ التمام الصباحي'!M23</f>
        <v>51</v>
      </c>
      <c r="Y26" s="335">
        <v>50</v>
      </c>
      <c r="Z26" s="203">
        <f t="shared" si="7"/>
        <v>2.58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73</v>
      </c>
      <c r="K27" s="221">
        <f t="shared" si="2"/>
        <v>17</v>
      </c>
      <c r="L27" s="355">
        <f>'أخذ التمام الصباحي'!G24</f>
        <v>0</v>
      </c>
      <c r="M27" s="335">
        <v>12</v>
      </c>
      <c r="N27" s="203">
        <f t="shared" si="3"/>
        <v>6.083333333333333</v>
      </c>
      <c r="O27" s="336">
        <v>30</v>
      </c>
      <c r="P27" s="338">
        <f>'أخذ التمام الصباحي'!I24</f>
        <v>16</v>
      </c>
      <c r="Q27" s="221">
        <f t="shared" si="4"/>
        <v>14</v>
      </c>
      <c r="R27" s="338">
        <f>'أخذ التمام الصباحي'!J24</f>
        <v>0</v>
      </c>
      <c r="S27" s="335">
        <v>2</v>
      </c>
      <c r="T27" s="203">
        <f t="shared" si="5"/>
        <v>8</v>
      </c>
      <c r="U27" s="336">
        <v>180</v>
      </c>
      <c r="V27" s="338">
        <f>'أخذ التمام الصباحي'!L24</f>
        <v>136</v>
      </c>
      <c r="W27" s="221">
        <f t="shared" si="6"/>
        <v>44</v>
      </c>
      <c r="X27" s="338">
        <f>'أخذ التمام الصباحي'!M24</f>
        <v>51</v>
      </c>
      <c r="Y27" s="335">
        <v>27</v>
      </c>
      <c r="Z27" s="203">
        <f t="shared" si="7"/>
        <v>5.0370370370370372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62</v>
      </c>
      <c r="K28" s="221">
        <f t="shared" si="2"/>
        <v>28</v>
      </c>
      <c r="L28" s="355">
        <f>'أخذ التمام الصباحي'!G25</f>
        <v>34</v>
      </c>
      <c r="M28" s="335">
        <v>9</v>
      </c>
      <c r="N28" s="203">
        <f t="shared" si="3"/>
        <v>6.8888888888888893</v>
      </c>
      <c r="O28" s="336">
        <v>30</v>
      </c>
      <c r="P28" s="338">
        <f>'أخذ التمام الصباحي'!I25</f>
        <v>14</v>
      </c>
      <c r="Q28" s="221">
        <f t="shared" si="4"/>
        <v>16</v>
      </c>
      <c r="R28" s="338">
        <f>'أخذ التمام الصباحي'!J25</f>
        <v>17</v>
      </c>
      <c r="S28" s="335">
        <v>2</v>
      </c>
      <c r="T28" s="203">
        <f t="shared" si="5"/>
        <v>7</v>
      </c>
      <c r="U28" s="336">
        <v>180</v>
      </c>
      <c r="V28" s="338">
        <f>'أخذ التمام الصباحي'!L25</f>
        <v>163</v>
      </c>
      <c r="W28" s="221">
        <f t="shared" si="6"/>
        <v>17</v>
      </c>
      <c r="X28" s="338">
        <f>'أخذ التمام الصباحي'!M25</f>
        <v>0</v>
      </c>
      <c r="Y28" s="335">
        <v>25</v>
      </c>
      <c r="Z28" s="203">
        <f t="shared" si="7"/>
        <v>6.52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78</v>
      </c>
      <c r="E29" s="194">
        <f t="shared" ref="E29" si="8">C29-D29</f>
        <v>12</v>
      </c>
      <c r="F29" s="194">
        <f>'أخذ التمام الصباحي'!D26</f>
        <v>0</v>
      </c>
      <c r="G29" s="194">
        <v>4</v>
      </c>
      <c r="H29" s="194">
        <f t="shared" ref="H29" si="9">D29/G29</f>
        <v>19.5</v>
      </c>
      <c r="I29" s="336">
        <v>45</v>
      </c>
      <c r="J29" s="338">
        <f>'أخذ التمام الصباحي'!F26</f>
        <v>36</v>
      </c>
      <c r="K29" s="221">
        <f t="shared" si="2"/>
        <v>9</v>
      </c>
      <c r="L29" s="355">
        <f>'أخذ التمام الصباحي'!G26</f>
        <v>17</v>
      </c>
      <c r="M29" s="335">
        <v>9</v>
      </c>
      <c r="N29" s="203">
        <f t="shared" si="3"/>
        <v>4</v>
      </c>
      <c r="O29" s="336">
        <v>45</v>
      </c>
      <c r="P29" s="338">
        <f>'أخذ التمام الصباحي'!I26</f>
        <v>43</v>
      </c>
      <c r="Q29" s="221">
        <f t="shared" si="4"/>
        <v>2</v>
      </c>
      <c r="R29" s="338">
        <f>'أخذ التمام الصباحي'!J26</f>
        <v>17</v>
      </c>
      <c r="S29" s="335">
        <v>2</v>
      </c>
      <c r="T29" s="203">
        <f t="shared" si="5"/>
        <v>21.5</v>
      </c>
      <c r="U29" s="336">
        <v>180</v>
      </c>
      <c r="V29" s="338">
        <f>'أخذ التمام الصباحي'!L26</f>
        <v>166</v>
      </c>
      <c r="W29" s="221">
        <f t="shared" si="6"/>
        <v>14</v>
      </c>
      <c r="X29" s="338">
        <f>'أخذ التمام الصباحي'!M26</f>
        <v>17</v>
      </c>
      <c r="Y29" s="335">
        <v>16</v>
      </c>
      <c r="Z29" s="203">
        <f t="shared" si="7"/>
        <v>10.375</v>
      </c>
    </row>
    <row r="30" spans="1:26" ht="18.75" customHeight="1" thickBot="1" x14ac:dyDescent="0.25">
      <c r="A30" s="336">
        <v>23</v>
      </c>
      <c r="B30" s="202" t="s">
        <v>121</v>
      </c>
      <c r="C30" s="366"/>
      <c r="D30" s="366"/>
      <c r="E30" s="366"/>
      <c r="F30" s="366"/>
      <c r="G30" s="366"/>
      <c r="H30" s="366"/>
      <c r="I30" s="336">
        <v>135</v>
      </c>
      <c r="J30" s="338">
        <f>'أخذ التمام الصباحي'!F27</f>
        <v>120</v>
      </c>
      <c r="K30" s="221">
        <f t="shared" si="2"/>
        <v>15</v>
      </c>
      <c r="L30" s="355">
        <f>'أخذ التمام الصباحي'!G27</f>
        <v>17</v>
      </c>
      <c r="M30" s="335">
        <v>8</v>
      </c>
      <c r="N30" s="203">
        <f t="shared" si="3"/>
        <v>15</v>
      </c>
      <c r="O30" s="336">
        <v>45</v>
      </c>
      <c r="P30" s="338">
        <f>'أخذ التمام الصباحي'!I27</f>
        <v>29</v>
      </c>
      <c r="Q30" s="221">
        <f t="shared" si="4"/>
        <v>16</v>
      </c>
      <c r="R30" s="338">
        <f>'أخذ التمام الصباحي'!J27</f>
        <v>0</v>
      </c>
      <c r="S30" s="335">
        <v>2</v>
      </c>
      <c r="T30" s="203">
        <f t="shared" si="5"/>
        <v>14.5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66"/>
      <c r="D31" s="366"/>
      <c r="E31" s="366"/>
      <c r="F31" s="366"/>
      <c r="G31" s="366"/>
      <c r="H31" s="366"/>
      <c r="I31" s="336">
        <v>180</v>
      </c>
      <c r="J31" s="338">
        <f>'أخذ التمام الصباحي'!F28</f>
        <v>140</v>
      </c>
      <c r="K31" s="221">
        <f t="shared" si="2"/>
        <v>40</v>
      </c>
      <c r="L31" s="355">
        <f>'أخذ التمام الصباحي'!G28</f>
        <v>0</v>
      </c>
      <c r="M31" s="339">
        <v>29</v>
      </c>
      <c r="N31" s="203">
        <f t="shared" si="3"/>
        <v>4.8275862068965516</v>
      </c>
      <c r="O31" s="336">
        <v>90</v>
      </c>
      <c r="P31" s="338">
        <f>'أخذ التمام الصباحي'!I28</f>
        <v>70</v>
      </c>
      <c r="Q31" s="221">
        <f t="shared" si="4"/>
        <v>20</v>
      </c>
      <c r="R31" s="338">
        <f>'أخذ التمام الصباحي'!J28</f>
        <v>0</v>
      </c>
      <c r="S31" s="339">
        <v>11</v>
      </c>
      <c r="T31" s="203">
        <f t="shared" si="5"/>
        <v>6.3636363636363633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66"/>
      <c r="D32" s="366"/>
      <c r="E32" s="366"/>
      <c r="F32" s="366"/>
      <c r="G32" s="366"/>
      <c r="H32" s="366"/>
      <c r="I32" s="336">
        <v>180</v>
      </c>
      <c r="J32" s="338">
        <f>'أخذ التمام الصباحي'!F29</f>
        <v>140</v>
      </c>
      <c r="K32" s="221">
        <f t="shared" si="2"/>
        <v>40</v>
      </c>
      <c r="L32" s="355">
        <f>'أخذ التمام الصباحي'!G29</f>
        <v>51</v>
      </c>
      <c r="M32" s="339">
        <v>32</v>
      </c>
      <c r="N32" s="203">
        <f t="shared" si="3"/>
        <v>4.375</v>
      </c>
      <c r="O32" s="336">
        <v>90</v>
      </c>
      <c r="P32" s="338">
        <f>'أخذ التمام الصباحي'!I29</f>
        <v>63</v>
      </c>
      <c r="Q32" s="221">
        <f t="shared" si="4"/>
        <v>27</v>
      </c>
      <c r="R32" s="338">
        <f>'أخذ التمام الصباحي'!J29</f>
        <v>0</v>
      </c>
      <c r="S32" s="339">
        <v>11</v>
      </c>
      <c r="T32" s="203">
        <f t="shared" si="5"/>
        <v>5.7272727272727275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66"/>
      <c r="D33" s="366"/>
      <c r="E33" s="366"/>
      <c r="F33" s="366"/>
      <c r="G33" s="366"/>
      <c r="H33" s="366"/>
      <c r="I33" s="336">
        <v>180</v>
      </c>
      <c r="J33" s="338">
        <f>'أخذ التمام الصباحي'!F30</f>
        <v>135</v>
      </c>
      <c r="K33" s="221">
        <f t="shared" si="2"/>
        <v>45</v>
      </c>
      <c r="L33" s="355">
        <f>'أخذ التمام الصباحي'!G30</f>
        <v>34</v>
      </c>
      <c r="M33" s="339">
        <v>38</v>
      </c>
      <c r="N33" s="203">
        <f t="shared" si="3"/>
        <v>3.5526315789473686</v>
      </c>
      <c r="O33" s="336">
        <v>90</v>
      </c>
      <c r="P33" s="338">
        <f>'أخذ التمام الصباحي'!I30</f>
        <v>65</v>
      </c>
      <c r="Q33" s="221">
        <f t="shared" si="4"/>
        <v>25</v>
      </c>
      <c r="R33" s="338">
        <f>'أخذ التمام الصباحي'!J30</f>
        <v>17</v>
      </c>
      <c r="S33" s="339">
        <v>10</v>
      </c>
      <c r="T33" s="203">
        <f t="shared" si="5"/>
        <v>6.5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66"/>
      <c r="D34" s="366"/>
      <c r="E34" s="366"/>
      <c r="F34" s="366"/>
      <c r="G34" s="366"/>
      <c r="H34" s="366"/>
      <c r="I34" s="336">
        <v>180</v>
      </c>
      <c r="J34" s="338">
        <f>'أخذ التمام الصباحي'!F31</f>
        <v>125</v>
      </c>
      <c r="K34" s="221">
        <f t="shared" si="2"/>
        <v>55</v>
      </c>
      <c r="L34" s="355">
        <f>'أخذ التمام الصباحي'!G31</f>
        <v>0</v>
      </c>
      <c r="M34" s="339">
        <v>62</v>
      </c>
      <c r="N34" s="203">
        <f t="shared" si="3"/>
        <v>2.0161290322580645</v>
      </c>
      <c r="O34" s="336">
        <v>90</v>
      </c>
      <c r="P34" s="338">
        <f>'أخذ التمام الصباحي'!I31</f>
        <v>76</v>
      </c>
      <c r="Q34" s="221">
        <f t="shared" si="4"/>
        <v>14</v>
      </c>
      <c r="R34" s="338">
        <f>'أخذ التمام الصباحي'!J31</f>
        <v>0</v>
      </c>
      <c r="S34" s="339">
        <v>15</v>
      </c>
      <c r="T34" s="203">
        <f t="shared" si="5"/>
        <v>5.0666666666666664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195</v>
      </c>
      <c r="C35" s="365">
        <v>90</v>
      </c>
      <c r="D35" s="194">
        <f>'أخذ التمام الصباحي'!C32</f>
        <v>0</v>
      </c>
      <c r="E35" s="194">
        <f t="shared" ref="E30:E35" si="10">C35-D35</f>
        <v>90</v>
      </c>
      <c r="F35" s="194">
        <f>'أخذ التمام الصباحي'!D32</f>
        <v>0</v>
      </c>
      <c r="G35" s="194">
        <v>16</v>
      </c>
      <c r="H35" s="194">
        <f t="shared" ref="H30:H35" si="11">D35/G35</f>
        <v>0</v>
      </c>
      <c r="I35" s="357">
        <v>180</v>
      </c>
      <c r="J35" s="356">
        <f>'أخذ التمام الصباحي'!F32</f>
        <v>0</v>
      </c>
      <c r="K35" s="221">
        <f t="shared" ref="K35:K38" si="12">I35-J35</f>
        <v>180</v>
      </c>
      <c r="L35" s="356">
        <f>'أخذ التمام الصباحي'!G32</f>
        <v>0</v>
      </c>
      <c r="M35" s="356">
        <v>16</v>
      </c>
      <c r="N35" s="203">
        <f t="shared" ref="N35:N38" si="13">J35/M35</f>
        <v>0</v>
      </c>
      <c r="O35" s="357">
        <v>90</v>
      </c>
      <c r="P35" s="356">
        <f>'أخذ التمام الصباحي'!I32</f>
        <v>0</v>
      </c>
      <c r="Q35" s="221">
        <f t="shared" ref="Q35:Q38" si="14">O35-P35</f>
        <v>90</v>
      </c>
      <c r="R35" s="356">
        <f>'أخذ التمام الصباحي'!J32</f>
        <v>0</v>
      </c>
      <c r="S35" s="356">
        <v>2</v>
      </c>
      <c r="T35" s="203">
        <f t="shared" ref="T35:T38" si="15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196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2"/>
        <v>180</v>
      </c>
      <c r="L36" s="356">
        <f>'أخذ التمام الصباحي'!G33</f>
        <v>0</v>
      </c>
      <c r="M36" s="356">
        <v>38</v>
      </c>
      <c r="N36" s="203">
        <f t="shared" si="13"/>
        <v>0</v>
      </c>
      <c r="O36" s="357">
        <v>90</v>
      </c>
      <c r="P36" s="356">
        <f>'أخذ التمام الصباحي'!I33</f>
        <v>0</v>
      </c>
      <c r="Q36" s="221">
        <f t="shared" si="14"/>
        <v>90</v>
      </c>
      <c r="R36" s="356">
        <f>'أخذ التمام الصباحي'!J33</f>
        <v>0</v>
      </c>
      <c r="S36" s="356">
        <v>8</v>
      </c>
      <c r="T36" s="203">
        <f t="shared" si="15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197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2"/>
        <v>180</v>
      </c>
      <c r="L37" s="356">
        <f>'أخذ التمام الصباحي'!G34</f>
        <v>0</v>
      </c>
      <c r="M37" s="356">
        <v>38</v>
      </c>
      <c r="N37" s="203">
        <f t="shared" si="13"/>
        <v>0</v>
      </c>
      <c r="O37" s="357">
        <v>90</v>
      </c>
      <c r="P37" s="356">
        <f>'أخذ التمام الصباحي'!I34</f>
        <v>0</v>
      </c>
      <c r="Q37" s="221">
        <f t="shared" si="14"/>
        <v>90</v>
      </c>
      <c r="R37" s="356">
        <f>'أخذ التمام الصباحي'!J34</f>
        <v>0</v>
      </c>
      <c r="S37" s="356">
        <v>8</v>
      </c>
      <c r="T37" s="203">
        <f t="shared" si="15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198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2"/>
        <v>180</v>
      </c>
      <c r="L38" s="356">
        <f>'أخذ التمام الصباحي'!G35</f>
        <v>0</v>
      </c>
      <c r="M38" s="356">
        <v>9</v>
      </c>
      <c r="N38" s="203">
        <f t="shared" si="13"/>
        <v>0</v>
      </c>
      <c r="O38" s="357">
        <v>90</v>
      </c>
      <c r="P38" s="356">
        <f>'أخذ التمام الصباحي'!I35</f>
        <v>0</v>
      </c>
      <c r="Q38" s="221">
        <f t="shared" si="14"/>
        <v>90</v>
      </c>
      <c r="R38" s="356">
        <f>'أخذ التمام الصباحي'!J35</f>
        <v>0</v>
      </c>
      <c r="S38" s="356">
        <v>2</v>
      </c>
      <c r="T38" s="203">
        <f t="shared" si="15"/>
        <v>0</v>
      </c>
      <c r="U38" s="357">
        <v>180</v>
      </c>
      <c r="V38" s="356">
        <f>'أخذ التمام الصباحي'!L35</f>
        <v>0</v>
      </c>
      <c r="W38" s="221">
        <f t="shared" ref="W38" si="16">U38-V38</f>
        <v>180</v>
      </c>
      <c r="X38" s="356">
        <f>'أخذ التمام الصباحي'!M35</f>
        <v>0</v>
      </c>
      <c r="Y38" s="356">
        <v>30</v>
      </c>
      <c r="Z38" s="203">
        <f t="shared" ref="Z38" si="17">V38/Y38</f>
        <v>0</v>
      </c>
    </row>
    <row r="39" spans="1:26" ht="20.100000000000001" customHeight="1" thickBot="1" x14ac:dyDescent="0.25">
      <c r="A39" s="367" t="s">
        <v>34</v>
      </c>
      <c r="B39" s="367"/>
      <c r="C39" s="206">
        <f>SUM(C8:C38)</f>
        <v>390</v>
      </c>
      <c r="D39" s="206">
        <f t="shared" ref="D39:Z39" si="18">SUM(D8:D38)</f>
        <v>227</v>
      </c>
      <c r="E39" s="206">
        <f t="shared" si="18"/>
        <v>163</v>
      </c>
      <c r="F39" s="206">
        <f t="shared" si="18"/>
        <v>68</v>
      </c>
      <c r="G39" s="206">
        <f t="shared" si="18"/>
        <v>75.5</v>
      </c>
      <c r="H39" s="206">
        <f t="shared" si="18"/>
        <v>76.34615384615384</v>
      </c>
      <c r="I39" s="206">
        <f t="shared" si="18"/>
        <v>3525</v>
      </c>
      <c r="J39" s="206">
        <f t="shared" si="18"/>
        <v>2117</v>
      </c>
      <c r="K39" s="206">
        <f t="shared" si="18"/>
        <v>1408</v>
      </c>
      <c r="L39" s="206">
        <f t="shared" si="18"/>
        <v>578</v>
      </c>
      <c r="M39" s="206">
        <f t="shared" si="18"/>
        <v>656</v>
      </c>
      <c r="N39" s="206">
        <f t="shared" si="18"/>
        <v>172.47161520296788</v>
      </c>
      <c r="O39" s="206">
        <f t="shared" si="18"/>
        <v>1380</v>
      </c>
      <c r="P39" s="206">
        <f t="shared" si="18"/>
        <v>699</v>
      </c>
      <c r="Q39" s="206">
        <f t="shared" si="18"/>
        <v>681</v>
      </c>
      <c r="R39" s="206">
        <f t="shared" si="18"/>
        <v>153</v>
      </c>
      <c r="S39" s="206">
        <f t="shared" si="18"/>
        <v>169</v>
      </c>
      <c r="T39" s="206">
        <f t="shared" si="18"/>
        <v>155.6261655011655</v>
      </c>
      <c r="U39" s="206">
        <f t="shared" si="18"/>
        <v>2580</v>
      </c>
      <c r="V39" s="206">
        <f t="shared" si="18"/>
        <v>1978</v>
      </c>
      <c r="W39" s="206">
        <f t="shared" si="18"/>
        <v>602</v>
      </c>
      <c r="X39" s="206">
        <f t="shared" si="18"/>
        <v>323</v>
      </c>
      <c r="Y39" s="206">
        <f t="shared" si="18"/>
        <v>376</v>
      </c>
      <c r="Z39" s="206">
        <f t="shared" si="18"/>
        <v>165.39801675263317</v>
      </c>
    </row>
    <row r="40" spans="1:26" ht="20.100000000000001" customHeight="1" thickBot="1" x14ac:dyDescent="0.25">
      <c r="A40" s="368" t="s">
        <v>35</v>
      </c>
      <c r="B40" s="368"/>
      <c r="C40" s="369">
        <f>C39+I39+O39+U39</f>
        <v>7875</v>
      </c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370"/>
      <c r="Z40" s="371"/>
    </row>
    <row r="41" spans="1:26" ht="20.100000000000001" customHeight="1" thickBot="1" x14ac:dyDescent="0.25">
      <c r="A41" s="368" t="s">
        <v>36</v>
      </c>
      <c r="B41" s="368"/>
      <c r="C41" s="369">
        <f>D39+J39+P39+V39</f>
        <v>5021</v>
      </c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0"/>
      <c r="O41" s="370"/>
      <c r="P41" s="370"/>
      <c r="Q41" s="370"/>
      <c r="R41" s="370"/>
      <c r="S41" s="370"/>
      <c r="T41" s="370"/>
      <c r="U41" s="370"/>
      <c r="V41" s="370"/>
      <c r="W41" s="370"/>
      <c r="X41" s="370"/>
      <c r="Y41" s="370"/>
      <c r="Z41" s="371"/>
    </row>
    <row r="42" spans="1:26" ht="20.100000000000001" customHeight="1" thickBot="1" x14ac:dyDescent="0.25">
      <c r="A42" s="368" t="s">
        <v>37</v>
      </c>
      <c r="B42" s="368"/>
      <c r="C42" s="369">
        <f>E39+K39+Q39+W39</f>
        <v>2854</v>
      </c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0"/>
      <c r="O42" s="370"/>
      <c r="P42" s="370"/>
      <c r="Q42" s="370"/>
      <c r="R42" s="370"/>
      <c r="S42" s="370"/>
      <c r="T42" s="370"/>
      <c r="U42" s="370"/>
      <c r="V42" s="370"/>
      <c r="W42" s="370"/>
      <c r="X42" s="370"/>
      <c r="Y42" s="370"/>
      <c r="Z42" s="371"/>
    </row>
    <row r="43" spans="1:26" ht="20.100000000000001" customHeight="1" thickBot="1" x14ac:dyDescent="0.25">
      <c r="A43" s="368" t="s">
        <v>38</v>
      </c>
      <c r="B43" s="368"/>
      <c r="C43" s="372">
        <f>C41/C40</f>
        <v>0.63758730158730159</v>
      </c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373"/>
      <c r="Z43" s="374"/>
    </row>
    <row r="44" spans="1:26" ht="20.100000000000001" customHeight="1" thickBot="1" x14ac:dyDescent="0.25">
      <c r="A44" s="368" t="s">
        <v>39</v>
      </c>
      <c r="B44" s="368"/>
      <c r="C44" s="369">
        <f>F39+L39+R39+X39</f>
        <v>1122</v>
      </c>
      <c r="D44" s="370"/>
      <c r="E44" s="370"/>
      <c r="F44" s="370"/>
      <c r="G44" s="370"/>
      <c r="H44" s="370"/>
      <c r="I44" s="370"/>
      <c r="J44" s="370"/>
      <c r="K44" s="370"/>
      <c r="L44" s="370"/>
      <c r="M44" s="370"/>
      <c r="N44" s="370"/>
      <c r="O44" s="370"/>
      <c r="P44" s="370"/>
      <c r="Q44" s="370"/>
      <c r="R44" s="370"/>
      <c r="S44" s="370"/>
      <c r="T44" s="370"/>
      <c r="U44" s="370"/>
      <c r="V44" s="370"/>
      <c r="W44" s="370"/>
      <c r="X44" s="370"/>
      <c r="Y44" s="370"/>
      <c r="Z44" s="371"/>
    </row>
    <row r="45" spans="1:26" ht="15.75" thickBot="1" x14ac:dyDescent="0.25">
      <c r="A45" s="368" t="s">
        <v>40</v>
      </c>
      <c r="B45" s="368"/>
      <c r="C45" s="375">
        <f>C44/'التمام الصباحي'!$C$41:$Z$41</f>
        <v>0.22346146186018723</v>
      </c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76"/>
      <c r="O45" s="376"/>
      <c r="P45" s="376"/>
      <c r="Q45" s="376"/>
      <c r="R45" s="376"/>
      <c r="S45" s="376"/>
      <c r="T45" s="376"/>
      <c r="U45" s="376"/>
      <c r="V45" s="376"/>
      <c r="W45" s="376"/>
      <c r="X45" s="376"/>
      <c r="Y45" s="376"/>
      <c r="Z45" s="377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1"/>
    </customSheetView>
    <customSheetView guid="{18C0F7AC-4BB1-46DE-8A01-8E31FE0585FC}" scale="70" fitToPage="1">
      <pane xSplit="2" ySplit="7" topLeftCell="C8" activePane="bottomRight" state="frozen"/>
      <selection pane="bottomRight" activeCell="C46" sqref="C46"/>
      <pageMargins left="0.25" right="0.25" top="0.75" bottom="0.75" header="0.3" footer="0.3"/>
      <pageSetup paperSize="9" scale="74" orientation="landscape" r:id="rId2"/>
    </customSheetView>
  </customSheetViews>
  <mergeCells count="28"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  <mergeCell ref="A45:B45"/>
    <mergeCell ref="C40:Z40"/>
    <mergeCell ref="C41:Z41"/>
    <mergeCell ref="C42:Z42"/>
    <mergeCell ref="C43:Z43"/>
    <mergeCell ref="C44:Z44"/>
    <mergeCell ref="C45:Z45"/>
    <mergeCell ref="A39:B39"/>
    <mergeCell ref="A40:B40"/>
    <mergeCell ref="A41:B41"/>
    <mergeCell ref="A42:B42"/>
    <mergeCell ref="A43:B43"/>
  </mergeCells>
  <pageMargins left="0.25" right="0.25" top="0.75" bottom="0.75" header="0.3" footer="0.3"/>
  <pageSetup paperSize="9" scale="57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1" t="s">
        <v>0</v>
      </c>
      <c r="B1" s="381"/>
      <c r="C1" s="381"/>
      <c r="D1" s="381"/>
      <c r="E1" s="381"/>
      <c r="X1" s="378"/>
      <c r="Y1" s="378"/>
    </row>
    <row r="2" spans="1:25" ht="15.75" x14ac:dyDescent="0.25">
      <c r="A2" s="381" t="s">
        <v>1</v>
      </c>
      <c r="B2" s="381"/>
      <c r="C2" s="381"/>
      <c r="D2" s="381"/>
      <c r="E2" s="381"/>
    </row>
    <row r="3" spans="1:25" ht="15.75" x14ac:dyDescent="0.25">
      <c r="A3" s="381" t="s">
        <v>2</v>
      </c>
      <c r="B3" s="381"/>
      <c r="C3" s="381"/>
      <c r="D3" s="381"/>
      <c r="E3" s="381"/>
    </row>
    <row r="5" spans="1:25" ht="32.25" customHeight="1" thickBot="1" x14ac:dyDescent="0.3">
      <c r="G5" s="199"/>
      <c r="H5" s="380" t="s">
        <v>162</v>
      </c>
      <c r="I5" s="380"/>
      <c r="J5" s="380"/>
      <c r="K5" s="380"/>
      <c r="L5" s="380"/>
      <c r="M5" s="380"/>
      <c r="N5" s="380"/>
      <c r="O5" s="380"/>
      <c r="T5" s="200" t="s">
        <v>41</v>
      </c>
    </row>
    <row r="6" spans="1:25" ht="20.100000000000001" customHeight="1" thickBot="1" x14ac:dyDescent="0.25">
      <c r="A6" s="379" t="s">
        <v>14</v>
      </c>
      <c r="B6" s="379" t="s">
        <v>3</v>
      </c>
      <c r="C6" s="379" t="s">
        <v>4</v>
      </c>
      <c r="D6" s="483" t="s">
        <v>5</v>
      </c>
      <c r="E6" s="484"/>
      <c r="F6" s="484"/>
      <c r="G6" s="485"/>
      <c r="H6" s="379" t="s">
        <v>4</v>
      </c>
      <c r="I6" s="483" t="s">
        <v>11</v>
      </c>
      <c r="J6" s="484"/>
      <c r="K6" s="484"/>
      <c r="L6" s="485"/>
      <c r="M6" s="379" t="s">
        <v>4</v>
      </c>
      <c r="N6" s="483" t="s">
        <v>12</v>
      </c>
      <c r="O6" s="484"/>
      <c r="P6" s="484"/>
      <c r="Q6" s="485"/>
      <c r="R6" s="379" t="s">
        <v>4</v>
      </c>
      <c r="S6" s="483" t="s">
        <v>13</v>
      </c>
      <c r="T6" s="484"/>
      <c r="U6" s="484"/>
      <c r="V6" s="485"/>
    </row>
    <row r="7" spans="1:25" ht="20.100000000000001" customHeight="1" thickBot="1" x14ac:dyDescent="0.25">
      <c r="A7" s="379"/>
      <c r="B7" s="379"/>
      <c r="C7" s="379"/>
      <c r="D7" s="201" t="s">
        <v>6</v>
      </c>
      <c r="E7" s="201" t="s">
        <v>7</v>
      </c>
      <c r="F7" s="201" t="s">
        <v>9</v>
      </c>
      <c r="G7" s="201" t="s">
        <v>10</v>
      </c>
      <c r="H7" s="379"/>
      <c r="I7" s="201" t="s">
        <v>6</v>
      </c>
      <c r="J7" s="201" t="s">
        <v>7</v>
      </c>
      <c r="K7" s="201" t="s">
        <v>9</v>
      </c>
      <c r="L7" s="201" t="s">
        <v>10</v>
      </c>
      <c r="M7" s="379"/>
      <c r="N7" s="201" t="s">
        <v>6</v>
      </c>
      <c r="O7" s="201" t="s">
        <v>7</v>
      </c>
      <c r="P7" s="201" t="s">
        <v>9</v>
      </c>
      <c r="Q7" s="201" t="s">
        <v>10</v>
      </c>
      <c r="R7" s="379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25</v>
      </c>
      <c r="J8" s="221">
        <f>'خطة الإمداد'!F32</f>
        <v>65</v>
      </c>
      <c r="K8" s="261">
        <v>19</v>
      </c>
      <c r="L8" s="203">
        <f>I8/K8</f>
        <v>1.3157894736842106</v>
      </c>
      <c r="M8" s="262">
        <v>30</v>
      </c>
      <c r="N8" s="261">
        <f>M8-O8</f>
        <v>5</v>
      </c>
      <c r="O8" s="221">
        <f>'خطة الإمداد'!G32</f>
        <v>25</v>
      </c>
      <c r="P8" s="261">
        <v>5</v>
      </c>
      <c r="Q8" s="203">
        <f>N8/P8</f>
        <v>1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11</v>
      </c>
      <c r="E10" s="261">
        <f>'خطة الإمداد'!E35</f>
        <v>19</v>
      </c>
      <c r="F10" s="261">
        <v>4</v>
      </c>
      <c r="G10" s="204">
        <f>D10/F10</f>
        <v>2.75</v>
      </c>
      <c r="H10" s="262">
        <v>60</v>
      </c>
      <c r="I10" s="261">
        <f t="shared" ref="I10:I27" si="1">H10-J10</f>
        <v>11</v>
      </c>
      <c r="J10" s="221">
        <f>'خطة الإمداد'!F35</f>
        <v>49</v>
      </c>
      <c r="K10" s="261">
        <v>21</v>
      </c>
      <c r="L10" s="203">
        <f t="shared" ref="L10:L21" si="2">I10/K10</f>
        <v>0.52380952380952384</v>
      </c>
      <c r="M10" s="262">
        <v>30</v>
      </c>
      <c r="N10" s="261">
        <f t="shared" ref="N10:N27" si="3">M10-O10</f>
        <v>16</v>
      </c>
      <c r="O10" s="221">
        <f>'خطة الإمداد'!G35</f>
        <v>14</v>
      </c>
      <c r="P10" s="261">
        <v>5</v>
      </c>
      <c r="Q10" s="203">
        <f>N10/P10</f>
        <v>3.2</v>
      </c>
      <c r="R10" s="262">
        <v>180</v>
      </c>
      <c r="S10" s="221">
        <f t="shared" ref="S10:S27" si="4">R10-T10</f>
        <v>174</v>
      </c>
      <c r="T10" s="261">
        <f>'خطة الإمداد'!H35</f>
        <v>6</v>
      </c>
      <c r="U10" s="261">
        <v>3</v>
      </c>
      <c r="V10" s="203">
        <f>S10/U10</f>
        <v>58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5</v>
      </c>
      <c r="J11" s="221">
        <f>'خطة الإمداد'!F36</f>
        <v>55</v>
      </c>
      <c r="K11" s="261">
        <v>34</v>
      </c>
      <c r="L11" s="203">
        <f t="shared" si="2"/>
        <v>0.14705882352941177</v>
      </c>
      <c r="M11" s="262">
        <v>30</v>
      </c>
      <c r="N11" s="261">
        <f t="shared" si="3"/>
        <v>1</v>
      </c>
      <c r="O11" s="221">
        <f>'خطة الإمداد'!G36</f>
        <v>29</v>
      </c>
      <c r="P11" s="261">
        <v>8</v>
      </c>
      <c r="Q11" s="203">
        <f>N11/P11</f>
        <v>0.125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14</v>
      </c>
      <c r="E12" s="261">
        <f>'خطة الإمداد'!E37</f>
        <v>16</v>
      </c>
      <c r="F12" s="261">
        <v>4</v>
      </c>
      <c r="G12" s="204">
        <f>D12/F12</f>
        <v>3.5</v>
      </c>
      <c r="H12" s="262">
        <v>90</v>
      </c>
      <c r="I12" s="261">
        <f t="shared" si="1"/>
        <v>39</v>
      </c>
      <c r="J12" s="221">
        <f>'خطة الإمداد'!F37</f>
        <v>51</v>
      </c>
      <c r="K12" s="261">
        <v>19</v>
      </c>
      <c r="L12" s="203">
        <f t="shared" si="2"/>
        <v>2.0526315789473686</v>
      </c>
      <c r="M12" s="263"/>
      <c r="N12" s="263"/>
      <c r="O12" s="263"/>
      <c r="P12" s="263"/>
      <c r="Q12" s="205"/>
      <c r="R12" s="262">
        <v>180</v>
      </c>
      <c r="S12" s="221">
        <f t="shared" si="4"/>
        <v>160</v>
      </c>
      <c r="T12" s="261">
        <f>'خطة الإمداد'!H37</f>
        <v>20</v>
      </c>
      <c r="U12" s="261">
        <v>8</v>
      </c>
      <c r="V12" s="203">
        <f>S12/U12</f>
        <v>20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14</v>
      </c>
      <c r="E13" s="261">
        <f>'خطة الإمداد'!E38</f>
        <v>16</v>
      </c>
      <c r="F13" s="261">
        <v>4</v>
      </c>
      <c r="G13" s="204">
        <f>D13/F13</f>
        <v>3.5</v>
      </c>
      <c r="H13" s="262">
        <v>90</v>
      </c>
      <c r="I13" s="261">
        <f t="shared" si="1"/>
        <v>58</v>
      </c>
      <c r="J13" s="221">
        <f>'خطة الإمداد'!F38</f>
        <v>32</v>
      </c>
      <c r="K13" s="261">
        <v>16</v>
      </c>
      <c r="L13" s="203">
        <f t="shared" si="2"/>
        <v>3.625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132</v>
      </c>
      <c r="T13" s="261">
        <f>'خطة الإمداد'!H38</f>
        <v>48</v>
      </c>
      <c r="U13" s="261">
        <v>19</v>
      </c>
      <c r="V13" s="203">
        <f>S13/U13</f>
        <v>6.9473684210526319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78</v>
      </c>
      <c r="J14" s="221">
        <f>'خطة الإمداد'!F39</f>
        <v>102</v>
      </c>
      <c r="K14" s="261">
        <v>39</v>
      </c>
      <c r="L14" s="203">
        <f t="shared" si="2"/>
        <v>2</v>
      </c>
      <c r="M14" s="262">
        <v>60</v>
      </c>
      <c r="N14" s="261">
        <f t="shared" si="3"/>
        <v>27</v>
      </c>
      <c r="O14" s="221">
        <f>'خطة الإمداد'!G39</f>
        <v>33</v>
      </c>
      <c r="P14" s="261">
        <v>7</v>
      </c>
      <c r="Q14" s="203">
        <f t="shared" ref="Q14:Q21" si="5">N14/P14</f>
        <v>3.8571428571428572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107</v>
      </c>
      <c r="J15" s="221">
        <f>'خطة الإمداد'!F40</f>
        <v>73</v>
      </c>
      <c r="K15" s="261">
        <v>36</v>
      </c>
      <c r="L15" s="203">
        <f t="shared" si="2"/>
        <v>2.9722222222222223</v>
      </c>
      <c r="M15" s="262">
        <v>45</v>
      </c>
      <c r="N15" s="261">
        <f t="shared" si="3"/>
        <v>15</v>
      </c>
      <c r="O15" s="221">
        <f>'خطة الإمداد'!G40</f>
        <v>30</v>
      </c>
      <c r="P15" s="261">
        <v>8</v>
      </c>
      <c r="Q15" s="203">
        <f t="shared" si="5"/>
        <v>1.875</v>
      </c>
      <c r="R15" s="262">
        <v>120</v>
      </c>
      <c r="S15" s="221">
        <f t="shared" si="4"/>
        <v>72</v>
      </c>
      <c r="T15" s="261">
        <f>'خطة الإمداد'!H40</f>
        <v>48</v>
      </c>
      <c r="U15" s="261">
        <v>26</v>
      </c>
      <c r="V15" s="203">
        <f>S15/U15</f>
        <v>2.7692307692307692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70</v>
      </c>
      <c r="J16" s="221">
        <f>'خطة الإمداد'!F41</f>
        <v>20</v>
      </c>
      <c r="K16" s="261">
        <v>6</v>
      </c>
      <c r="L16" s="203">
        <f t="shared" si="2"/>
        <v>11.666666666666666</v>
      </c>
      <c r="M16" s="262">
        <v>30</v>
      </c>
      <c r="N16" s="261">
        <f t="shared" si="3"/>
        <v>15</v>
      </c>
      <c r="O16" s="221">
        <f>'خطة الإمداد'!G41</f>
        <v>15</v>
      </c>
      <c r="P16" s="261">
        <v>2</v>
      </c>
      <c r="Q16" s="203">
        <f t="shared" si="5"/>
        <v>7.5</v>
      </c>
      <c r="R16" s="262">
        <v>180</v>
      </c>
      <c r="S16" s="221">
        <f t="shared" si="4"/>
        <v>69</v>
      </c>
      <c r="T16" s="261">
        <f>'خطة الإمداد'!H41</f>
        <v>111</v>
      </c>
      <c r="U16" s="261">
        <v>56</v>
      </c>
      <c r="V16" s="203">
        <f>S16/U16</f>
        <v>1.2321428571428572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67</v>
      </c>
      <c r="J17" s="221">
        <f>'خطة الإمداد'!F42</f>
        <v>23</v>
      </c>
      <c r="K17" s="261">
        <v>5</v>
      </c>
      <c r="L17" s="203">
        <f t="shared" si="2"/>
        <v>13.4</v>
      </c>
      <c r="M17" s="262">
        <v>30</v>
      </c>
      <c r="N17" s="261">
        <f t="shared" si="3"/>
        <v>9</v>
      </c>
      <c r="O17" s="221">
        <f>'خطة الإمداد'!G42</f>
        <v>21</v>
      </c>
      <c r="P17" s="261">
        <v>1</v>
      </c>
      <c r="Q17" s="203">
        <f t="shared" si="5"/>
        <v>9</v>
      </c>
      <c r="R17" s="262">
        <v>60</v>
      </c>
      <c r="S17" s="194">
        <f t="shared" si="4"/>
        <v>47</v>
      </c>
      <c r="T17" s="261">
        <f>'خطة الإمداد'!H42</f>
        <v>13</v>
      </c>
      <c r="U17" s="261">
        <v>2</v>
      </c>
      <c r="V17" s="261">
        <f>S17/U17</f>
        <v>23.5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32</v>
      </c>
      <c r="J18" s="221">
        <f>'خطة الإمداد'!F43</f>
        <v>28</v>
      </c>
      <c r="K18" s="261">
        <v>2</v>
      </c>
      <c r="L18" s="203">
        <f t="shared" si="2"/>
        <v>16</v>
      </c>
      <c r="M18" s="262">
        <v>30</v>
      </c>
      <c r="N18" s="261">
        <f t="shared" si="3"/>
        <v>23</v>
      </c>
      <c r="O18" s="221">
        <f>'خطة الإمداد'!G43</f>
        <v>7</v>
      </c>
      <c r="P18" s="261">
        <v>5</v>
      </c>
      <c r="Q18" s="203">
        <f t="shared" si="5"/>
        <v>4.5999999999999996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62</v>
      </c>
      <c r="J19" s="221">
        <f>'خطة الإمداد'!F44</f>
        <v>28</v>
      </c>
      <c r="K19" s="261">
        <v>6</v>
      </c>
      <c r="L19" s="203">
        <f t="shared" si="2"/>
        <v>10.333333333333334</v>
      </c>
      <c r="M19" s="262">
        <v>30</v>
      </c>
      <c r="N19" s="261">
        <f t="shared" si="3"/>
        <v>20</v>
      </c>
      <c r="O19" s="221">
        <f>'خطة الإمداد'!G44</f>
        <v>10</v>
      </c>
      <c r="P19" s="261">
        <v>2</v>
      </c>
      <c r="Q19" s="203">
        <f t="shared" si="5"/>
        <v>10</v>
      </c>
      <c r="R19" s="262">
        <v>180</v>
      </c>
      <c r="S19" s="221">
        <f t="shared" si="4"/>
        <v>141</v>
      </c>
      <c r="T19" s="261">
        <f>'خطة الإمداد'!H44</f>
        <v>39</v>
      </c>
      <c r="U19" s="261">
        <v>16</v>
      </c>
      <c r="V19" s="203">
        <f>S19/U19</f>
        <v>8.8125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50</v>
      </c>
      <c r="J20" s="221">
        <f>'خطة الإمداد'!F45</f>
        <v>40</v>
      </c>
      <c r="K20" s="261">
        <v>7</v>
      </c>
      <c r="L20" s="203">
        <f t="shared" si="2"/>
        <v>7.1428571428571432</v>
      </c>
      <c r="M20" s="262">
        <v>30</v>
      </c>
      <c r="N20" s="261">
        <f t="shared" si="3"/>
        <v>13</v>
      </c>
      <c r="O20" s="221">
        <f>'خطة الإمداد'!G45</f>
        <v>17</v>
      </c>
      <c r="P20" s="261">
        <v>1</v>
      </c>
      <c r="Q20" s="203">
        <f t="shared" si="5"/>
        <v>13</v>
      </c>
      <c r="R20" s="262">
        <v>180</v>
      </c>
      <c r="S20" s="221">
        <f t="shared" si="4"/>
        <v>106</v>
      </c>
      <c r="T20" s="261">
        <f>'خطة الإمداد'!H45</f>
        <v>74</v>
      </c>
      <c r="U20" s="261">
        <v>18</v>
      </c>
      <c r="V20" s="203">
        <f>S20/U20</f>
        <v>5.8888888888888893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46</v>
      </c>
      <c r="J21" s="221">
        <f>'خطة الإمداد'!F46</f>
        <v>44</v>
      </c>
      <c r="K21" s="261">
        <v>5</v>
      </c>
      <c r="L21" s="203">
        <f t="shared" si="2"/>
        <v>9.1999999999999993</v>
      </c>
      <c r="M21" s="262">
        <v>30</v>
      </c>
      <c r="N21" s="261">
        <f t="shared" si="3"/>
        <v>5</v>
      </c>
      <c r="O21" s="221">
        <f>'خطة الإمداد'!G46</f>
        <v>25</v>
      </c>
      <c r="P21" s="261">
        <v>1</v>
      </c>
      <c r="Q21" s="203">
        <f t="shared" si="5"/>
        <v>5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21.5</v>
      </c>
      <c r="E22" s="194">
        <f>'خطة الإمداد'!E47</f>
        <v>8.5</v>
      </c>
      <c r="F22" s="194">
        <v>0.2</v>
      </c>
      <c r="G22" s="194">
        <f>D22/F22</f>
        <v>107.5</v>
      </c>
      <c r="H22" s="262">
        <v>60</v>
      </c>
      <c r="I22" s="261">
        <f t="shared" si="1"/>
        <v>52</v>
      </c>
      <c r="J22" s="221">
        <f>'خطة الإمداد'!F47</f>
        <v>8</v>
      </c>
      <c r="K22" s="261">
        <v>1</v>
      </c>
      <c r="L22" s="203">
        <f t="shared" ref="L22:L27" si="6">I22/K22</f>
        <v>52</v>
      </c>
      <c r="M22" s="263"/>
      <c r="N22" s="263"/>
      <c r="O22" s="263"/>
      <c r="P22" s="263"/>
      <c r="Q22" s="205"/>
      <c r="R22" s="262">
        <v>120</v>
      </c>
      <c r="S22" s="221">
        <f t="shared" si="4"/>
        <v>100</v>
      </c>
      <c r="T22" s="261">
        <f>'خطة الإمداد'!H47</f>
        <v>20</v>
      </c>
      <c r="U22" s="261">
        <v>14</v>
      </c>
      <c r="V22" s="203">
        <f t="shared" ref="V22:V27" si="7">S22/U22</f>
        <v>7.1428571428571432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51</v>
      </c>
      <c r="J23" s="221">
        <f>'خطة الإمداد'!F48</f>
        <v>9</v>
      </c>
      <c r="K23" s="261">
        <v>1</v>
      </c>
      <c r="L23" s="203">
        <f t="shared" si="6"/>
        <v>51</v>
      </c>
      <c r="M23" s="263"/>
      <c r="N23" s="263"/>
      <c r="O23" s="263"/>
      <c r="P23" s="263"/>
      <c r="Q23" s="205"/>
      <c r="R23" s="262">
        <v>120</v>
      </c>
      <c r="S23" s="221">
        <f t="shared" si="4"/>
        <v>86</v>
      </c>
      <c r="T23" s="261">
        <f>'خطة الإمداد'!H48</f>
        <v>34</v>
      </c>
      <c r="U23" s="261">
        <v>7</v>
      </c>
      <c r="V23" s="203">
        <f t="shared" si="7"/>
        <v>12.285714285714286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57</v>
      </c>
      <c r="J24" s="221">
        <f>'خطة الإمداد'!F49</f>
        <v>33</v>
      </c>
      <c r="K24" s="261">
        <v>11</v>
      </c>
      <c r="L24" s="203">
        <f t="shared" si="6"/>
        <v>5.1818181818181817</v>
      </c>
      <c r="M24" s="262">
        <v>30</v>
      </c>
      <c r="N24" s="261">
        <f t="shared" si="3"/>
        <v>11</v>
      </c>
      <c r="O24" s="221">
        <f>'خطة الإمداد'!G49</f>
        <v>19</v>
      </c>
      <c r="P24" s="261">
        <v>1</v>
      </c>
      <c r="Q24" s="203">
        <f>N24/P24</f>
        <v>11</v>
      </c>
      <c r="R24" s="262">
        <v>180</v>
      </c>
      <c r="S24" s="221">
        <f t="shared" si="4"/>
        <v>69</v>
      </c>
      <c r="T24" s="261">
        <f>'خطة الإمداد'!H49</f>
        <v>111</v>
      </c>
      <c r="U24" s="261">
        <v>42</v>
      </c>
      <c r="V24" s="203">
        <f t="shared" si="7"/>
        <v>1.6428571428571428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37</v>
      </c>
      <c r="J25" s="221">
        <f>'خطة الإمداد'!F50</f>
        <v>53</v>
      </c>
      <c r="K25" s="261">
        <v>14</v>
      </c>
      <c r="L25" s="203">
        <f t="shared" si="6"/>
        <v>2.6428571428571428</v>
      </c>
      <c r="M25" s="262">
        <v>30</v>
      </c>
      <c r="N25" s="261">
        <f t="shared" si="3"/>
        <v>14</v>
      </c>
      <c r="O25" s="221">
        <f>'خطة الإمداد'!G50</f>
        <v>16</v>
      </c>
      <c r="P25" s="261">
        <v>2</v>
      </c>
      <c r="Q25" s="203">
        <f>N25/P25</f>
        <v>7</v>
      </c>
      <c r="R25" s="262">
        <v>180</v>
      </c>
      <c r="S25" s="221">
        <f t="shared" si="4"/>
        <v>79</v>
      </c>
      <c r="T25" s="261">
        <f>'خطة الإمداد'!H50</f>
        <v>101</v>
      </c>
      <c r="U25" s="261">
        <v>35</v>
      </c>
      <c r="V25" s="203">
        <f t="shared" si="7"/>
        <v>2.2571428571428571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61</v>
      </c>
      <c r="J26" s="221">
        <f>'خطة الإمداد'!F51</f>
        <v>29</v>
      </c>
      <c r="K26" s="261">
        <v>6</v>
      </c>
      <c r="L26" s="203">
        <f t="shared" si="6"/>
        <v>10.166666666666666</v>
      </c>
      <c r="M26" s="262">
        <v>30</v>
      </c>
      <c r="N26" s="261">
        <f t="shared" si="3"/>
        <v>14</v>
      </c>
      <c r="O26" s="221">
        <f>'خطة الإمداد'!G51</f>
        <v>16</v>
      </c>
      <c r="P26" s="261">
        <v>1</v>
      </c>
      <c r="Q26" s="203">
        <f>N26/P26</f>
        <v>14</v>
      </c>
      <c r="R26" s="262">
        <v>180</v>
      </c>
      <c r="S26" s="221">
        <f t="shared" si="4"/>
        <v>109</v>
      </c>
      <c r="T26" s="261">
        <f>'خطة الإمداد'!H51</f>
        <v>71</v>
      </c>
      <c r="U26" s="261">
        <v>21</v>
      </c>
      <c r="V26" s="203">
        <f t="shared" si="7"/>
        <v>5.1904761904761907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53</v>
      </c>
      <c r="J27" s="221">
        <f>'خطة الإمداد'!F52</f>
        <v>37</v>
      </c>
      <c r="K27" s="261">
        <v>7</v>
      </c>
      <c r="L27" s="203">
        <f t="shared" si="6"/>
        <v>7.5714285714285712</v>
      </c>
      <c r="M27" s="262">
        <v>30</v>
      </c>
      <c r="N27" s="261">
        <f t="shared" si="3"/>
        <v>12</v>
      </c>
      <c r="O27" s="221">
        <f>'خطة الإمداد'!G52</f>
        <v>18</v>
      </c>
      <c r="P27" s="261">
        <v>1</v>
      </c>
      <c r="Q27" s="203">
        <f>N27/P27</f>
        <v>12</v>
      </c>
      <c r="R27" s="262">
        <v>180</v>
      </c>
      <c r="S27" s="221">
        <f t="shared" si="4"/>
        <v>138</v>
      </c>
      <c r="T27" s="261">
        <f>'خطة الإمداد'!H52</f>
        <v>42</v>
      </c>
      <c r="U27" s="261">
        <v>22</v>
      </c>
      <c r="V27" s="203">
        <f t="shared" si="7"/>
        <v>6.2727272727272725</v>
      </c>
    </row>
    <row r="28" spans="1:23" ht="24.75" customHeight="1" thickBot="1" x14ac:dyDescent="0.25">
      <c r="A28" s="367" t="s">
        <v>34</v>
      </c>
      <c r="B28" s="367"/>
      <c r="C28" s="206">
        <f>SUM(C8:C27)</f>
        <v>150</v>
      </c>
      <c r="D28" s="206">
        <f>SUM(D8:D27)</f>
        <v>90.5</v>
      </c>
      <c r="E28" s="206">
        <f t="shared" ref="E28:V28" si="8">SUM(E8:E27)</f>
        <v>59.5</v>
      </c>
      <c r="F28" s="206">
        <f t="shared" si="8"/>
        <v>21.2</v>
      </c>
      <c r="G28" s="206">
        <f t="shared" si="8"/>
        <v>120.58333333333333</v>
      </c>
      <c r="H28" s="262">
        <f t="shared" si="8"/>
        <v>1740</v>
      </c>
      <c r="I28" s="206">
        <f t="shared" si="8"/>
        <v>961</v>
      </c>
      <c r="J28" s="206">
        <f t="shared" si="8"/>
        <v>779</v>
      </c>
      <c r="K28" s="206">
        <f t="shared" si="8"/>
        <v>255</v>
      </c>
      <c r="L28" s="207">
        <f t="shared" si="8"/>
        <v>208.94213932782046</v>
      </c>
      <c r="M28" s="262">
        <f t="shared" si="8"/>
        <v>495</v>
      </c>
      <c r="N28" s="206">
        <f t="shared" si="8"/>
        <v>200</v>
      </c>
      <c r="O28" s="206">
        <f t="shared" si="8"/>
        <v>295</v>
      </c>
      <c r="P28" s="206">
        <f t="shared" si="8"/>
        <v>50</v>
      </c>
      <c r="Q28" s="207">
        <f t="shared" si="8"/>
        <v>103.15714285714286</v>
      </c>
      <c r="R28" s="262">
        <f t="shared" si="8"/>
        <v>2220</v>
      </c>
      <c r="S28" s="206">
        <f t="shared" si="8"/>
        <v>1482</v>
      </c>
      <c r="T28" s="206">
        <f t="shared" si="8"/>
        <v>738</v>
      </c>
      <c r="U28" s="206">
        <f t="shared" si="8"/>
        <v>289</v>
      </c>
      <c r="V28" s="207">
        <f t="shared" si="8"/>
        <v>161.94190582809006</v>
      </c>
    </row>
    <row r="29" spans="1:23" ht="20.100000000000001" customHeight="1" thickBot="1" x14ac:dyDescent="0.25">
      <c r="A29" s="368" t="s">
        <v>35</v>
      </c>
      <c r="B29" s="368"/>
      <c r="C29" s="369">
        <f>C28+H28+M28+R28</f>
        <v>4605</v>
      </c>
      <c r="D29" s="370"/>
      <c r="E29" s="370"/>
      <c r="F29" s="370"/>
      <c r="G29" s="370"/>
      <c r="H29" s="370"/>
      <c r="I29" s="370"/>
      <c r="J29" s="370"/>
      <c r="K29" s="370"/>
      <c r="L29" s="370"/>
      <c r="M29" s="370"/>
      <c r="N29" s="370"/>
      <c r="O29" s="370"/>
      <c r="P29" s="370"/>
      <c r="Q29" s="370"/>
      <c r="R29" s="370"/>
      <c r="S29" s="370"/>
      <c r="T29" s="370"/>
      <c r="U29" s="370"/>
      <c r="V29" s="371"/>
    </row>
    <row r="30" spans="1:23" ht="20.100000000000001" customHeight="1" thickBot="1" x14ac:dyDescent="0.25">
      <c r="A30" s="368" t="s">
        <v>36</v>
      </c>
      <c r="B30" s="368"/>
      <c r="C30" s="369">
        <f>D28+I28+N28+S28</f>
        <v>2733.5</v>
      </c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370"/>
      <c r="O30" s="370"/>
      <c r="P30" s="370"/>
      <c r="Q30" s="370"/>
      <c r="R30" s="370"/>
      <c r="S30" s="370"/>
      <c r="T30" s="370"/>
      <c r="U30" s="370"/>
      <c r="V30" s="371"/>
    </row>
    <row r="31" spans="1:23" ht="20.100000000000001" customHeight="1" thickBot="1" x14ac:dyDescent="0.25">
      <c r="A31" s="368" t="s">
        <v>37</v>
      </c>
      <c r="B31" s="368"/>
      <c r="C31" s="369">
        <f>E28+J28+O28+T28</f>
        <v>1871.5</v>
      </c>
      <c r="D31" s="370"/>
      <c r="E31" s="370"/>
      <c r="F31" s="370"/>
      <c r="G31" s="370"/>
      <c r="H31" s="370"/>
      <c r="I31" s="370"/>
      <c r="J31" s="370"/>
      <c r="K31" s="370"/>
      <c r="L31" s="370"/>
      <c r="M31" s="370"/>
      <c r="N31" s="370"/>
      <c r="O31" s="370"/>
      <c r="P31" s="370"/>
      <c r="Q31" s="370"/>
      <c r="R31" s="370"/>
      <c r="S31" s="370"/>
      <c r="T31" s="370"/>
      <c r="U31" s="370"/>
      <c r="V31" s="371"/>
    </row>
    <row r="32" spans="1:23" ht="20.100000000000001" customHeight="1" thickBot="1" x14ac:dyDescent="0.25">
      <c r="A32" s="368" t="s">
        <v>38</v>
      </c>
      <c r="B32" s="368"/>
      <c r="C32" s="372">
        <f>C30/C29</f>
        <v>0.59359391965255159</v>
      </c>
      <c r="D32" s="373"/>
      <c r="E32" s="373"/>
      <c r="F32" s="373"/>
      <c r="G32" s="373"/>
      <c r="H32" s="373"/>
      <c r="I32" s="373"/>
      <c r="J32" s="373"/>
      <c r="K32" s="373"/>
      <c r="L32" s="373"/>
      <c r="M32" s="373"/>
      <c r="N32" s="373"/>
      <c r="O32" s="373"/>
      <c r="P32" s="373"/>
      <c r="Q32" s="373"/>
      <c r="R32" s="373"/>
      <c r="S32" s="373"/>
      <c r="T32" s="373"/>
      <c r="U32" s="373"/>
      <c r="V32" s="374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C31:V31"/>
    <mergeCell ref="C32:V32"/>
    <mergeCell ref="I6:L6"/>
    <mergeCell ref="N6:Q6"/>
    <mergeCell ref="S6:V6"/>
    <mergeCell ref="C29:V29"/>
    <mergeCell ref="C30:V30"/>
    <mergeCell ref="A28:B28"/>
    <mergeCell ref="A32:B32"/>
    <mergeCell ref="A29:B29"/>
    <mergeCell ref="A30:B30"/>
    <mergeCell ref="A31:B31"/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393" t="s">
        <v>94</v>
      </c>
      <c r="R5" s="393"/>
      <c r="S5" s="393"/>
      <c r="T5" s="393"/>
      <c r="U5" s="393"/>
    </row>
    <row r="6" spans="1:21" ht="15.75" customHeight="1" thickBot="1" x14ac:dyDescent="0.25">
      <c r="A6" s="447" t="s">
        <v>3</v>
      </c>
      <c r="B6" s="486">
        <v>80</v>
      </c>
      <c r="C6" s="487"/>
      <c r="D6" s="486">
        <v>92</v>
      </c>
      <c r="E6" s="487"/>
      <c r="F6" s="486">
        <v>95</v>
      </c>
      <c r="G6" s="487"/>
      <c r="H6" s="486" t="s">
        <v>50</v>
      </c>
      <c r="I6" s="487"/>
      <c r="K6" s="447" t="s">
        <v>3</v>
      </c>
      <c r="L6" s="73">
        <v>80</v>
      </c>
      <c r="M6" s="73">
        <v>92</v>
      </c>
      <c r="N6" s="73">
        <v>95</v>
      </c>
      <c r="O6" s="73" t="s">
        <v>50</v>
      </c>
      <c r="Q6" s="488" t="s">
        <v>3</v>
      </c>
      <c r="R6" s="489" t="s">
        <v>95</v>
      </c>
      <c r="S6" s="489" t="s">
        <v>96</v>
      </c>
      <c r="T6" s="489" t="s">
        <v>97</v>
      </c>
      <c r="U6" s="491" t="s">
        <v>98</v>
      </c>
    </row>
    <row r="7" spans="1:21" ht="15.75" thickBot="1" x14ac:dyDescent="0.25">
      <c r="A7" s="449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449"/>
      <c r="L7" s="74" t="s">
        <v>7</v>
      </c>
      <c r="M7" s="74" t="s">
        <v>7</v>
      </c>
      <c r="N7" s="74" t="s">
        <v>7</v>
      </c>
      <c r="O7" s="74" t="s">
        <v>7</v>
      </c>
      <c r="Q7" s="488"/>
      <c r="R7" s="490"/>
      <c r="S7" s="490"/>
      <c r="T7" s="490"/>
      <c r="U7" s="491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40</v>
      </c>
      <c r="E8" s="10">
        <f>'التمام الصباحي'!N8</f>
        <v>2</v>
      </c>
      <c r="F8" s="72">
        <f>'التمام الصباحي'!Q8</f>
        <v>17</v>
      </c>
      <c r="G8" s="10">
        <f>'التمام الصباحي'!T8</f>
        <v>1.625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34</v>
      </c>
      <c r="N8" s="41">
        <f>IF(F8&gt;101,102,IF(F8&gt;84,85,IF(F8&gt;67,68,IF(F8&gt;50,51,IF(F8&gt;33,34,IF(F8&gt;16,17,0))))))</f>
        <v>17</v>
      </c>
      <c r="O8" s="80"/>
      <c r="P8" s="81"/>
      <c r="Q8" s="82" t="s">
        <v>15</v>
      </c>
      <c r="R8" s="83">
        <f t="shared" ref="R8:R26" si="0">ROUNDDOWN((SUM(L8:O8)/51),0.9)</f>
        <v>1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15</v>
      </c>
      <c r="C9" s="9">
        <f>'التمام الصباحي'!H11</f>
        <v>3.75</v>
      </c>
      <c r="D9" s="72">
        <f>'التمام الصباحي'!K11</f>
        <v>25</v>
      </c>
      <c r="E9" s="10">
        <f>'التمام الصباحي'!N11</f>
        <v>1.4583333333333333</v>
      </c>
      <c r="F9" s="72">
        <f>'التمام الصباحي'!Q11</f>
        <v>6</v>
      </c>
      <c r="G9" s="10">
        <f>'التمام الصباحي'!T11</f>
        <v>3</v>
      </c>
      <c r="H9" s="5">
        <f>'التمام الصباحي'!W11</f>
        <v>1</v>
      </c>
      <c r="I9" s="10">
        <f>'التمام الصباحي'!Z11</f>
        <v>35.799999999999997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17</v>
      </c>
      <c r="N9" s="41">
        <f t="shared" ref="N9:N26" si="2">IF(F9&gt;101,102,IF(F9&gt;84,85,IF(F9&gt;67,68,IF(F9&gt;50,51,IF(F9&gt;33,34,IF(F9&gt;16,17,0))))))</f>
        <v>0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492">
        <f>IF((ROUNDDOWN((SUM(M9:M10)/51)-(R9+R10),0.9))&lt;0,0,(ROUNDDOWN((SUM(M9:M10)/51)-(R9+R10),0.9)))</f>
        <v>0</v>
      </c>
      <c r="T9" s="492">
        <f>IF((ROUNDDOWN((SUM(O9:O10)/51)-(R9+R10),0.9))&lt;0,0,(ROUNDDOWN((SUM(O9:O10)/51)-(R9+R10),0.9)))</f>
        <v>0</v>
      </c>
      <c r="U9" s="492">
        <f>IF((ROUNDDOWN((SUM(L9:O10)/51)-(R9+R10+S9+T9),0.9))&lt;0,0,ROUNDDOWN((SUM(L9:O10)/51)-(R9+R10+S9+T9),0.9))</f>
        <v>1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17</v>
      </c>
      <c r="E10" s="10">
        <f>'التمام الصباحي'!N12</f>
        <v>1.9210526315789473</v>
      </c>
      <c r="F10" s="72">
        <f>'التمام الصباحي'!Q12</f>
        <v>17</v>
      </c>
      <c r="G10" s="10">
        <f>'التمام الصباحي'!T12</f>
        <v>1.0833333333333333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17</v>
      </c>
      <c r="N10" s="41">
        <f t="shared" si="2"/>
        <v>17</v>
      </c>
      <c r="O10" s="80"/>
      <c r="P10" s="81"/>
      <c r="Q10" s="89" t="s">
        <v>17</v>
      </c>
      <c r="R10" s="90">
        <f t="shared" si="0"/>
        <v>0</v>
      </c>
      <c r="S10" s="493"/>
      <c r="T10" s="493"/>
      <c r="U10" s="493"/>
    </row>
    <row r="11" spans="1:21" ht="17.25" thickTop="1" thickBot="1" x14ac:dyDescent="0.3">
      <c r="A11" s="77" t="s">
        <v>18</v>
      </c>
      <c r="B11" s="5">
        <f>'التمام الصباحي'!E13</f>
        <v>12</v>
      </c>
      <c r="C11" s="9">
        <f>'التمام الصباحي'!H13</f>
        <v>4.5</v>
      </c>
      <c r="D11" s="72">
        <f>'التمام الصباحي'!K13</f>
        <v>25</v>
      </c>
      <c r="E11" s="10">
        <f>'التمام الصباحي'!N13</f>
        <v>2.5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12</v>
      </c>
      <c r="I11" s="10">
        <f>'التمام الصباحي'!Z13</f>
        <v>21</v>
      </c>
      <c r="K11" s="91" t="s">
        <v>18</v>
      </c>
      <c r="L11" s="41">
        <f t="shared" si="3"/>
        <v>0</v>
      </c>
      <c r="M11" s="41">
        <f t="shared" si="1"/>
        <v>17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494">
        <f>IF((ROUNDDOWN((SUM(M11:M12)/51)-(R11+R12),0.9))&lt;0,0,(ROUNDDOWN((SUM(M11:M12)/51)-(R11+R12),0.9)))</f>
        <v>0</v>
      </c>
      <c r="T11" s="494">
        <f t="shared" ref="T11" si="5">IF((ROUNDDOWN((SUM(O11:O12)/51)-(R11+R12),0.9))&lt;0,0,(ROUNDDOWN((SUM(O11:O12)/51)-(R11+R12),0.9)))</f>
        <v>0</v>
      </c>
      <c r="U11" s="494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8</v>
      </c>
      <c r="C12" s="9">
        <f>'التمام الصباحي'!H14</f>
        <v>2.75</v>
      </c>
      <c r="D12" s="72">
        <f>'التمام الصباحي'!K14</f>
        <v>12</v>
      </c>
      <c r="E12" s="10">
        <f>'التمام الصباحي'!N14</f>
        <v>3.9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29</v>
      </c>
      <c r="I12" s="10">
        <f>'التمام الصباحي'!Z14</f>
        <v>7.9473684210526319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17</v>
      </c>
      <c r="P12" s="81"/>
      <c r="Q12" s="94" t="s">
        <v>19</v>
      </c>
      <c r="R12" s="95">
        <f t="shared" si="0"/>
        <v>0</v>
      </c>
      <c r="S12" s="494"/>
      <c r="T12" s="494"/>
      <c r="U12" s="494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60</v>
      </c>
      <c r="E13" s="10">
        <f>'التمام الصباحي'!N15</f>
        <v>2.8571428571428572</v>
      </c>
      <c r="F13" s="72">
        <f>'التمام الصباحي'!Q15</f>
        <v>20</v>
      </c>
      <c r="G13" s="10">
        <f>'التمام الصباحي'!T15</f>
        <v>3.0769230769230771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51</v>
      </c>
      <c r="N13" s="41">
        <f t="shared" si="2"/>
        <v>17</v>
      </c>
      <c r="O13" s="80"/>
      <c r="P13" s="81"/>
      <c r="Q13" s="86" t="s">
        <v>20</v>
      </c>
      <c r="R13" s="87">
        <f t="shared" si="0"/>
        <v>1</v>
      </c>
      <c r="S13" s="492">
        <f>IF((ROUNDDOWN((SUM(M13:M14)/51)-(R13+R14),0.9))&lt;0,0,(ROUNDDOWN((SUM(M13:M14)/51)-(R13+R14),0.9)))</f>
        <v>0</v>
      </c>
      <c r="T13" s="492">
        <f t="shared" ref="T13" si="7">IF((ROUNDDOWN((SUM(O13:O14)/51)-(R13+R14),0.9))&lt;0,0,(ROUNDDOWN((SUM(O13:O14)/51)-(R13+R14),0.9)))</f>
        <v>0</v>
      </c>
      <c r="U13" s="492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35</v>
      </c>
      <c r="E14" s="10">
        <f>'التمام الصباحي'!N16</f>
        <v>3.8157894736842106</v>
      </c>
      <c r="F14" s="72">
        <f>'التمام الصباحي'!Q16</f>
        <v>18</v>
      </c>
      <c r="G14" s="10">
        <f>'التمام الصباحي'!T16</f>
        <v>2.25</v>
      </c>
      <c r="H14" s="5">
        <f>'التمام الصباحي'!W16</f>
        <v>15</v>
      </c>
      <c r="I14" s="10">
        <f>'التمام الصباحي'!Z16</f>
        <v>3.1818181818181817</v>
      </c>
      <c r="K14" s="88" t="s">
        <v>21</v>
      </c>
      <c r="L14" s="80"/>
      <c r="M14" s="41">
        <f t="shared" si="1"/>
        <v>34</v>
      </c>
      <c r="N14" s="41">
        <f t="shared" si="2"/>
        <v>17</v>
      </c>
      <c r="O14" s="41">
        <f t="shared" si="4"/>
        <v>0</v>
      </c>
      <c r="P14" s="81"/>
      <c r="Q14" s="89" t="s">
        <v>21</v>
      </c>
      <c r="R14" s="90">
        <f t="shared" si="0"/>
        <v>1</v>
      </c>
      <c r="S14" s="493"/>
      <c r="T14" s="493"/>
      <c r="U14" s="493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11</v>
      </c>
      <c r="E15" s="10">
        <f>'التمام الصباحي'!N17</f>
        <v>8.7777777777777786</v>
      </c>
      <c r="F15" s="72">
        <f>'التمام الصباحي'!Q17</f>
        <v>10</v>
      </c>
      <c r="G15" s="10">
        <f>'التمام الصباحي'!T17</f>
        <v>4</v>
      </c>
      <c r="H15" s="5">
        <f>'التمام الصباحي'!W17</f>
        <v>52</v>
      </c>
      <c r="I15" s="10">
        <f>'التمام الصباحي'!Z17</f>
        <v>2.1694915254237288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51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12</v>
      </c>
      <c r="E16" s="10">
        <f>'التمام الصباحي'!N18</f>
        <v>7.0909090909090908</v>
      </c>
      <c r="F16" s="72">
        <f>'التمام الصباحي'!Q18</f>
        <v>17</v>
      </c>
      <c r="G16" s="10">
        <f>'التمام الصباحي'!T18</f>
        <v>3.25</v>
      </c>
      <c r="H16" s="5">
        <f>'التمام الصباحي'!W18</f>
        <v>9</v>
      </c>
      <c r="I16" s="10">
        <f>'التمام الصباحي'!Z18</f>
        <v>12.75</v>
      </c>
      <c r="K16" s="85" t="s">
        <v>23</v>
      </c>
      <c r="L16" s="80"/>
      <c r="M16" s="41">
        <f t="shared" si="1"/>
        <v>0</v>
      </c>
      <c r="N16" s="41">
        <f t="shared" si="2"/>
        <v>17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495">
        <f>IF((ROUNDDOWN((SUM(M16:M17)/51)-(R16+R17),0.9))&lt;0,0,(ROUNDDOWN((SUM(M16:M17)/51)-(R16+R17),0.9)))</f>
        <v>0</v>
      </c>
      <c r="T16" s="495">
        <f>IF((ROUNDDOWN((SUM(O16:O17)/51)-(R16+R17),0.9))&lt;0,0,(ROUNDDOWN((SUM(O16:O17)/51)-(R16+R17),0.9)))</f>
        <v>0</v>
      </c>
      <c r="U16" s="495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23</v>
      </c>
      <c r="E17" s="10">
        <f>'التمام الصباحي'!N19</f>
        <v>7.4</v>
      </c>
      <c r="F17" s="72">
        <f>'التمام الصباحي'!Q19</f>
        <v>5</v>
      </c>
      <c r="G17" s="10">
        <f>'التمام الصباحي'!T19</f>
        <v>12.5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17</v>
      </c>
      <c r="N17" s="41">
        <f t="shared" si="2"/>
        <v>0</v>
      </c>
      <c r="O17" s="80"/>
      <c r="P17" s="81"/>
      <c r="Q17" s="94" t="s">
        <v>24</v>
      </c>
      <c r="R17" s="95">
        <f t="shared" si="0"/>
        <v>0</v>
      </c>
      <c r="S17" s="496"/>
      <c r="T17" s="496"/>
      <c r="U17" s="496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24</v>
      </c>
      <c r="E18" s="10">
        <f>'التمام الصباحي'!N20</f>
        <v>16.5</v>
      </c>
      <c r="F18" s="72">
        <f>'التمام الصباحي'!Q20</f>
        <v>9</v>
      </c>
      <c r="G18" s="10">
        <f>'التمام الصباحي'!T20</f>
        <v>21</v>
      </c>
      <c r="H18" s="5">
        <f>'التمام الصباحي'!W20</f>
        <v>32</v>
      </c>
      <c r="I18" s="10">
        <f>'التمام الصباحي'!Z20</f>
        <v>21.142857142857142</v>
      </c>
      <c r="K18" s="96" t="s">
        <v>26</v>
      </c>
      <c r="L18" s="80"/>
      <c r="M18" s="41">
        <f t="shared" si="1"/>
        <v>17</v>
      </c>
      <c r="N18" s="41">
        <f t="shared" si="2"/>
        <v>0</v>
      </c>
      <c r="O18" s="41">
        <f t="shared" si="4"/>
        <v>17</v>
      </c>
      <c r="P18" s="81"/>
      <c r="Q18" s="97" t="s">
        <v>26</v>
      </c>
      <c r="R18" s="98">
        <f t="shared" si="0"/>
        <v>0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23</v>
      </c>
      <c r="E19" s="10">
        <f>'التمام الصباحي'!N21</f>
        <v>3.9411764705882355</v>
      </c>
      <c r="F19" s="72">
        <f>'التمام الصباحي'!Q21</f>
        <v>11</v>
      </c>
      <c r="G19" s="10">
        <f>'التمام الصباحي'!T21</f>
        <v>3.1666666666666665</v>
      </c>
      <c r="H19" s="5">
        <f>'التمام الصباحي'!W21</f>
        <v>50</v>
      </c>
      <c r="I19" s="10">
        <f>'التمام الصباحي'!Z21</f>
        <v>5.416666666666667</v>
      </c>
      <c r="K19" s="85" t="s">
        <v>25</v>
      </c>
      <c r="L19" s="80"/>
      <c r="M19" s="41">
        <f t="shared" si="1"/>
        <v>17</v>
      </c>
      <c r="N19" s="41">
        <f t="shared" si="2"/>
        <v>0</v>
      </c>
      <c r="O19" s="41">
        <f t="shared" si="4"/>
        <v>34</v>
      </c>
      <c r="P19" s="81"/>
      <c r="Q19" s="86" t="s">
        <v>25</v>
      </c>
      <c r="R19" s="87">
        <f t="shared" si="0"/>
        <v>1</v>
      </c>
      <c r="S19" s="492">
        <f>IF((ROUNDDOWN((SUM(M19:M20)/51)-(R19+R20),0.9))&lt;0,0,(ROUNDDOWN((SUM(M19:M20)/51)-(R19+R20),0.9)))</f>
        <v>0</v>
      </c>
      <c r="T19" s="492">
        <f>IF((ROUNDDOWN((SUM(O19:O20)/51)-(R19+R20),0.9))&lt;0,0,(ROUNDDOWN((SUM(O19:O20)/51)-(R19+R20),0.9)))</f>
        <v>0</v>
      </c>
      <c r="U19" s="492">
        <f>IF((ROUNDDOWN((SUM(L19:O20)/51)-(R19+R20+S19+T19),0.9))&lt;0,0,ROUNDDOWN((SUM(L19:O20)/51)-(R19+R20+S19+T19),0.9))</f>
        <v>0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36</v>
      </c>
      <c r="E20" s="10">
        <f>'التمام الصباحي'!N22</f>
        <v>6.75</v>
      </c>
      <c r="F20" s="72">
        <f>'التمام الصباحي'!Q22</f>
        <v>23</v>
      </c>
      <c r="G20" s="10">
        <f>'التمام الصباحي'!T22</f>
        <v>3.5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34</v>
      </c>
      <c r="N20" s="41">
        <f t="shared" si="2"/>
        <v>17</v>
      </c>
      <c r="O20" s="80"/>
      <c r="P20" s="81"/>
      <c r="Q20" s="89" t="s">
        <v>27</v>
      </c>
      <c r="R20" s="90">
        <f t="shared" si="0"/>
        <v>1</v>
      </c>
      <c r="S20" s="493"/>
      <c r="T20" s="493"/>
      <c r="U20" s="493"/>
    </row>
    <row r="21" spans="1:21" ht="17.25" thickTop="1" thickBot="1" x14ac:dyDescent="0.3">
      <c r="A21" s="77" t="s">
        <v>28</v>
      </c>
      <c r="B21" s="5">
        <f>'التمام الصباحي'!E23</f>
        <v>8</v>
      </c>
      <c r="C21" s="9">
        <f>'التمام الصباحي'!H23</f>
        <v>44</v>
      </c>
      <c r="D21" s="72">
        <f>'التمام الصباحي'!K23</f>
        <v>6</v>
      </c>
      <c r="E21" s="10">
        <f>'التمام الصباحي'!N23</f>
        <v>27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10</v>
      </c>
      <c r="I21" s="10">
        <f>'التمام الصباحي'!Z23</f>
        <v>11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0</v>
      </c>
      <c r="P21" s="81"/>
      <c r="Q21" s="92" t="s">
        <v>28</v>
      </c>
      <c r="R21" s="93">
        <f t="shared" si="0"/>
        <v>0</v>
      </c>
      <c r="S21" s="494">
        <f>IF((ROUNDDOWN((SUM(M21:M22)/51)-(R21+R22),0.9))&lt;0,0,(ROUNDDOWN((SUM(M21:M22)/51)-(R21+R22),0.9)))</f>
        <v>0</v>
      </c>
      <c r="T21" s="495">
        <f>IF((ROUNDDOWN((SUM(O21:O22)/51)-(R21+R22),0.9))&lt;0,0,(ROUNDDOWN((SUM(O21:O22)/51)-(R21+R22),0.9)))</f>
        <v>0</v>
      </c>
      <c r="U21" s="495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6</v>
      </c>
      <c r="E22" s="10">
        <f>'التمام الصباحي'!N24</f>
        <v>18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29</v>
      </c>
      <c r="I22" s="10">
        <f>'التمام الصباحي'!Z24</f>
        <v>18.2</v>
      </c>
      <c r="K22" s="79" t="s">
        <v>29</v>
      </c>
      <c r="L22" s="80"/>
      <c r="M22" s="41">
        <f t="shared" si="1"/>
        <v>0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494"/>
      <c r="T22" s="496"/>
      <c r="U22" s="496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18</v>
      </c>
      <c r="E23" s="10">
        <f>'التمام الصباحي'!N25</f>
        <v>4.8</v>
      </c>
      <c r="F23" s="72">
        <f>'التمام الصباحي'!Q25</f>
        <v>16</v>
      </c>
      <c r="G23" s="10">
        <f>'التمام الصباحي'!T25</f>
        <v>4.666666666666667</v>
      </c>
      <c r="H23" s="5">
        <f>'التمام الصباحي'!W25</f>
        <v>57</v>
      </c>
      <c r="I23" s="10">
        <f>'التمام الصباحي'!Z25</f>
        <v>2.2777777777777777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51</v>
      </c>
      <c r="P23" s="81"/>
      <c r="Q23" s="86" t="s">
        <v>30</v>
      </c>
      <c r="R23" s="87">
        <f t="shared" si="0"/>
        <v>1</v>
      </c>
      <c r="S23" s="492">
        <f>IF((ROUNDDOWN((SUM(M23:M24)/51)-(R23+R24),0.9))&lt;0,0,(ROUNDDOWN((SUM(M23:M24)/51)-(R23+R24),0.9)))</f>
        <v>0</v>
      </c>
      <c r="T23" s="492">
        <f>IF((ROUNDDOWN((SUM(O23:O24)/51)-(R23+R24),0.9))&lt;0,0,(ROUNDDOWN((SUM(O23:O24)/51)-(R23+R24),0.9)))</f>
        <v>0</v>
      </c>
      <c r="U23" s="492">
        <f t="shared" ref="U23" si="10">IF((ROUNDDOWN((SUM(L23:O24)/51)-(R23+R24+S23+T23),0.9))&lt;0,0,ROUNDDOWN((SUM(L23:O24)/51)-(R23+R24+S23+T23),0.9))</f>
        <v>1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36</v>
      </c>
      <c r="E24" s="10">
        <f>'التمام الصباحي'!N26</f>
        <v>3.1764705882352939</v>
      </c>
      <c r="F24" s="72">
        <f>'التمام الصباحي'!Q26</f>
        <v>12</v>
      </c>
      <c r="G24" s="10">
        <f>'التمام الصباحي'!T26</f>
        <v>4.5</v>
      </c>
      <c r="H24" s="5">
        <f>'التمام الصباحي'!W26</f>
        <v>51</v>
      </c>
      <c r="I24" s="10">
        <f>'التمام الصباحي'!Z26</f>
        <v>2.58</v>
      </c>
      <c r="K24" s="88" t="s">
        <v>31</v>
      </c>
      <c r="L24" s="80"/>
      <c r="M24" s="41">
        <f t="shared" si="1"/>
        <v>34</v>
      </c>
      <c r="N24" s="41">
        <f t="shared" si="2"/>
        <v>0</v>
      </c>
      <c r="O24" s="41">
        <f t="shared" si="4"/>
        <v>51</v>
      </c>
      <c r="P24" s="81"/>
      <c r="Q24" s="89" t="s">
        <v>31</v>
      </c>
      <c r="R24" s="90">
        <f t="shared" si="0"/>
        <v>1</v>
      </c>
      <c r="S24" s="493"/>
      <c r="T24" s="493"/>
      <c r="U24" s="493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17</v>
      </c>
      <c r="E25" s="10">
        <f>'التمام الصباحي'!N27</f>
        <v>6.083333333333333</v>
      </c>
      <c r="F25" s="72">
        <f>'التمام الصباحي'!Q27</f>
        <v>14</v>
      </c>
      <c r="G25" s="10">
        <f>'التمام الصباحي'!T27</f>
        <v>8</v>
      </c>
      <c r="H25" s="5">
        <f>'التمام الصباحي'!W27</f>
        <v>44</v>
      </c>
      <c r="I25" s="10">
        <f>'التمام الصباحي'!Z27</f>
        <v>5.0370370370370372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34</v>
      </c>
      <c r="P25" s="81"/>
      <c r="Q25" s="92" t="s">
        <v>32</v>
      </c>
      <c r="R25" s="93">
        <f t="shared" si="0"/>
        <v>1</v>
      </c>
      <c r="S25" s="494">
        <f>IF((ROUNDDOWN((SUM(M25:M26)/51)-(R25+R26),0.9))&lt;0,0,(ROUNDDOWN((SUM(M25:M26)/51)-(R25+R26),0.9)))</f>
        <v>0</v>
      </c>
      <c r="T25" s="494">
        <f>IF((ROUNDDOWN((SUM(O25:O26)/51)-(R25+R26),0.9))&lt;0,0,(ROUNDDOWN((SUM(O25:O26)/51)-(R25+R26),0.9)))</f>
        <v>0</v>
      </c>
      <c r="U25" s="494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28</v>
      </c>
      <c r="E26" s="10">
        <f>'التمام الصباحي'!N28</f>
        <v>6.8888888888888893</v>
      </c>
      <c r="F26" s="72">
        <f>'التمام الصباحي'!Q28</f>
        <v>16</v>
      </c>
      <c r="G26" s="10">
        <f>'التمام الصباحي'!T28</f>
        <v>7</v>
      </c>
      <c r="H26" s="5">
        <f>'التمام الصباحي'!W28</f>
        <v>17</v>
      </c>
      <c r="I26" s="10">
        <f>'التمام الصباحي'!Z28</f>
        <v>6.52</v>
      </c>
      <c r="K26" s="77" t="s">
        <v>33</v>
      </c>
      <c r="L26" s="80"/>
      <c r="M26" s="41">
        <f t="shared" si="1"/>
        <v>17</v>
      </c>
      <c r="N26" s="41">
        <f t="shared" si="2"/>
        <v>0</v>
      </c>
      <c r="O26" s="41">
        <f t="shared" si="4"/>
        <v>17</v>
      </c>
      <c r="P26" s="81"/>
      <c r="Q26" s="51" t="s">
        <v>33</v>
      </c>
      <c r="R26" s="103">
        <f t="shared" si="0"/>
        <v>0</v>
      </c>
      <c r="S26" s="497"/>
      <c r="T26" s="497"/>
      <c r="U26" s="497"/>
    </row>
    <row r="29" spans="1:21" ht="15.75" x14ac:dyDescent="0.2">
      <c r="K29" s="159" t="s">
        <v>117</v>
      </c>
      <c r="M29">
        <f>SUM(L8:O26)</f>
        <v>731</v>
      </c>
      <c r="U29" s="138">
        <f>SUM(R8:U26)</f>
        <v>11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  <mergeCell ref="S16:S17"/>
    <mergeCell ref="T16:T17"/>
    <mergeCell ref="U16:U17"/>
    <mergeCell ref="S19:S20"/>
    <mergeCell ref="T19:T20"/>
    <mergeCell ref="U19:U20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499" t="s">
        <v>123</v>
      </c>
      <c r="C3" s="499"/>
      <c r="D3" s="499"/>
      <c r="F3" s="499" t="s">
        <v>124</v>
      </c>
      <c r="G3" s="499"/>
      <c r="H3" s="499"/>
      <c r="J3" s="429" t="s">
        <v>125</v>
      </c>
      <c r="K3" s="429"/>
      <c r="M3" s="429" t="s">
        <v>127</v>
      </c>
      <c r="N3" s="429"/>
      <c r="P3" s="429" t="s">
        <v>126</v>
      </c>
      <c r="Q3" s="429"/>
    </row>
    <row r="4" spans="2:20" ht="15.75" thickBot="1" x14ac:dyDescent="0.25">
      <c r="B4" s="447" t="s">
        <v>3</v>
      </c>
      <c r="C4" s="391" t="s">
        <v>84</v>
      </c>
      <c r="D4" s="391" t="s">
        <v>88</v>
      </c>
      <c r="F4" s="447" t="s">
        <v>3</v>
      </c>
      <c r="G4" s="391" t="s">
        <v>84</v>
      </c>
      <c r="H4" s="391" t="s">
        <v>88</v>
      </c>
      <c r="J4" s="447" t="s">
        <v>3</v>
      </c>
      <c r="K4" s="391" t="s">
        <v>85</v>
      </c>
      <c r="L4" s="498"/>
      <c r="M4" s="447" t="s">
        <v>3</v>
      </c>
      <c r="N4" s="391" t="s">
        <v>109</v>
      </c>
      <c r="P4" s="447" t="s">
        <v>3</v>
      </c>
      <c r="Q4" s="391" t="s">
        <v>90</v>
      </c>
    </row>
    <row r="5" spans="2:20" ht="15.75" thickBot="1" x14ac:dyDescent="0.25">
      <c r="B5" s="449"/>
      <c r="C5" s="391"/>
      <c r="D5" s="391"/>
      <c r="F5" s="449"/>
      <c r="G5" s="391"/>
      <c r="H5" s="391"/>
      <c r="J5" s="449"/>
      <c r="K5" s="391"/>
      <c r="L5" s="498"/>
      <c r="M5" s="449"/>
      <c r="N5" s="391"/>
      <c r="P5" s="449"/>
      <c r="Q5" s="391"/>
    </row>
    <row r="6" spans="2:20" ht="16.5" thickBot="1" x14ac:dyDescent="0.25">
      <c r="B6" s="165" t="s">
        <v>120</v>
      </c>
      <c r="C6" s="489">
        <f>IF(G20&gt;H20,$C$21*2*$K$21,IF(G20=H20,$C$21*2*$K$21,0))</f>
        <v>0</v>
      </c>
      <c r="D6" s="489">
        <f>IF(G20&gt;H20,$D$21*2*$L$21,IF(G20=H20,$D$21*2*$L$21,0))</f>
        <v>80</v>
      </c>
      <c r="F6" s="165" t="s">
        <v>120</v>
      </c>
      <c r="G6" s="489">
        <f>IF(H20&gt;G20,$C$21*2*$K$21,0)</f>
        <v>0</v>
      </c>
      <c r="H6" s="489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489">
        <f>C36*2*P25</f>
        <v>0</v>
      </c>
      <c r="P6" s="165" t="s">
        <v>30</v>
      </c>
      <c r="Q6" s="489">
        <f>C42*2*O28</f>
        <v>216</v>
      </c>
    </row>
    <row r="7" spans="2:20" ht="16.5" thickBot="1" x14ac:dyDescent="0.25">
      <c r="B7" s="165" t="s">
        <v>121</v>
      </c>
      <c r="C7" s="490"/>
      <c r="D7" s="490"/>
      <c r="F7" s="165" t="s">
        <v>121</v>
      </c>
      <c r="G7" s="490"/>
      <c r="H7" s="490"/>
      <c r="J7" s="165" t="s">
        <v>23</v>
      </c>
      <c r="K7" s="489">
        <f>C32*2*N23</f>
        <v>0</v>
      </c>
      <c r="M7" s="165" t="s">
        <v>27</v>
      </c>
      <c r="N7" s="490"/>
      <c r="P7" s="165" t="s">
        <v>31</v>
      </c>
      <c r="Q7" s="490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490"/>
      <c r="M8" s="165" t="s">
        <v>112</v>
      </c>
      <c r="N8" s="164"/>
      <c r="P8" s="165" t="s">
        <v>32</v>
      </c>
      <c r="Q8" s="489">
        <f>C44*2*O29</f>
        <v>0</v>
      </c>
    </row>
    <row r="9" spans="2:20" ht="16.5" thickBot="1" x14ac:dyDescent="0.25">
      <c r="B9" s="165" t="s">
        <v>16</v>
      </c>
      <c r="C9" s="489">
        <f>IF(G20&gt;H20,$C$24*2*$K$18,IF(G20=H20,$C$24*2*$K$18,0))</f>
        <v>32</v>
      </c>
      <c r="D9" s="489">
        <f>IF(G20&gt;H20,$D$24*2*$L$18,IF(G20=H20,$D$24*2*$L$18,0))</f>
        <v>140</v>
      </c>
      <c r="F9" s="165" t="s">
        <v>16</v>
      </c>
      <c r="G9" s="489">
        <f>IF(H20&gt;G20,$C$24*2*$K$18,0)</f>
        <v>0</v>
      </c>
      <c r="H9" s="489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489">
        <f>C39*2*P27</f>
        <v>608</v>
      </c>
      <c r="P9" s="165" t="s">
        <v>33</v>
      </c>
      <c r="Q9" s="490"/>
    </row>
    <row r="10" spans="2:20" ht="16.5" thickBot="1" x14ac:dyDescent="0.25">
      <c r="B10" s="165" t="s">
        <v>17</v>
      </c>
      <c r="C10" s="490"/>
      <c r="D10" s="490"/>
      <c r="F10" s="165" t="s">
        <v>17</v>
      </c>
      <c r="G10" s="490"/>
      <c r="H10" s="490"/>
      <c r="M10" s="165" t="s">
        <v>29</v>
      </c>
      <c r="N10" s="490"/>
    </row>
    <row r="11" spans="2:20" ht="16.5" thickBot="1" x14ac:dyDescent="0.25">
      <c r="B11" s="165" t="s">
        <v>18</v>
      </c>
      <c r="C11" s="489">
        <f>IF(G20&gt;H20,$C$26*2*$K$19,IF(G20=H20,$C$26*2*$K$19,0))</f>
        <v>64</v>
      </c>
      <c r="D11" s="489">
        <f>IF(G20&gt;H20,$D$26*2*$L$19,IF(G20=H20,$D$26*2*$L$19,0))</f>
        <v>0</v>
      </c>
      <c r="F11" s="165" t="s">
        <v>18</v>
      </c>
      <c r="G11" s="489">
        <f>IF(H20&gt;G20,$C$26*2*$K$19,0)</f>
        <v>0</v>
      </c>
      <c r="H11" s="489">
        <f>IF(H20&gt;G20,$D$26*2*$L$19,0)</f>
        <v>0</v>
      </c>
    </row>
    <row r="12" spans="2:20" ht="16.5" thickBot="1" x14ac:dyDescent="0.25">
      <c r="B12" s="165" t="s">
        <v>19</v>
      </c>
      <c r="C12" s="490"/>
      <c r="D12" s="490"/>
      <c r="F12" s="165" t="s">
        <v>19</v>
      </c>
      <c r="G12" s="490"/>
      <c r="H12" s="490"/>
      <c r="J12" s="512" t="s">
        <v>154</v>
      </c>
      <c r="K12" s="182">
        <f>K6+K7+K9</f>
        <v>0</v>
      </c>
      <c r="M12" s="512" t="s">
        <v>154</v>
      </c>
      <c r="N12" s="182">
        <f>SUM(N6:N10)</f>
        <v>608</v>
      </c>
      <c r="P12" s="512" t="s">
        <v>154</v>
      </c>
      <c r="Q12" s="182">
        <f>SUM(Q6:Q9)</f>
        <v>216</v>
      </c>
    </row>
    <row r="13" spans="2:20" ht="18" customHeight="1" thickBot="1" x14ac:dyDescent="0.25">
      <c r="B13" s="165" t="s">
        <v>20</v>
      </c>
      <c r="C13" s="489">
        <f>IF(G20&gt;H20,$C$28*2*$K$20,IF(G20=H20,$C$28*2*$K$20,0))</f>
        <v>0</v>
      </c>
      <c r="D13" s="489">
        <f>IF(G20&gt;H20,$D$28*2*$L$20,IF(G20=H20,$D$28*2*$L$20,0))</f>
        <v>220</v>
      </c>
      <c r="F13" s="165" t="s">
        <v>20</v>
      </c>
      <c r="G13" s="489">
        <f>IF(H20&gt;G20,$C$28*2*$K$20,0)</f>
        <v>0</v>
      </c>
      <c r="H13" s="489">
        <f>IF(H20&gt;G20,$D$28*2*$L$20,0)</f>
        <v>0</v>
      </c>
      <c r="J13" s="512"/>
      <c r="K13" s="182"/>
      <c r="M13" s="512"/>
      <c r="N13" s="182"/>
      <c r="P13" s="512"/>
      <c r="Q13" s="182"/>
    </row>
    <row r="14" spans="2:20" ht="16.5" thickBot="1" x14ac:dyDescent="0.25">
      <c r="B14" s="165" t="s">
        <v>21</v>
      </c>
      <c r="C14" s="490"/>
      <c r="D14" s="490"/>
      <c r="F14" s="165" t="s">
        <v>21</v>
      </c>
      <c r="G14" s="490"/>
      <c r="H14" s="490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536</v>
      </c>
      <c r="H16" s="166">
        <f>SUM(G6:H14)</f>
        <v>0</v>
      </c>
      <c r="J16" s="506" t="s">
        <v>130</v>
      </c>
      <c r="K16" s="504" t="s">
        <v>131</v>
      </c>
      <c r="L16" s="504"/>
      <c r="M16" s="504"/>
      <c r="N16" s="504" t="s">
        <v>85</v>
      </c>
      <c r="O16" s="504" t="s">
        <v>132</v>
      </c>
      <c r="P16" s="504" t="s">
        <v>86</v>
      </c>
      <c r="Q16" s="504" t="s">
        <v>119</v>
      </c>
      <c r="R16" s="510" t="s">
        <v>133</v>
      </c>
      <c r="S16" s="510" t="s">
        <v>134</v>
      </c>
      <c r="T16" s="510" t="s">
        <v>135</v>
      </c>
    </row>
    <row r="17" spans="2:20" ht="18" x14ac:dyDescent="0.2">
      <c r="B17" s="181"/>
      <c r="J17" s="507"/>
      <c r="K17" s="169" t="s">
        <v>136</v>
      </c>
      <c r="L17" s="169" t="s">
        <v>137</v>
      </c>
      <c r="M17" s="169" t="s">
        <v>138</v>
      </c>
      <c r="N17" s="505"/>
      <c r="O17" s="505"/>
      <c r="P17" s="505"/>
      <c r="Q17" s="505"/>
      <c r="R17" s="511"/>
      <c r="S17" s="511"/>
      <c r="T17" s="511"/>
    </row>
    <row r="18" spans="2:20" ht="16.5" thickBot="1" x14ac:dyDescent="0.25">
      <c r="B18" s="499" t="s">
        <v>129</v>
      </c>
      <c r="C18" s="499"/>
      <c r="D18" s="499"/>
      <c r="F18" s="499"/>
      <c r="G18" s="499"/>
      <c r="H18" s="499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447" t="s">
        <v>3</v>
      </c>
      <c r="C19" s="450" t="s">
        <v>84</v>
      </c>
      <c r="D19" s="450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449"/>
      <c r="C20" s="450"/>
      <c r="D20" s="450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489">
        <f>ROUNDDOWN(SUM(المستودعات!C5:F5)/51,0.9)</f>
        <v>0</v>
      </c>
      <c r="D21" s="489">
        <f>ROUNDDOWN(SUM(المستودعات!G5:I5)/51,0.9)</f>
        <v>1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490"/>
      <c r="D22" s="490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489">
        <f>ROUNDDOWN(SUM(المستودعات!C9:F10)/51,0.9)</f>
        <v>1</v>
      </c>
      <c r="D24" s="489">
        <f>ROUNDDOWN(SUM(المستودعات!G9:I10)/51,0.9)</f>
        <v>2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490"/>
      <c r="D25" s="490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489">
        <f>ROUNDDOWN(SUM(المستودعات!C11:F12)/51,0.9)</f>
        <v>1</v>
      </c>
      <c r="D26" s="489">
        <f>ROUNDDOWN(SUM(المستودعات!G11:I12)/51,0.9)</f>
        <v>0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490"/>
      <c r="D27" s="490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489">
        <f>ROUNDDOWN(SUM(المستودعات!C13:F14)/51,0.9)</f>
        <v>0</v>
      </c>
      <c r="D28" s="489">
        <f>ROUNDDOWN(SUM(المستودعات!G13:I14)/51,0.9)</f>
        <v>2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490"/>
      <c r="D29" s="490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459" t="s">
        <v>85</v>
      </c>
      <c r="C30" s="460"/>
      <c r="D30" s="461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08">
        <f>ROUNDDOWN(SUM(المستودعات!O5:Q5)/51,0.9)</f>
        <v>0</v>
      </c>
      <c r="D31" s="509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00">
        <f>ROUNDDOWN(SUM(المستودعات!O6:Q7)/51,0.9)</f>
        <v>0</v>
      </c>
      <c r="D32" s="501"/>
    </row>
    <row r="33" spans="2:4" ht="16.5" thickBot="1" x14ac:dyDescent="0.25">
      <c r="B33" s="165" t="s">
        <v>24</v>
      </c>
      <c r="C33" s="502"/>
      <c r="D33" s="503"/>
    </row>
    <row r="34" spans="2:4" ht="16.5" thickBot="1" x14ac:dyDescent="0.25">
      <c r="B34" s="165" t="s">
        <v>26</v>
      </c>
      <c r="C34" s="508">
        <f>ROUNDDOWN(SUM(المستودعات!O8:Q8)/51,0.9)</f>
        <v>0</v>
      </c>
      <c r="D34" s="509"/>
    </row>
    <row r="35" spans="2:4" ht="22.5" customHeight="1" thickBot="1" x14ac:dyDescent="0.25">
      <c r="B35" s="459" t="s">
        <v>128</v>
      </c>
      <c r="C35" s="460"/>
      <c r="D35" s="461"/>
    </row>
    <row r="36" spans="2:4" ht="16.5" thickBot="1" x14ac:dyDescent="0.25">
      <c r="B36" s="165" t="s">
        <v>25</v>
      </c>
      <c r="C36" s="500">
        <f>ROUNDDOWN(SUM(المستودعات!J23:K24)/51,0.9)</f>
        <v>0</v>
      </c>
      <c r="D36" s="501"/>
    </row>
    <row r="37" spans="2:4" ht="16.5" thickBot="1" x14ac:dyDescent="0.25">
      <c r="B37" s="165" t="s">
        <v>27</v>
      </c>
      <c r="C37" s="502"/>
      <c r="D37" s="503"/>
    </row>
    <row r="38" spans="2:4" ht="16.5" thickBot="1" x14ac:dyDescent="0.25">
      <c r="B38" s="96" t="s">
        <v>112</v>
      </c>
      <c r="C38" s="508"/>
      <c r="D38" s="509"/>
    </row>
    <row r="39" spans="2:4" ht="16.5" thickBot="1" x14ac:dyDescent="0.25">
      <c r="B39" s="165" t="s">
        <v>28</v>
      </c>
      <c r="C39" s="500">
        <f>ROUNDDOWN(SUM(المستودعات!C28:I29)/51,0.9)</f>
        <v>2</v>
      </c>
      <c r="D39" s="501"/>
    </row>
    <row r="40" spans="2:4" ht="16.5" thickBot="1" x14ac:dyDescent="0.25">
      <c r="B40" s="165" t="s">
        <v>29</v>
      </c>
      <c r="C40" s="502"/>
      <c r="D40" s="503"/>
    </row>
    <row r="41" spans="2:4" ht="21.75" customHeight="1" thickBot="1" x14ac:dyDescent="0.25">
      <c r="B41" s="459" t="s">
        <v>90</v>
      </c>
      <c r="C41" s="460"/>
      <c r="D41" s="461"/>
    </row>
    <row r="42" spans="2:4" ht="16.5" thickBot="1" x14ac:dyDescent="0.25">
      <c r="B42" s="165" t="s">
        <v>30</v>
      </c>
      <c r="C42" s="500">
        <f>ROUNDDOWN(SUM(المستودعات!Q15:Q16)/51,0.9)</f>
        <v>2</v>
      </c>
      <c r="D42" s="501"/>
    </row>
    <row r="43" spans="2:4" ht="16.5" thickBot="1" x14ac:dyDescent="0.25">
      <c r="B43" s="165" t="s">
        <v>31</v>
      </c>
      <c r="C43" s="502"/>
      <c r="D43" s="503"/>
    </row>
    <row r="44" spans="2:4" ht="16.5" thickBot="1" x14ac:dyDescent="0.25">
      <c r="B44" s="165" t="s">
        <v>32</v>
      </c>
      <c r="C44" s="500">
        <f>ROUNDDOWN(SUM(المستودعات!Q17:Q18)/51,0.9)</f>
        <v>0</v>
      </c>
      <c r="D44" s="501"/>
    </row>
    <row r="45" spans="2:4" ht="16.5" thickBot="1" x14ac:dyDescent="0.25">
      <c r="B45" s="165" t="s">
        <v>33</v>
      </c>
      <c r="C45" s="502"/>
      <c r="D45" s="503"/>
    </row>
  </sheetData>
  <customSheetViews>
    <customSheetView guid="{8317B6D8-8A99-4EB0-9DBC-8E9AE0170A4B}" state="hidden" topLeftCell="C1">
      <selection activeCell="L13" sqref="L13"/>
      <pageMargins left="0.7" right="0.7" top="0.75" bottom="0.75" header="0.3" footer="0.3"/>
    </customSheetView>
    <customSheetView guid="{18C0F7AC-4BB1-46DE-8A01-8E31FE0585FC}" state="hidden" topLeftCell="C1">
      <selection activeCell="L13" sqref="L13"/>
      <pageMargins left="0.7" right="0.7" top="0.75" bottom="0.75" header="0.3" footer="0.3"/>
    </customSheetView>
  </customSheetViews>
  <mergeCells count="75">
    <mergeCell ref="R16:R17"/>
    <mergeCell ref="S16:S17"/>
    <mergeCell ref="T16:T17"/>
    <mergeCell ref="F18:H18"/>
    <mergeCell ref="J12:J13"/>
    <mergeCell ref="M12:M13"/>
    <mergeCell ref="P12:P13"/>
    <mergeCell ref="N16:N17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B35:D35"/>
    <mergeCell ref="B41:D41"/>
    <mergeCell ref="C26:C27"/>
    <mergeCell ref="D26:D27"/>
    <mergeCell ref="C28:C29"/>
    <mergeCell ref="D28:D29"/>
    <mergeCell ref="C39:D40"/>
    <mergeCell ref="M3:N3"/>
    <mergeCell ref="M4:M5"/>
    <mergeCell ref="N4:N5"/>
    <mergeCell ref="P3:Q3"/>
    <mergeCell ref="P4:P5"/>
    <mergeCell ref="Q4:Q5"/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13" t="s">
        <v>103</v>
      </c>
      <c r="D2" s="513"/>
      <c r="E2" s="513"/>
      <c r="F2" s="513"/>
    </row>
    <row r="3" spans="1:15" ht="15" thickBot="1" x14ac:dyDescent="0.25"/>
    <row r="4" spans="1:15" ht="15.75" thickBot="1" x14ac:dyDescent="0.25">
      <c r="A4" s="432" t="s">
        <v>3</v>
      </c>
      <c r="B4" s="392" t="s">
        <v>104</v>
      </c>
      <c r="C4" s="392"/>
      <c r="D4" s="433"/>
      <c r="E4" s="514" t="s">
        <v>84</v>
      </c>
      <c r="F4" s="515"/>
      <c r="G4" s="515"/>
      <c r="H4" s="401"/>
    </row>
    <row r="5" spans="1:15" ht="15.75" thickBot="1" x14ac:dyDescent="0.25">
      <c r="A5" s="432"/>
      <c r="B5" s="400" t="s">
        <v>81</v>
      </c>
      <c r="C5" s="515"/>
      <c r="D5" s="516"/>
      <c r="E5" s="112" t="s">
        <v>81</v>
      </c>
      <c r="F5" s="400" t="s">
        <v>87</v>
      </c>
      <c r="G5" s="515"/>
      <c r="H5" s="401"/>
      <c r="K5" s="447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32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449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51</v>
      </c>
      <c r="N7" s="41">
        <f>'خطة الإمداد'!N32</f>
        <v>17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34</v>
      </c>
      <c r="N8" s="41">
        <f>'خطة الإمداد'!N33</f>
        <v>0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51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51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17</v>
      </c>
      <c r="M10" s="41">
        <f>'خطة الإمداد'!M35</f>
        <v>34</v>
      </c>
      <c r="N10" s="41">
        <f>'خطة الإمداد'!N35</f>
        <v>0</v>
      </c>
      <c r="O10" s="41">
        <f>'خطة الإمداد'!O35</f>
        <v>0</v>
      </c>
    </row>
    <row r="11" spans="1:15" ht="16.5" thickBot="1" x14ac:dyDescent="0.3">
      <c r="A11" s="110" t="s">
        <v>18</v>
      </c>
      <c r="B11" s="5">
        <f t="shared" si="4"/>
        <v>17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51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0</v>
      </c>
      <c r="M13" s="41">
        <f>'خطة الإمداد'!M38</f>
        <v>17</v>
      </c>
      <c r="N13" s="41">
        <f>'خطة الإمداد'!N38</f>
        <v>0</v>
      </c>
      <c r="O13" s="41">
        <f>'خطة الإمداد'!O38</f>
        <v>34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102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1409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928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2827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1939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8317B6D8-8A99-4EB0-9DBC-8E9AE0170A4B}">
      <selection activeCell="A8" sqref="A8:H8"/>
      <pageMargins left="0.7" right="0.7" top="0.75" bottom="0.75" header="0.3" footer="0.3"/>
      <pageSetup paperSize="9" orientation="portrait" r:id="rId1"/>
    </customSheetView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51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17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13" t="s">
        <v>105</v>
      </c>
      <c r="D2" s="513"/>
      <c r="E2" s="513"/>
      <c r="F2" s="513"/>
    </row>
    <row r="3" spans="1:15" ht="15" thickBot="1" x14ac:dyDescent="0.25"/>
    <row r="4" spans="1:15" ht="15.75" thickBot="1" x14ac:dyDescent="0.25">
      <c r="A4" s="432" t="s">
        <v>3</v>
      </c>
      <c r="B4" s="400" t="s">
        <v>85</v>
      </c>
      <c r="C4" s="515"/>
      <c r="D4" s="515"/>
      <c r="E4" s="515"/>
      <c r="F4" s="515"/>
      <c r="G4" s="515"/>
      <c r="H4" s="401"/>
      <c r="I4" s="278" t="s">
        <v>119</v>
      </c>
    </row>
    <row r="5" spans="1:15" ht="15.75" thickBot="1" x14ac:dyDescent="0.25">
      <c r="A5" s="432"/>
      <c r="B5" s="120" t="s">
        <v>81</v>
      </c>
      <c r="C5" s="517" t="s">
        <v>87</v>
      </c>
      <c r="D5" s="486"/>
      <c r="E5" s="518"/>
      <c r="F5" s="486" t="s">
        <v>83</v>
      </c>
      <c r="G5" s="486"/>
      <c r="H5" s="487"/>
      <c r="I5" s="279" t="s">
        <v>83</v>
      </c>
      <c r="K5" s="44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2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44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68</v>
      </c>
      <c r="N7" s="41">
        <f>'خطة الإمداد'!N40</f>
        <v>17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102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102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17</v>
      </c>
      <c r="O9" s="41">
        <f>'خطة الإمداد'!O42</f>
        <v>0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17</v>
      </c>
      <c r="N10" s="41">
        <f>'خطة الإمداد'!N43</f>
        <v>0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22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23"/>
      <c r="C16" s="52" t="s">
        <v>93</v>
      </c>
      <c r="D16" s="53">
        <f>[1]التعاون.ملخص!$D$6</f>
        <v>0</v>
      </c>
    </row>
    <row r="17" spans="2:4" ht="16.5" thickBot="1" x14ac:dyDescent="0.25">
      <c r="B17" s="523"/>
      <c r="C17" s="59" t="s">
        <v>87</v>
      </c>
      <c r="D17" s="60" t="e">
        <f>[1]موبيل.ملخص!$D$5</f>
        <v>#REF!</v>
      </c>
    </row>
    <row r="18" spans="2:4" ht="16.5" thickBot="1" x14ac:dyDescent="0.25">
      <c r="B18" s="520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19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20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19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21"/>
      <c r="C22" s="61" t="s">
        <v>87</v>
      </c>
      <c r="D22" s="62" t="e">
        <f>[1]موبيل.ملخص!$D$6</f>
        <v>#REF!</v>
      </c>
    </row>
  </sheetData>
  <customSheetViews>
    <customSheetView guid="{8317B6D8-8A99-4EB0-9DBC-8E9AE0170A4B}">
      <selection activeCell="H7" sqref="H7"/>
      <pageMargins left="0.7" right="0.7" top="0.75" bottom="0.75" header="0.3" footer="0.3"/>
    </customSheetView>
    <customSheetView guid="{18C0F7AC-4BB1-46DE-8A01-8E31FE0585FC}">
      <selection activeCell="D15" sqref="D15:D22"/>
      <pageMargins left="0.7" right="0.7" top="0.75" bottom="0.75" header="0.3" footer="0.3"/>
    </customSheetView>
  </customSheetViews>
  <mergeCells count="9">
    <mergeCell ref="K5:K6"/>
    <mergeCell ref="B19:B20"/>
    <mergeCell ref="B21:B22"/>
    <mergeCell ref="B15:B18"/>
    <mergeCell ref="A4:A6"/>
    <mergeCell ref="B4:H4"/>
    <mergeCell ref="C5:E5"/>
    <mergeCell ref="F5:H5"/>
    <mergeCell ref="C2:F2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102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8317B6D8-8A99-4EB0-9DBC-8E9AE0170A4B}" state="hidden">
      <selection activeCell="B2" sqref="B2:H5"/>
      <pageMargins left="0.7" right="0.7" top="0.75" bottom="0.75" header="0.3" footer="0.3"/>
    </customSheetView>
    <customSheetView guid="{18C0F7AC-4BB1-46DE-8A01-8E31FE0585FC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13" t="s">
        <v>106</v>
      </c>
      <c r="D2" s="513"/>
      <c r="E2" s="513"/>
      <c r="F2" s="513"/>
    </row>
    <row r="3" spans="1:15" ht="15" thickBot="1" x14ac:dyDescent="0.25"/>
    <row r="4" spans="1:15" ht="15.75" thickBot="1" x14ac:dyDescent="0.25">
      <c r="A4" s="432" t="s">
        <v>3</v>
      </c>
      <c r="B4" s="400" t="s">
        <v>91</v>
      </c>
      <c r="C4" s="515"/>
      <c r="D4" s="515"/>
      <c r="E4" s="515"/>
      <c r="F4" s="515"/>
      <c r="G4" s="515"/>
      <c r="H4" s="515"/>
      <c r="I4" s="401"/>
    </row>
    <row r="5" spans="1:15" ht="15.75" thickBot="1" x14ac:dyDescent="0.25">
      <c r="A5" s="432"/>
      <c r="B5" s="488" t="s">
        <v>81</v>
      </c>
      <c r="C5" s="488"/>
      <c r="D5" s="508"/>
      <c r="E5" s="527" t="s">
        <v>83</v>
      </c>
      <c r="F5" s="528"/>
      <c r="G5" s="509" t="s">
        <v>87</v>
      </c>
      <c r="H5" s="488"/>
      <c r="I5" s="488"/>
      <c r="K5" s="44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32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44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0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0</v>
      </c>
      <c r="O7" s="41">
        <f>'خطة الإمداد'!O44</f>
        <v>34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34</v>
      </c>
      <c r="N8" s="41">
        <f>'خطة الإمداد'!N45</f>
        <v>17</v>
      </c>
      <c r="O8" s="41">
        <f>'خطة الإمداد'!O45</f>
        <v>68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17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17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24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25"/>
      <c r="C15" s="52" t="s">
        <v>93</v>
      </c>
      <c r="D15" s="57">
        <f>[1]التعاون.ملخص!$D$7</f>
        <v>149</v>
      </c>
    </row>
    <row r="16" spans="1:15" ht="16.5" thickBot="1" x14ac:dyDescent="0.3">
      <c r="B16" s="526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83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24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25"/>
      <c r="C20" s="70" t="s">
        <v>93</v>
      </c>
      <c r="D20" s="71">
        <f>[1]التعاون.ملخص!$D$9</f>
        <v>215</v>
      </c>
    </row>
    <row r="21" spans="2:4" ht="16.5" thickBot="1" x14ac:dyDescent="0.3">
      <c r="B21" s="526"/>
      <c r="C21" s="70" t="s">
        <v>87</v>
      </c>
      <c r="D21" s="71" t="e">
        <f>[1]موبيل.ملخص!$D$9</f>
        <v>#REF!</v>
      </c>
    </row>
  </sheetData>
  <customSheetViews>
    <customSheetView guid="{8317B6D8-8A99-4EB0-9DBC-8E9AE0170A4B}">
      <selection activeCell="A4" sqref="A4:I10"/>
      <pageMargins left="0.7" right="0.7" top="0.75" bottom="0.75" header="0.3" footer="0.3"/>
    </customSheetView>
    <customSheetView guid="{18C0F7AC-4BB1-46DE-8A01-8E31FE0585FC}">
      <selection activeCell="D14" sqref="D14:D21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0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8317B6D8-8A99-4EB0-9DBC-8E9AE0170A4B}" state="hidden">
      <selection activeCell="B2" sqref="B2:I5"/>
      <pageMargins left="0.7" right="0.7" top="0.75" bottom="0.75" header="0.3" footer="0.3"/>
    </customSheetView>
    <customSheetView guid="{18C0F7AC-4BB1-46DE-8A01-8E31FE0585FC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13" t="s">
        <v>108</v>
      </c>
      <c r="C2" s="513"/>
      <c r="D2" s="513"/>
      <c r="E2" s="513"/>
    </row>
    <row r="3" spans="1:13" ht="15" thickBot="1" x14ac:dyDescent="0.25"/>
    <row r="4" spans="1:13" ht="15.75" thickBot="1" x14ac:dyDescent="0.25">
      <c r="A4" s="447" t="s">
        <v>3</v>
      </c>
      <c r="B4" s="400" t="s">
        <v>90</v>
      </c>
      <c r="C4" s="515"/>
      <c r="D4" s="515"/>
      <c r="E4" s="515"/>
      <c r="F4" s="401"/>
    </row>
    <row r="5" spans="1:13" ht="15.75" thickBot="1" x14ac:dyDescent="0.25">
      <c r="A5" s="448"/>
      <c r="B5" s="400" t="s">
        <v>83</v>
      </c>
      <c r="C5" s="515"/>
      <c r="D5" s="514" t="s">
        <v>81</v>
      </c>
      <c r="E5" s="516"/>
      <c r="F5" s="109" t="s">
        <v>107</v>
      </c>
      <c r="I5" s="447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449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449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17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102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0</v>
      </c>
      <c r="I9" s="110" t="s">
        <v>32</v>
      </c>
      <c r="J9" s="41">
        <f>'خطة الإمداد'!L50</f>
        <v>0</v>
      </c>
      <c r="K9" s="41">
        <f>'خطة الإمداد'!M50</f>
        <v>51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22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21"/>
      <c r="C16" s="52" t="s">
        <v>93</v>
      </c>
      <c r="D16" s="53">
        <f>[1]التعاون.ملخص!$D$10</f>
        <v>0</v>
      </c>
    </row>
    <row r="17" spans="2:4" ht="16.5" thickBot="1" x14ac:dyDescent="0.25">
      <c r="B17" s="522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21"/>
      <c r="C18" s="61" t="s">
        <v>93</v>
      </c>
      <c r="D18" s="62" t="e">
        <f>[1]التعاون.ملخص!$D$11</f>
        <v>#VALUE!</v>
      </c>
    </row>
  </sheetData>
  <customSheetViews>
    <customSheetView guid="{8317B6D8-8A99-4EB0-9DBC-8E9AE0170A4B}">
      <selection activeCell="D19" sqref="D19"/>
      <pageMargins left="0.7" right="0.7" top="0.75" bottom="0.75" header="0.3" footer="0.3"/>
      <pageSetup paperSize="9" orientation="portrait" r:id="rId1"/>
    </customSheetView>
    <customSheetView guid="{18C0F7AC-4BB1-46DE-8A01-8E31FE0585FC}">
      <selection sqref="A1:N20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384" t="s">
        <v>0</v>
      </c>
      <c r="B1" s="384"/>
      <c r="C1" s="384"/>
      <c r="D1" s="384"/>
      <c r="E1" s="384"/>
      <c r="Q1" s="382"/>
      <c r="R1" s="382"/>
    </row>
    <row r="2" spans="1:18" ht="15.75" x14ac:dyDescent="0.25">
      <c r="A2" s="384" t="s">
        <v>1</v>
      </c>
      <c r="B2" s="384"/>
      <c r="C2" s="384"/>
      <c r="D2" s="384"/>
      <c r="E2" s="384"/>
    </row>
    <row r="3" spans="1:18" ht="15.75" x14ac:dyDescent="0.25">
      <c r="A3" s="384" t="s">
        <v>2</v>
      </c>
      <c r="B3" s="384"/>
      <c r="C3" s="384"/>
      <c r="D3" s="384"/>
      <c r="E3" s="384"/>
    </row>
    <row r="4" spans="1:18" ht="48.75" customHeight="1" thickBot="1" x14ac:dyDescent="0.3">
      <c r="F4" s="393" t="s">
        <v>193</v>
      </c>
      <c r="G4" s="393"/>
      <c r="H4" s="393"/>
      <c r="I4" s="393"/>
      <c r="J4" s="393"/>
      <c r="K4" s="393"/>
      <c r="L4" s="393"/>
      <c r="M4" s="393"/>
      <c r="P4" s="393" t="s">
        <v>51</v>
      </c>
      <c r="Q4" s="393"/>
      <c r="R4" s="30"/>
    </row>
    <row r="5" spans="1:18" ht="20.100000000000001" customHeight="1" thickBot="1" x14ac:dyDescent="0.25">
      <c r="A5" s="391" t="s">
        <v>14</v>
      </c>
      <c r="B5" s="391" t="s">
        <v>3</v>
      </c>
      <c r="C5" s="392" t="s">
        <v>5</v>
      </c>
      <c r="D5" s="392"/>
      <c r="E5" s="392"/>
      <c r="F5" s="392" t="s">
        <v>11</v>
      </c>
      <c r="G5" s="392"/>
      <c r="H5" s="392"/>
      <c r="I5" s="392" t="s">
        <v>12</v>
      </c>
      <c r="J5" s="392"/>
      <c r="K5" s="392"/>
      <c r="L5" s="392" t="s">
        <v>50</v>
      </c>
      <c r="M5" s="392"/>
      <c r="N5" s="392"/>
      <c r="O5" s="400" t="s">
        <v>45</v>
      </c>
      <c r="P5" s="401"/>
      <c r="Q5" s="388" t="s">
        <v>49</v>
      </c>
    </row>
    <row r="6" spans="1:18" ht="20.100000000000001" customHeight="1" thickBot="1" x14ac:dyDescent="0.25">
      <c r="A6" s="391"/>
      <c r="B6" s="391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389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27030</v>
      </c>
      <c r="G7" s="2">
        <f>F7*6.75</f>
        <v>182452.5</v>
      </c>
      <c r="H7" s="2">
        <f>F7*0.33</f>
        <v>8919.9</v>
      </c>
      <c r="I7" s="2">
        <f>'أخذ التمام الصباحي'!K5</f>
        <v>7365</v>
      </c>
      <c r="J7" s="2">
        <f>I7*7.75</f>
        <v>57078.75</v>
      </c>
      <c r="K7" s="2">
        <f>I7*0.45</f>
        <v>3314.25</v>
      </c>
      <c r="L7" s="6"/>
      <c r="M7" s="6"/>
      <c r="N7" s="6"/>
      <c r="O7" s="7">
        <f>SUM(D7,G7,J7,M7)/100</f>
        <v>2395.3125</v>
      </c>
      <c r="P7" s="10">
        <f>'أخذ التمام الصباحي'!Q5</f>
        <v>2230</v>
      </c>
      <c r="Q7" s="7">
        <f t="shared" ref="Q7:Q27" si="0">P7-O7</f>
        <v>-165.3125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31599</v>
      </c>
      <c r="G8" s="287">
        <f>F8*6.75</f>
        <v>213293.25</v>
      </c>
      <c r="H8" s="287">
        <f>F8*0.33</f>
        <v>10427.67</v>
      </c>
      <c r="I8" s="287">
        <f>'أخذ التمام الصباحي'!K6</f>
        <v>9695</v>
      </c>
      <c r="J8" s="287">
        <f>I8*7.75</f>
        <v>75136.25</v>
      </c>
      <c r="K8" s="287">
        <f>I8*0.45</f>
        <v>4362.75</v>
      </c>
      <c r="L8" s="6"/>
      <c r="M8" s="6"/>
      <c r="N8" s="6"/>
      <c r="O8" s="7">
        <f>SUM(D8,G8,J8,M8)/100</f>
        <v>2884.2950000000001</v>
      </c>
      <c r="P8" s="10">
        <f>'أخذ التمام الصباحي'!Q6</f>
        <v>2620</v>
      </c>
      <c r="Q8" s="7">
        <f t="shared" si="0"/>
        <v>-264.29500000000007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41263</v>
      </c>
      <c r="D9" s="5">
        <f t="shared" ref="D9" si="1">C9*5.5</f>
        <v>226946.5</v>
      </c>
      <c r="E9" s="5">
        <f>C9*0.25</f>
        <v>10315.75</v>
      </c>
      <c r="F9" s="292">
        <f>'أخذ التمام الصباحي'!H7</f>
        <v>22483</v>
      </c>
      <c r="G9" s="292">
        <f t="shared" ref="G9:G27" si="2">F9*6.75</f>
        <v>151760.25</v>
      </c>
      <c r="H9" s="292">
        <f t="shared" ref="H9:H27" si="3">F9*0.33</f>
        <v>7419.39</v>
      </c>
      <c r="I9" s="292">
        <f>'أخذ التمام الصباحي'!K7</f>
        <v>4645</v>
      </c>
      <c r="J9" s="292">
        <f t="shared" ref="J9:J27" si="4">I9*7.75</f>
        <v>35998.75</v>
      </c>
      <c r="K9" s="292">
        <f t="shared" ref="K9:K27" si="5">I9*0.45</f>
        <v>2090.25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4147.0550000000003</v>
      </c>
      <c r="P9" s="10">
        <f>'أخذ التمام الصباحي'!Q7</f>
        <v>3801</v>
      </c>
      <c r="Q9" s="7">
        <f t="shared" si="0"/>
        <v>-346.05500000000029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2719</v>
      </c>
      <c r="D10" s="5">
        <f t="shared" ref="D10:D22" si="7">C10*5.5</f>
        <v>14954.5</v>
      </c>
      <c r="E10" s="5">
        <f>C10*0.25</f>
        <v>679.75</v>
      </c>
      <c r="F10" s="292">
        <f>'أخذ التمام الصباحي'!H8</f>
        <v>23541</v>
      </c>
      <c r="G10" s="292">
        <f t="shared" si="2"/>
        <v>158901.75</v>
      </c>
      <c r="H10" s="292">
        <f t="shared" si="3"/>
        <v>7768.5300000000007</v>
      </c>
      <c r="I10" s="292">
        <f>'أخذ التمام الصباحي'!K8</f>
        <v>7419</v>
      </c>
      <c r="J10" s="292">
        <f t="shared" si="4"/>
        <v>57497.25</v>
      </c>
      <c r="K10" s="292">
        <f t="shared" si="5"/>
        <v>3338.55</v>
      </c>
      <c r="L10" s="2">
        <f>'أخذ التمام الصباحي'!N8</f>
        <v>3301</v>
      </c>
      <c r="M10" s="2">
        <f t="shared" ref="M10:M27" si="8">L10*5.5</f>
        <v>18155.5</v>
      </c>
      <c r="N10" s="2">
        <f>L10*0.26</f>
        <v>858.26</v>
      </c>
      <c r="O10" s="7">
        <f t="shared" ref="O10:O27" si="9">SUM(D10,G10,J10,M10)/100</f>
        <v>2495.09</v>
      </c>
      <c r="P10" s="10">
        <f>'أخذ التمام الصباحي'!Q8</f>
        <v>3166</v>
      </c>
      <c r="Q10" s="7">
        <f t="shared" si="0"/>
        <v>670.90999999999985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44723</v>
      </c>
      <c r="G11" s="292">
        <f t="shared" si="2"/>
        <v>301880.25</v>
      </c>
      <c r="H11" s="292">
        <f t="shared" si="3"/>
        <v>14758.59</v>
      </c>
      <c r="I11" s="292">
        <f>'أخذ التمام الصباحي'!K9</f>
        <v>13669</v>
      </c>
      <c r="J11" s="292">
        <f t="shared" si="4"/>
        <v>105934.75</v>
      </c>
      <c r="K11" s="292">
        <f t="shared" si="5"/>
        <v>6151.05</v>
      </c>
      <c r="L11" s="6"/>
      <c r="M11" s="6"/>
      <c r="N11" s="6"/>
      <c r="O11" s="7">
        <f t="shared" si="9"/>
        <v>4078.15</v>
      </c>
      <c r="P11" s="10">
        <f>'أخذ التمام الصباحي'!Q9</f>
        <v>3980</v>
      </c>
      <c r="Q11" s="7">
        <f t="shared" si="0"/>
        <v>-98.150000000000091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4294</v>
      </c>
      <c r="D12" s="5">
        <f t="shared" si="7"/>
        <v>23617</v>
      </c>
      <c r="E12" s="5">
        <f t="shared" si="10"/>
        <v>1073.5</v>
      </c>
      <c r="F12" s="292">
        <f>'أخذ التمام الصباحي'!H10</f>
        <v>25911</v>
      </c>
      <c r="G12" s="292">
        <f t="shared" si="2"/>
        <v>174899.25</v>
      </c>
      <c r="H12" s="292">
        <f t="shared" si="3"/>
        <v>8550.630000000001</v>
      </c>
      <c r="I12" s="6"/>
      <c r="J12" s="6"/>
      <c r="K12" s="6"/>
      <c r="L12" s="20">
        <f>'أخذ التمام الصباحي'!N10</f>
        <v>9202</v>
      </c>
      <c r="M12" s="2">
        <f t="shared" si="8"/>
        <v>50611</v>
      </c>
      <c r="N12" s="2">
        <f>L12*0.26</f>
        <v>2392.52</v>
      </c>
      <c r="O12" s="7">
        <f t="shared" si="9"/>
        <v>2491.2725</v>
      </c>
      <c r="P12" s="10">
        <f>'أخذ التمام الصباحي'!Q10</f>
        <v>2746</v>
      </c>
      <c r="Q12" s="7">
        <f t="shared" si="0"/>
        <v>254.72749999999996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8544</v>
      </c>
      <c r="D13" s="5">
        <f t="shared" si="7"/>
        <v>46992</v>
      </c>
      <c r="E13" s="5">
        <f t="shared" si="10"/>
        <v>2136</v>
      </c>
      <c r="F13" s="292">
        <f>'أخذ التمام الصباحي'!H11</f>
        <v>20026</v>
      </c>
      <c r="G13" s="292">
        <f t="shared" si="2"/>
        <v>135175.5</v>
      </c>
      <c r="H13" s="292">
        <f t="shared" si="3"/>
        <v>6608.58</v>
      </c>
      <c r="I13" s="6"/>
      <c r="J13" s="6"/>
      <c r="K13" s="6"/>
      <c r="L13" s="20">
        <f>'أخذ التمام الصباحي'!N11</f>
        <v>20466</v>
      </c>
      <c r="M13" s="2">
        <f t="shared" si="8"/>
        <v>112563</v>
      </c>
      <c r="N13" s="2">
        <f>L13*0.26</f>
        <v>5321.16</v>
      </c>
      <c r="O13" s="7">
        <f t="shared" si="9"/>
        <v>2947.3049999999998</v>
      </c>
      <c r="P13" s="10">
        <f>'أخذ التمام الصباحي'!Q11</f>
        <v>3200</v>
      </c>
      <c r="Q13" s="7">
        <f t="shared" si="0"/>
        <v>252.69500000000016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48431</v>
      </c>
      <c r="G14" s="292">
        <f t="shared" si="2"/>
        <v>326909.25</v>
      </c>
      <c r="H14" s="292">
        <f t="shared" si="3"/>
        <v>15982.230000000001</v>
      </c>
      <c r="I14" s="292">
        <f>'أخذ التمام الصباحي'!K12</f>
        <v>13419</v>
      </c>
      <c r="J14" s="292">
        <f t="shared" si="4"/>
        <v>103997.25</v>
      </c>
      <c r="K14" s="292">
        <f t="shared" si="5"/>
        <v>6038.55</v>
      </c>
      <c r="L14" s="6"/>
      <c r="M14" s="6"/>
      <c r="N14" s="6"/>
      <c r="O14" s="7">
        <f t="shared" si="9"/>
        <v>4309.0649999999996</v>
      </c>
      <c r="P14" s="10">
        <f>'أخذ التمام الصباحي'!Q12</f>
        <v>3760</v>
      </c>
      <c r="Q14" s="7">
        <f t="shared" si="0"/>
        <v>-549.0649999999996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41000</v>
      </c>
      <c r="G15" s="292">
        <f t="shared" si="2"/>
        <v>276750</v>
      </c>
      <c r="H15" s="292">
        <f t="shared" si="3"/>
        <v>13530</v>
      </c>
      <c r="I15" s="292">
        <f>'أخذ التمام الصباحي'!K13</f>
        <v>10500</v>
      </c>
      <c r="J15" s="292">
        <f t="shared" si="4"/>
        <v>81375</v>
      </c>
      <c r="K15" s="292">
        <f t="shared" si="5"/>
        <v>4725</v>
      </c>
      <c r="L15" s="20">
        <f>'أخذ التمام الصباحي'!N13</f>
        <v>32000</v>
      </c>
      <c r="M15" s="2">
        <f t="shared" si="8"/>
        <v>176000</v>
      </c>
      <c r="N15" s="2">
        <f>L15*0.26</f>
        <v>8320</v>
      </c>
      <c r="O15" s="7">
        <f t="shared" si="9"/>
        <v>5341.25</v>
      </c>
      <c r="P15" s="10">
        <f>'أخذ التمام الصباحي'!Q13</f>
        <v>0</v>
      </c>
      <c r="Q15" s="7">
        <f t="shared" si="0"/>
        <v>-5341.25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7948</v>
      </c>
      <c r="G16" s="292">
        <f t="shared" si="2"/>
        <v>53649</v>
      </c>
      <c r="H16" s="292">
        <f t="shared" si="3"/>
        <v>2622.84</v>
      </c>
      <c r="I16" s="292">
        <f>'أخذ التمام الصباحي'!K14</f>
        <v>3774</v>
      </c>
      <c r="J16" s="292">
        <f t="shared" si="4"/>
        <v>29248.5</v>
      </c>
      <c r="K16" s="292">
        <f t="shared" si="5"/>
        <v>1698.3</v>
      </c>
      <c r="L16" s="20">
        <f>'أخذ التمام الصباحي'!N14</f>
        <v>55279</v>
      </c>
      <c r="M16" s="2">
        <f t="shared" si="8"/>
        <v>304034.5</v>
      </c>
      <c r="N16" s="139">
        <f>L16*0.26</f>
        <v>14372.54</v>
      </c>
      <c r="O16" s="7">
        <f t="shared" si="9"/>
        <v>3869.32</v>
      </c>
      <c r="P16" s="10">
        <f>'أخذ التمام الصباحي'!Q14</f>
        <v>6012</v>
      </c>
      <c r="Q16" s="7">
        <f t="shared" si="0"/>
        <v>2142.6799999999998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10587</v>
      </c>
      <c r="G17" s="292">
        <f t="shared" si="2"/>
        <v>71462.25</v>
      </c>
      <c r="H17" s="292">
        <f t="shared" si="3"/>
        <v>3493.71</v>
      </c>
      <c r="I17" s="292">
        <f>'أخذ التمام الصباحي'!K15</f>
        <v>2836</v>
      </c>
      <c r="J17" s="292">
        <f t="shared" si="4"/>
        <v>21979</v>
      </c>
      <c r="K17" s="292">
        <f t="shared" si="5"/>
        <v>1276.2</v>
      </c>
      <c r="L17" s="20">
        <f>'أخذ التمام الصباحي'!N15</f>
        <v>4945</v>
      </c>
      <c r="M17" s="2">
        <f t="shared" si="8"/>
        <v>27197.5</v>
      </c>
      <c r="N17" s="139">
        <f>L17*0.26</f>
        <v>1285.7</v>
      </c>
      <c r="O17" s="7">
        <f t="shared" si="9"/>
        <v>1206.3875</v>
      </c>
      <c r="P17" s="10">
        <f>'أخذ التمام الصباحي'!Q15</f>
        <v>1532</v>
      </c>
      <c r="Q17" s="7">
        <f t="shared" si="0"/>
        <v>325.61249999999995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4179</v>
      </c>
      <c r="G18" s="292">
        <f t="shared" si="2"/>
        <v>28208.25</v>
      </c>
      <c r="H18" s="292">
        <f t="shared" si="3"/>
        <v>1379.0700000000002</v>
      </c>
      <c r="I18" s="292">
        <f>'أخذ التمام الصباحي'!K16</f>
        <v>1106</v>
      </c>
      <c r="J18" s="292">
        <f t="shared" si="4"/>
        <v>8571.5</v>
      </c>
      <c r="K18" s="292">
        <f t="shared" si="5"/>
        <v>497.7</v>
      </c>
      <c r="L18" s="6"/>
      <c r="M18" s="6"/>
      <c r="N18" s="6"/>
      <c r="O18" s="7">
        <f t="shared" si="9"/>
        <v>367.79750000000001</v>
      </c>
      <c r="P18" s="10">
        <f>'أخذ التمام الصباحي'!Q16</f>
        <v>468</v>
      </c>
      <c r="Q18" s="7">
        <f t="shared" si="0"/>
        <v>100.20249999999999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3731</v>
      </c>
      <c r="G19" s="292">
        <f t="shared" si="2"/>
        <v>25184.25</v>
      </c>
      <c r="H19" s="292">
        <f t="shared" si="3"/>
        <v>1231.23</v>
      </c>
      <c r="I19" s="292">
        <f>'أخذ التمام الصباحي'!K17</f>
        <v>1063</v>
      </c>
      <c r="J19" s="292">
        <f t="shared" si="4"/>
        <v>8238.25</v>
      </c>
      <c r="K19" s="292">
        <f t="shared" si="5"/>
        <v>478.35</v>
      </c>
      <c r="L19" s="20">
        <f>'أخذ التمام الصباحي'!N17</f>
        <v>7108</v>
      </c>
      <c r="M19" s="2">
        <f t="shared" si="8"/>
        <v>39094</v>
      </c>
      <c r="N19" s="2">
        <f>L19*0.26</f>
        <v>1848.0800000000002</v>
      </c>
      <c r="O19" s="7">
        <f t="shared" si="9"/>
        <v>725.16499999999996</v>
      </c>
      <c r="P19" s="10">
        <f>'أخذ التمام الصباحي'!Q17</f>
        <v>1338</v>
      </c>
      <c r="Q19" s="7">
        <f t="shared" si="0"/>
        <v>612.83500000000004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13424</v>
      </c>
      <c r="G20" s="292">
        <f t="shared" si="2"/>
        <v>90612</v>
      </c>
      <c r="H20" s="292">
        <f t="shared" si="3"/>
        <v>4429.92</v>
      </c>
      <c r="I20" s="292">
        <f>'أخذ التمام الصباحي'!K18</f>
        <v>6843</v>
      </c>
      <c r="J20" s="292">
        <f t="shared" si="4"/>
        <v>53033.25</v>
      </c>
      <c r="K20" s="292">
        <f t="shared" si="5"/>
        <v>3079.35</v>
      </c>
      <c r="L20" s="20">
        <f>'أخذ التمام الصباحي'!N18</f>
        <v>22980</v>
      </c>
      <c r="M20" s="2">
        <f t="shared" si="8"/>
        <v>126390</v>
      </c>
      <c r="N20" s="139">
        <f>L20*0.26</f>
        <v>5974.8</v>
      </c>
      <c r="O20" s="7">
        <f t="shared" si="9"/>
        <v>2700.3525</v>
      </c>
      <c r="P20" s="10">
        <f>'أخذ التمام الصباحي'!Q18</f>
        <v>4184</v>
      </c>
      <c r="Q20" s="7">
        <f t="shared" si="0"/>
        <v>1483.6475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8741</v>
      </c>
      <c r="G21" s="292">
        <f t="shared" si="2"/>
        <v>59001.75</v>
      </c>
      <c r="H21" s="292">
        <f t="shared" si="3"/>
        <v>2884.53</v>
      </c>
      <c r="I21" s="292">
        <f>'أخذ التمام الصباحي'!K19</f>
        <v>1232</v>
      </c>
      <c r="J21" s="292">
        <f t="shared" si="4"/>
        <v>9548</v>
      </c>
      <c r="K21" s="292">
        <f t="shared" si="5"/>
        <v>554.4</v>
      </c>
      <c r="L21" s="6"/>
      <c r="M21" s="6"/>
      <c r="N21" s="6"/>
      <c r="O21" s="7">
        <f t="shared" si="9"/>
        <v>685.49749999999995</v>
      </c>
      <c r="P21" s="10">
        <f>'أخذ التمام الصباحي'!Q19</f>
        <v>740</v>
      </c>
      <c r="Q21" s="7">
        <f t="shared" si="0"/>
        <v>54.502500000000055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284</v>
      </c>
      <c r="D22" s="5">
        <f t="shared" si="7"/>
        <v>1562</v>
      </c>
      <c r="E22" s="5">
        <f>C22*0.25</f>
        <v>71</v>
      </c>
      <c r="F22" s="292">
        <f>'أخذ التمام الصباحي'!H20</f>
        <v>2211</v>
      </c>
      <c r="G22" s="292">
        <f t="shared" si="2"/>
        <v>14924.25</v>
      </c>
      <c r="H22" s="292">
        <f t="shared" si="3"/>
        <v>729.63</v>
      </c>
      <c r="I22" s="6"/>
      <c r="J22" s="6"/>
      <c r="K22" s="6"/>
      <c r="L22" s="20">
        <f>'أخذ التمام الصباحي'!N20</f>
        <v>9159</v>
      </c>
      <c r="M22" s="2">
        <f t="shared" si="8"/>
        <v>50374.5</v>
      </c>
      <c r="N22" s="2">
        <f t="shared" ref="N22:N27" si="11">L22*0.26</f>
        <v>2381.34</v>
      </c>
      <c r="O22" s="7">
        <f t="shared" si="9"/>
        <v>668.60749999999996</v>
      </c>
      <c r="P22" s="10">
        <f>'أخذ التمام الصباحي'!Q20</f>
        <v>640</v>
      </c>
      <c r="Q22" s="7">
        <f t="shared" si="0"/>
        <v>-28.607499999999959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4139</v>
      </c>
      <c r="G23" s="292">
        <f t="shared" si="2"/>
        <v>27938.25</v>
      </c>
      <c r="H23" s="292">
        <f t="shared" si="3"/>
        <v>1365.8700000000001</v>
      </c>
      <c r="I23" s="6"/>
      <c r="J23" s="6"/>
      <c r="K23" s="6"/>
      <c r="L23" s="20">
        <f>'أخذ التمام الصباحي'!N21</f>
        <v>5241</v>
      </c>
      <c r="M23" s="2">
        <f t="shared" si="8"/>
        <v>28825.5</v>
      </c>
      <c r="N23" s="183">
        <f t="shared" si="11"/>
        <v>1362.66</v>
      </c>
      <c r="O23" s="7">
        <f t="shared" si="9"/>
        <v>567.63750000000005</v>
      </c>
      <c r="P23" s="10">
        <f>'أخذ التمام الصباحي'!Q21</f>
        <v>660</v>
      </c>
      <c r="Q23" s="7">
        <f t="shared" si="0"/>
        <v>92.362499999999955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14471</v>
      </c>
      <c r="G24" s="292">
        <f t="shared" si="2"/>
        <v>97679.25</v>
      </c>
      <c r="H24" s="292">
        <f t="shared" si="3"/>
        <v>4775.43</v>
      </c>
      <c r="I24" s="292">
        <f>'أخذ التمام الصباحي'!K22</f>
        <v>2533</v>
      </c>
      <c r="J24" s="292">
        <f t="shared" si="4"/>
        <v>19630.75</v>
      </c>
      <c r="K24" s="292">
        <f t="shared" si="5"/>
        <v>1139.8500000000001</v>
      </c>
      <c r="L24" s="20">
        <f>'أخذ التمام الصباحي'!N22</f>
        <v>53243</v>
      </c>
      <c r="M24" s="2">
        <f t="shared" si="8"/>
        <v>292836.5</v>
      </c>
      <c r="N24" s="183">
        <f t="shared" si="11"/>
        <v>13843.18</v>
      </c>
      <c r="O24" s="7">
        <f t="shared" si="9"/>
        <v>4101.4650000000001</v>
      </c>
      <c r="P24" s="10">
        <f>'أخذ التمام الصباحي'!Q22</f>
        <v>5633</v>
      </c>
      <c r="Q24" s="7">
        <f t="shared" si="0"/>
        <v>1531.5349999999999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18801</v>
      </c>
      <c r="G25" s="292">
        <f t="shared" si="2"/>
        <v>126906.75</v>
      </c>
      <c r="H25" s="292">
        <f t="shared" si="3"/>
        <v>6204.33</v>
      </c>
      <c r="I25" s="292">
        <f>'أخذ التمام الصباحي'!K23</f>
        <v>3582</v>
      </c>
      <c r="J25" s="292">
        <f t="shared" si="4"/>
        <v>27760.5</v>
      </c>
      <c r="K25" s="292">
        <f t="shared" si="5"/>
        <v>1611.9</v>
      </c>
      <c r="L25" s="20">
        <f>'أخذ التمام الصباحي'!N23</f>
        <v>55965</v>
      </c>
      <c r="M25" s="2">
        <f t="shared" si="8"/>
        <v>307807.5</v>
      </c>
      <c r="N25" s="183">
        <f t="shared" si="11"/>
        <v>14550.9</v>
      </c>
      <c r="O25" s="7">
        <f t="shared" si="9"/>
        <v>4624.7475000000004</v>
      </c>
      <c r="P25" s="10">
        <f>'أخذ التمام الصباحي'!Q23</f>
        <v>6210</v>
      </c>
      <c r="Q25" s="7">
        <f t="shared" si="0"/>
        <v>1585.2524999999996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12346</v>
      </c>
      <c r="G26" s="292">
        <f t="shared" si="2"/>
        <v>83335.5</v>
      </c>
      <c r="H26" s="292">
        <f t="shared" si="3"/>
        <v>4074.1800000000003</v>
      </c>
      <c r="I26" s="292">
        <f>'أخذ التمام الصباحي'!K24</f>
        <v>1754</v>
      </c>
      <c r="J26" s="292">
        <f t="shared" si="4"/>
        <v>13593.5</v>
      </c>
      <c r="K26" s="292">
        <f t="shared" si="5"/>
        <v>789.30000000000007</v>
      </c>
      <c r="L26" s="20">
        <f>'أخذ التمام الصباحي'!N24</f>
        <v>27927</v>
      </c>
      <c r="M26" s="2">
        <f t="shared" si="8"/>
        <v>153598.5</v>
      </c>
      <c r="N26" s="183">
        <f t="shared" si="11"/>
        <v>7261.02</v>
      </c>
      <c r="O26" s="7">
        <f t="shared" si="9"/>
        <v>2505.2750000000001</v>
      </c>
      <c r="P26" s="10">
        <f>'أخذ التمام الصباحي'!Q24</f>
        <v>3100</v>
      </c>
      <c r="Q26" s="7">
        <f t="shared" si="0"/>
        <v>594.72499999999991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8183</v>
      </c>
      <c r="G27" s="292">
        <f t="shared" si="2"/>
        <v>55235.25</v>
      </c>
      <c r="H27" s="292">
        <f t="shared" si="3"/>
        <v>2700.3900000000003</v>
      </c>
      <c r="I27" s="292">
        <f>'أخذ التمام الصباحي'!K25</f>
        <v>1954</v>
      </c>
      <c r="J27" s="292">
        <f t="shared" si="4"/>
        <v>15143.5</v>
      </c>
      <c r="K27" s="292">
        <f t="shared" si="5"/>
        <v>879.30000000000007</v>
      </c>
      <c r="L27" s="20">
        <f>'أخذ التمام الصباحي'!N25</f>
        <v>28779</v>
      </c>
      <c r="M27" s="2">
        <f t="shared" si="8"/>
        <v>158284.5</v>
      </c>
      <c r="N27" s="183">
        <f t="shared" si="11"/>
        <v>7482.54</v>
      </c>
      <c r="O27" s="7">
        <f t="shared" si="9"/>
        <v>2286.6325000000002</v>
      </c>
      <c r="P27" s="10">
        <f>'أخذ التمام الصباحي'!Q25</f>
        <v>3230</v>
      </c>
      <c r="Q27" s="7">
        <f t="shared" si="0"/>
        <v>943.36749999999984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3955</v>
      </c>
      <c r="D28" s="5">
        <f t="shared" ref="D28" si="12">C28*5.5</f>
        <v>21752.5</v>
      </c>
      <c r="E28" s="5">
        <f t="shared" ref="E28" si="13">C28*0.25</f>
        <v>988.75</v>
      </c>
      <c r="F28" s="301">
        <f>'أخذ التمام الصباحي'!H26</f>
        <v>9524</v>
      </c>
      <c r="G28" s="301">
        <f t="shared" ref="G28" si="14">F28*6.75</f>
        <v>64287</v>
      </c>
      <c r="H28" s="301">
        <f t="shared" ref="H28" si="15">F28*0.33</f>
        <v>3142.92</v>
      </c>
      <c r="I28" s="301">
        <f>'أخذ التمام الصباحي'!K26</f>
        <v>1630</v>
      </c>
      <c r="J28" s="301">
        <f t="shared" ref="J28" si="16">I28*7.75</f>
        <v>12632.5</v>
      </c>
      <c r="K28" s="301">
        <f t="shared" ref="K28" si="17">I28*0.45</f>
        <v>733.5</v>
      </c>
      <c r="L28" s="301">
        <f>'أخذ التمام الصباحي'!N26</f>
        <v>16526</v>
      </c>
      <c r="M28" s="301">
        <f t="shared" ref="M28" si="18">L28*5.5</f>
        <v>90893</v>
      </c>
      <c r="N28" s="301">
        <f t="shared" ref="N28" si="19">L28*0.26</f>
        <v>4296.76</v>
      </c>
      <c r="O28" s="7">
        <f t="shared" ref="O28" si="20">SUM(D28,G28,J28,M28)/100</f>
        <v>1895.65</v>
      </c>
      <c r="P28" s="10">
        <f>'أخذ التمام الصباحي'!Q26</f>
        <v>1380</v>
      </c>
      <c r="Q28" s="7">
        <f t="shared" ref="Q28" si="21">P28-O28</f>
        <v>-515.65000000000009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5923</v>
      </c>
      <c r="G29" s="321">
        <f t="shared" ref="G29:G33" si="24">F29*6.75</f>
        <v>39980.25</v>
      </c>
      <c r="H29" s="321">
        <f t="shared" ref="H29:H33" si="25">F29*0.33</f>
        <v>1954.5900000000001</v>
      </c>
      <c r="I29" s="5">
        <f>'أخذ التمام الصباحي'!K27</f>
        <v>1475</v>
      </c>
      <c r="J29" s="321">
        <f t="shared" ref="J29:J33" si="26">I29*7.75</f>
        <v>11431.25</v>
      </c>
      <c r="K29" s="321">
        <f t="shared" ref="K29:K33" si="27">I29*0.45</f>
        <v>663.75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514.11500000000001</v>
      </c>
      <c r="P29" s="10">
        <f>'أخذ التمام الصباحي'!Q27</f>
        <v>500</v>
      </c>
      <c r="Q29" s="7">
        <f t="shared" ref="Q29:Q33" si="31">P29-O29</f>
        <v>-14.115000000000009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30467</v>
      </c>
      <c r="G30" s="321">
        <f t="shared" si="24"/>
        <v>205652.25</v>
      </c>
      <c r="H30" s="321">
        <f t="shared" si="25"/>
        <v>10054.11</v>
      </c>
      <c r="I30" s="5">
        <f>'أخذ التمام الصباحي'!K28</f>
        <v>10127</v>
      </c>
      <c r="J30" s="321">
        <f t="shared" si="26"/>
        <v>78484.25</v>
      </c>
      <c r="K30" s="321">
        <f t="shared" si="27"/>
        <v>4557.1500000000005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2841.3649999999998</v>
      </c>
      <c r="P30" s="10">
        <f>'أخذ التمام الصباحي'!Q28</f>
        <v>1480</v>
      </c>
      <c r="Q30" s="7">
        <f t="shared" si="31"/>
        <v>-1361.3649999999998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31667</v>
      </c>
      <c r="G31" s="321">
        <f t="shared" si="24"/>
        <v>213752.25</v>
      </c>
      <c r="H31" s="321">
        <f t="shared" si="25"/>
        <v>10450.11</v>
      </c>
      <c r="I31" s="5">
        <f>'أخذ التمام الصباحي'!K29</f>
        <v>9988</v>
      </c>
      <c r="J31" s="321">
        <f t="shared" si="26"/>
        <v>77407</v>
      </c>
      <c r="K31" s="321">
        <f t="shared" si="27"/>
        <v>4494.6000000000004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2911.5925000000002</v>
      </c>
      <c r="P31" s="10">
        <f>'أخذ التمام الصباحي'!Q29</f>
        <v>3500</v>
      </c>
      <c r="Q31" s="7">
        <f t="shared" si="31"/>
        <v>588.4074999999998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36715</v>
      </c>
      <c r="G32" s="321">
        <f t="shared" si="24"/>
        <v>247826.25</v>
      </c>
      <c r="H32" s="321">
        <f t="shared" si="25"/>
        <v>12115.95</v>
      </c>
      <c r="I32" s="5">
        <f>'أخذ التمام الصباحي'!K30</f>
        <v>9999</v>
      </c>
      <c r="J32" s="321">
        <f t="shared" si="26"/>
        <v>77492.25</v>
      </c>
      <c r="K32" s="321">
        <f t="shared" si="27"/>
        <v>4499.55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3253.1849999999999</v>
      </c>
      <c r="P32" s="10">
        <f>'أخذ التمام الصباحي'!Q30</f>
        <v>495</v>
      </c>
      <c r="Q32" s="7">
        <f t="shared" si="31"/>
        <v>-2758.1849999999999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64320</v>
      </c>
      <c r="G33" s="321">
        <f t="shared" si="24"/>
        <v>434160</v>
      </c>
      <c r="H33" s="321">
        <f t="shared" si="25"/>
        <v>21225.600000000002</v>
      </c>
      <c r="I33" s="5">
        <f>'أخذ التمام الصباحي'!K31</f>
        <v>15784</v>
      </c>
      <c r="J33" s="321">
        <f t="shared" si="26"/>
        <v>122326</v>
      </c>
      <c r="K33" s="321">
        <f t="shared" si="27"/>
        <v>7102.8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5564.86</v>
      </c>
      <c r="P33" s="10">
        <f>'أخذ التمام الصباحي'!Q31</f>
        <v>6600</v>
      </c>
      <c r="Q33" s="7">
        <f t="shared" si="31"/>
        <v>1035.1400000000003</v>
      </c>
    </row>
    <row r="34" spans="1:17" ht="25.5" customHeight="1" thickBot="1" x14ac:dyDescent="0.25">
      <c r="A34" s="358">
        <v>28</v>
      </c>
      <c r="B34" s="319" t="s">
        <v>195</v>
      </c>
      <c r="C34" s="5">
        <f>'أخذ التمام الصباحي'!E32</f>
        <v>0</v>
      </c>
      <c r="D34" s="5">
        <f t="shared" ref="D34:D37" si="32">C34*5.5</f>
        <v>0</v>
      </c>
      <c r="E34" s="5">
        <f t="shared" ref="E34:E37" si="33">C34*0.25</f>
        <v>0</v>
      </c>
      <c r="F34" s="5">
        <f>'أخذ التمام الصباحي'!H32</f>
        <v>0</v>
      </c>
      <c r="G34" s="361">
        <f t="shared" ref="G34:G37" si="34">F34*6.75</f>
        <v>0</v>
      </c>
      <c r="H34" s="361">
        <f t="shared" ref="H34:H37" si="35">F34*0.33</f>
        <v>0</v>
      </c>
      <c r="I34" s="5">
        <f>'أخذ التمام الصباحي'!K32</f>
        <v>0</v>
      </c>
      <c r="J34" s="361">
        <f t="shared" ref="J34:J37" si="36">I34*7.75</f>
        <v>0</v>
      </c>
      <c r="K34" s="361">
        <f t="shared" ref="K34:K37" si="37">I34*0.45</f>
        <v>0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0</v>
      </c>
      <c r="P34" s="10">
        <f>'أخذ التمام الصباحي'!Q32</f>
        <v>0</v>
      </c>
      <c r="Q34" s="7">
        <f t="shared" ref="Q34:Q37" si="41">P34-O34</f>
        <v>0</v>
      </c>
    </row>
    <row r="35" spans="1:17" ht="25.5" customHeight="1" thickBot="1" x14ac:dyDescent="0.25">
      <c r="A35" s="358">
        <v>29</v>
      </c>
      <c r="B35" s="319" t="s">
        <v>196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197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198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390" t="s">
        <v>34</v>
      </c>
      <c r="B38" s="390"/>
      <c r="C38" s="43">
        <f>SUM(C7:C37)</f>
        <v>61059</v>
      </c>
      <c r="D38" s="43">
        <f t="shared" ref="D38:Q38" si="42">SUM(D7:D37)</f>
        <v>335824.5</v>
      </c>
      <c r="E38" s="43">
        <f t="shared" si="42"/>
        <v>15264.75</v>
      </c>
      <c r="F38" s="43">
        <f t="shared" si="42"/>
        <v>572121</v>
      </c>
      <c r="G38" s="43">
        <f t="shared" si="42"/>
        <v>3861816.75</v>
      </c>
      <c r="H38" s="43">
        <f t="shared" si="42"/>
        <v>188799.93000000002</v>
      </c>
      <c r="I38" s="43">
        <f t="shared" si="42"/>
        <v>142392</v>
      </c>
      <c r="J38" s="43">
        <f t="shared" si="42"/>
        <v>1103538</v>
      </c>
      <c r="K38" s="43">
        <f t="shared" si="42"/>
        <v>64076.4</v>
      </c>
      <c r="L38" s="43">
        <f t="shared" si="42"/>
        <v>352121</v>
      </c>
      <c r="M38" s="43">
        <f t="shared" si="42"/>
        <v>1936665.5</v>
      </c>
      <c r="N38" s="43">
        <f t="shared" si="42"/>
        <v>91551.46</v>
      </c>
      <c r="O38" s="43">
        <f t="shared" si="42"/>
        <v>72378.447499999995</v>
      </c>
      <c r="P38" s="43">
        <f t="shared" si="42"/>
        <v>73205</v>
      </c>
      <c r="Q38" s="43">
        <f t="shared" si="42"/>
        <v>826.55249999999887</v>
      </c>
    </row>
    <row r="39" spans="1:17" ht="32.25" customHeight="1" thickBot="1" x14ac:dyDescent="0.25">
      <c r="A39" s="383" t="s">
        <v>75</v>
      </c>
      <c r="B39" s="383"/>
      <c r="C39" s="394">
        <f>C38+F38+I38+L38</f>
        <v>1127693</v>
      </c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5"/>
      <c r="P39" s="395"/>
      <c r="Q39" s="396"/>
    </row>
    <row r="40" spans="1:17" ht="30.75" customHeight="1" thickBot="1" x14ac:dyDescent="0.25">
      <c r="A40" s="383" t="s">
        <v>47</v>
      </c>
      <c r="B40" s="383"/>
      <c r="C40" s="397">
        <f>D38+G38+J38+M38</f>
        <v>7237844.75</v>
      </c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9"/>
    </row>
    <row r="41" spans="1:17" ht="30.75" customHeight="1" thickBot="1" x14ac:dyDescent="0.25">
      <c r="A41" s="383" t="s">
        <v>48</v>
      </c>
      <c r="B41" s="383"/>
      <c r="C41" s="385">
        <f>E38+H38+K38+N38</f>
        <v>359692.54000000004</v>
      </c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6"/>
      <c r="P41" s="386"/>
      <c r="Q41" s="387"/>
    </row>
  </sheetData>
  <customSheetViews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1"/>
    </customSheetView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2"/>
    </customSheetView>
  </customSheetViews>
  <mergeCells count="21">
    <mergeCell ref="L5:N5"/>
    <mergeCell ref="C39:Q39"/>
    <mergeCell ref="C40:Q40"/>
    <mergeCell ref="O5:P5"/>
    <mergeCell ref="F4:M4"/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13" t="s">
        <v>108</v>
      </c>
      <c r="C2" s="513"/>
      <c r="D2" s="513"/>
      <c r="E2" s="513"/>
    </row>
    <row r="3" spans="1:13" ht="15" thickBot="1" x14ac:dyDescent="0.25"/>
    <row r="4" spans="1:13" ht="15.75" thickBot="1" x14ac:dyDescent="0.25">
      <c r="A4" s="447" t="s">
        <v>3</v>
      </c>
      <c r="B4" s="400" t="s">
        <v>165</v>
      </c>
      <c r="C4" s="515"/>
      <c r="D4" s="515"/>
      <c r="E4" s="515"/>
      <c r="F4" s="401"/>
    </row>
    <row r="5" spans="1:13" ht="15.75" thickBot="1" x14ac:dyDescent="0.25">
      <c r="A5" s="448"/>
      <c r="B5" s="400" t="s">
        <v>83</v>
      </c>
      <c r="C5" s="515"/>
      <c r="D5" s="514" t="s">
        <v>81</v>
      </c>
      <c r="E5" s="516"/>
      <c r="F5" s="308" t="s">
        <v>107</v>
      </c>
      <c r="I5" s="447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449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449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34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17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17</v>
      </c>
      <c r="M8" s="41">
        <f>'خطة الإمداد'!O49</f>
        <v>102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0</v>
      </c>
      <c r="I9" s="310" t="s">
        <v>32</v>
      </c>
      <c r="J9" s="41">
        <f>'خطة الإمداد'!L50</f>
        <v>0</v>
      </c>
      <c r="K9" s="41">
        <f>'خطة الإمداد'!M50</f>
        <v>51</v>
      </c>
      <c r="L9" s="41">
        <f>'خطة الإمداد'!N50</f>
        <v>0</v>
      </c>
      <c r="M9" s="41">
        <f>'خطة الإمداد'!O50</f>
        <v>85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22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21"/>
      <c r="C16" s="52" t="s">
        <v>93</v>
      </c>
      <c r="D16" s="53">
        <f>[1]التعاون.ملخص!$D$10</f>
        <v>0</v>
      </c>
    </row>
    <row r="17" spans="2:4" ht="16.5" thickBot="1" x14ac:dyDescent="0.25">
      <c r="B17" s="522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21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32" t="str">
        <f>'منطقة القاهرة'!A4</f>
        <v>المحطة</v>
      </c>
      <c r="B1" s="392" t="str">
        <f>'منطقة القاهرة'!B4</f>
        <v xml:space="preserve">الهايكستب </v>
      </c>
      <c r="C1" s="392">
        <f>'منطقة القاهرة'!C4</f>
        <v>0</v>
      </c>
      <c r="D1" s="433">
        <f>'منطقة القاهرة'!D4</f>
        <v>0</v>
      </c>
      <c r="E1" s="514" t="str">
        <f>'منطقة القاهرة'!E4</f>
        <v>مسطرد</v>
      </c>
      <c r="F1" s="515">
        <f>'منطقة القاهرة'!F4</f>
        <v>0</v>
      </c>
      <c r="G1" s="515">
        <f>'منطقة القاهرة'!G4</f>
        <v>0</v>
      </c>
      <c r="H1" s="401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32">
        <f>'منطقة القاهرة'!A5</f>
        <v>0</v>
      </c>
      <c r="B2" s="400" t="str">
        <f>'منطقة القاهرة'!B5</f>
        <v>تعاون</v>
      </c>
      <c r="C2" s="515">
        <f>'منطقة القاهرة'!C5</f>
        <v>0</v>
      </c>
      <c r="D2" s="516">
        <f>'منطقة القاهرة'!D5</f>
        <v>0</v>
      </c>
      <c r="E2" s="269" t="str">
        <f>'منطقة القاهرة'!E5</f>
        <v>تعاون</v>
      </c>
      <c r="F2" s="400" t="str">
        <f>'منطقة القاهرة'!F5</f>
        <v>موبيل</v>
      </c>
      <c r="G2" s="515">
        <f>'منطقة القاهرة'!G5</f>
        <v>0</v>
      </c>
      <c r="H2" s="401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1409</v>
      </c>
    </row>
    <row r="3" spans="1:13" ht="16.5" thickBot="1" x14ac:dyDescent="0.3">
      <c r="A3" s="432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928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2827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22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1939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51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21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17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22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32" t="str">
        <f>'منطقة السويس'!A4</f>
        <v>المحطة</v>
      </c>
      <c r="B13" s="400" t="str">
        <f>'منطقة السويس'!B4</f>
        <v>السويس</v>
      </c>
      <c r="C13" s="515">
        <f>'منطقة السويس'!C4</f>
        <v>0</v>
      </c>
      <c r="D13" s="515">
        <f>'منطقة السويس'!D4</f>
        <v>0</v>
      </c>
      <c r="E13" s="515">
        <f>'منطقة السويس'!E4</f>
        <v>0</v>
      </c>
      <c r="F13" s="515">
        <f>'منطقة السويس'!F4</f>
        <v>0</v>
      </c>
      <c r="G13" s="515">
        <f>'منطقة السويس'!G4</f>
        <v>0</v>
      </c>
      <c r="H13" s="401">
        <f>'منطقة السويس'!H4</f>
        <v>0</v>
      </c>
      <c r="I13" s="276" t="s">
        <v>119</v>
      </c>
      <c r="K13" s="523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32">
        <f>'منطقة السويس'!A5</f>
        <v>0</v>
      </c>
      <c r="B14" s="120" t="str">
        <f>'منطقة السويس'!B5</f>
        <v>تعاون</v>
      </c>
      <c r="C14" s="517" t="str">
        <f>'منطقة السويس'!C5</f>
        <v>موبيل</v>
      </c>
      <c r="D14" s="486">
        <f>'منطقة السويس'!D5</f>
        <v>0</v>
      </c>
      <c r="E14" s="518">
        <f>'منطقة السويس'!E5</f>
        <v>0</v>
      </c>
      <c r="F14" s="486" t="str">
        <f>'منطقة السويس'!F5</f>
        <v>مصر</v>
      </c>
      <c r="G14" s="486">
        <f>'منطقة السويس'!G5</f>
        <v>0</v>
      </c>
      <c r="H14" s="487">
        <f>'منطقة السويس'!H5</f>
        <v>0</v>
      </c>
      <c r="I14" s="275" t="s">
        <v>83</v>
      </c>
      <c r="K14" s="523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32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20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19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102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20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19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21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24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32" t="str">
        <f>'منطقة الاسكندرية'!A4</f>
        <v>المحطة</v>
      </c>
      <c r="B22" s="400" t="str">
        <f>'منطقة الاسكندرية'!B4</f>
        <v>الماكس</v>
      </c>
      <c r="C22" s="515">
        <f>'منطقة الاسكندرية'!C4</f>
        <v>0</v>
      </c>
      <c r="D22" s="515">
        <f>'منطقة الاسكندرية'!D4</f>
        <v>0</v>
      </c>
      <c r="E22" s="515">
        <f>'منطقة الاسكندرية'!E4</f>
        <v>0</v>
      </c>
      <c r="F22" s="515">
        <f>'منطقة الاسكندرية'!F4</f>
        <v>0</v>
      </c>
      <c r="G22" s="515">
        <f>'منطقة الاسكندرية'!G4</f>
        <v>0</v>
      </c>
      <c r="H22" s="515">
        <f>'منطقة الاسكندرية'!H4</f>
        <v>0</v>
      </c>
      <c r="I22" s="401">
        <f>'منطقة الاسكندرية'!I4</f>
        <v>0</v>
      </c>
      <c r="K22" s="525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149</v>
      </c>
    </row>
    <row r="23" spans="1:13" ht="16.5" thickBot="1" x14ac:dyDescent="0.3">
      <c r="A23" s="432">
        <f>'منطقة الاسكندرية'!A5</f>
        <v>0</v>
      </c>
      <c r="B23" s="488" t="str">
        <f>'منطقة الاسكندرية'!B5</f>
        <v>تعاون</v>
      </c>
      <c r="C23" s="488">
        <f>'منطقة الاسكندرية'!C5</f>
        <v>0</v>
      </c>
      <c r="D23" s="508">
        <f>'منطقة الاسكندرية'!D5</f>
        <v>0</v>
      </c>
      <c r="E23" s="527" t="str">
        <f>'منطقة الاسكندرية'!E5</f>
        <v>مصر</v>
      </c>
      <c r="F23" s="528">
        <f>'منطقة الاسكندرية'!F5</f>
        <v>0</v>
      </c>
      <c r="G23" s="509" t="str">
        <f>'منطقة الاسكندرية'!G5</f>
        <v>موبيل</v>
      </c>
      <c r="H23" s="488">
        <f>'منطقة الاسكندرية'!H5</f>
        <v>0</v>
      </c>
      <c r="I23" s="488">
        <f>'منطقة الاسكندرية'!I5</f>
        <v>0</v>
      </c>
      <c r="K23" s="526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32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83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0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24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25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215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26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29"/>
      <c r="D30" s="529"/>
    </row>
    <row r="31" spans="1:13" ht="16.5" thickBot="1" x14ac:dyDescent="0.3">
      <c r="A31" s="447" t="str">
        <f>'منطقة طنطا'!A4</f>
        <v>المحطة</v>
      </c>
      <c r="B31" s="400" t="str">
        <f>'منطقة طنطا'!B4</f>
        <v>طنطا</v>
      </c>
      <c r="C31" s="515">
        <f>'منطقة طنطا'!C4</f>
        <v>0</v>
      </c>
      <c r="D31" s="515">
        <f>'منطقة طنطا'!D4</f>
        <v>0</v>
      </c>
      <c r="E31" s="515">
        <f>'منطقة طنطا'!E4</f>
        <v>0</v>
      </c>
      <c r="F31" s="401">
        <f>'منطقة طنطا'!F4</f>
        <v>0</v>
      </c>
      <c r="H31" s="78"/>
      <c r="I31" s="78"/>
      <c r="J31" s="78"/>
      <c r="K31" s="522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448">
        <f>'منطقة طنطا'!A5</f>
        <v>0</v>
      </c>
      <c r="B32" s="400" t="str">
        <f>'منطقة طنطا'!B5</f>
        <v>مصر</v>
      </c>
      <c r="C32" s="515">
        <f>'منطقة طنطا'!C5</f>
        <v>0</v>
      </c>
      <c r="D32" s="514" t="str">
        <f>'منطقة طنطا'!D5</f>
        <v>تعاون</v>
      </c>
      <c r="E32" s="516">
        <f>'منطقة طنطا'!E5</f>
        <v>0</v>
      </c>
      <c r="F32" s="266" t="str">
        <f>'منطقة طنطا'!F5</f>
        <v>تعاون هايكستب</v>
      </c>
      <c r="K32" s="521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449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22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21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17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0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C30:D30"/>
    <mergeCell ref="K6:K7"/>
    <mergeCell ref="K12:K15"/>
    <mergeCell ref="K16:K17"/>
    <mergeCell ref="K18:K19"/>
    <mergeCell ref="K21:K23"/>
    <mergeCell ref="K26:K28"/>
    <mergeCell ref="A22:A24"/>
    <mergeCell ref="B22:I22"/>
    <mergeCell ref="B23:D23"/>
    <mergeCell ref="E23:F23"/>
    <mergeCell ref="G23:I23"/>
    <mergeCell ref="A31:A33"/>
    <mergeCell ref="B31:F31"/>
    <mergeCell ref="B32:C32"/>
    <mergeCell ref="D32:E32"/>
    <mergeCell ref="K31:K32"/>
    <mergeCell ref="K33:K34"/>
    <mergeCell ref="A13:A15"/>
    <mergeCell ref="B13:H13"/>
    <mergeCell ref="C14:E14"/>
    <mergeCell ref="F14:H14"/>
    <mergeCell ref="A1:A3"/>
    <mergeCell ref="B1:D1"/>
    <mergeCell ref="E1:H1"/>
    <mergeCell ref="B2:D2"/>
    <mergeCell ref="F2:H2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17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0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29" t="s">
        <v>0</v>
      </c>
      <c r="B1" s="429"/>
      <c r="C1" s="429"/>
      <c r="D1" s="429"/>
      <c r="O1" s="428"/>
      <c r="P1" s="428"/>
    </row>
    <row r="2" spans="1:17" ht="15" x14ac:dyDescent="0.2">
      <c r="A2" s="429" t="s">
        <v>1</v>
      </c>
      <c r="B2" s="429"/>
      <c r="C2" s="429"/>
      <c r="D2" s="429"/>
    </row>
    <row r="3" spans="1:17" ht="15" x14ac:dyDescent="0.2">
      <c r="A3" s="429" t="s">
        <v>2</v>
      </c>
      <c r="B3" s="429"/>
      <c r="C3" s="429"/>
      <c r="D3" s="429"/>
    </row>
    <row r="4" spans="1:17" ht="15" x14ac:dyDescent="0.2">
      <c r="A4" s="429" t="s">
        <v>53</v>
      </c>
      <c r="B4" s="429"/>
      <c r="C4" s="429"/>
      <c r="D4" s="429"/>
    </row>
    <row r="5" spans="1:17" ht="15" x14ac:dyDescent="0.2">
      <c r="A5" s="430" t="s">
        <v>194</v>
      </c>
      <c r="B5" s="430"/>
      <c r="C5" s="430"/>
      <c r="D5" s="430"/>
    </row>
    <row r="6" spans="1:17" ht="24" thickBot="1" x14ac:dyDescent="0.25">
      <c r="H6" s="424" t="s">
        <v>54</v>
      </c>
      <c r="I6" s="424"/>
      <c r="J6" s="424"/>
      <c r="K6" s="424"/>
    </row>
    <row r="7" spans="1:17" ht="20.25" customHeight="1" thickBot="1" x14ac:dyDescent="0.25">
      <c r="B7" s="407" t="s">
        <v>55</v>
      </c>
      <c r="C7" s="420"/>
      <c r="D7" s="420"/>
      <c r="E7" s="408"/>
      <c r="F7" s="17"/>
      <c r="G7" s="17"/>
      <c r="H7" s="17"/>
      <c r="I7" s="17"/>
      <c r="J7" s="17"/>
      <c r="K7" s="17"/>
      <c r="L7" s="17"/>
      <c r="M7" s="17"/>
      <c r="N7" s="17"/>
      <c r="O7" s="17"/>
      <c r="P7" s="407" t="s">
        <v>51</v>
      </c>
      <c r="Q7" s="408"/>
    </row>
    <row r="8" spans="1:17" ht="13.5" thickBot="1" x14ac:dyDescent="0.25">
      <c r="B8" s="425" t="s">
        <v>52</v>
      </c>
      <c r="C8" s="431" t="s">
        <v>5</v>
      </c>
      <c r="D8" s="431"/>
      <c r="E8" s="431"/>
      <c r="F8" s="431" t="s">
        <v>11</v>
      </c>
      <c r="G8" s="431"/>
      <c r="H8" s="431"/>
      <c r="I8" s="431" t="s">
        <v>12</v>
      </c>
      <c r="J8" s="431"/>
      <c r="K8" s="431"/>
      <c r="L8" s="431" t="s">
        <v>50</v>
      </c>
      <c r="M8" s="431"/>
      <c r="N8" s="431"/>
      <c r="O8" s="431" t="s">
        <v>56</v>
      </c>
      <c r="P8" s="431"/>
      <c r="Q8" s="431"/>
    </row>
    <row r="9" spans="1:17" ht="13.5" thickBot="1" x14ac:dyDescent="0.25">
      <c r="B9" s="425"/>
      <c r="C9" s="431"/>
      <c r="D9" s="431"/>
      <c r="E9" s="431"/>
      <c r="F9" s="431"/>
      <c r="G9" s="431"/>
      <c r="H9" s="431"/>
      <c r="I9" s="431"/>
      <c r="J9" s="431"/>
      <c r="K9" s="431"/>
      <c r="L9" s="431"/>
      <c r="M9" s="431"/>
      <c r="N9" s="431"/>
      <c r="O9" s="431"/>
      <c r="P9" s="431"/>
      <c r="Q9" s="431"/>
    </row>
    <row r="10" spans="1:17" ht="20.100000000000001" customHeight="1" thickBot="1" x14ac:dyDescent="0.25">
      <c r="B10" s="425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68000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578000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153000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323000</v>
      </c>
      <c r="N11" s="13" t="e">
        <f>M11/L11</f>
        <v>#DIV/0!</v>
      </c>
      <c r="O11" s="140">
        <f>C11+F11+I11+L11</f>
        <v>0</v>
      </c>
      <c r="P11" s="140">
        <f>D11+G11+J11+M11</f>
        <v>1122000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07" t="s">
        <v>61</v>
      </c>
      <c r="C15" s="420"/>
      <c r="D15" s="420"/>
      <c r="E15" s="408"/>
      <c r="P15" s="407" t="s">
        <v>51</v>
      </c>
      <c r="Q15" s="408"/>
    </row>
    <row r="16" spans="1:17" ht="13.5" thickBot="1" x14ac:dyDescent="0.25">
      <c r="B16" s="425" t="s">
        <v>52</v>
      </c>
      <c r="C16" s="431" t="s">
        <v>5</v>
      </c>
      <c r="D16" s="431"/>
      <c r="E16" s="431"/>
      <c r="F16" s="431" t="s">
        <v>11</v>
      </c>
      <c r="G16" s="431"/>
      <c r="H16" s="431"/>
      <c r="I16" s="431" t="s">
        <v>12</v>
      </c>
      <c r="J16" s="431"/>
      <c r="K16" s="431"/>
      <c r="L16" s="431" t="s">
        <v>50</v>
      </c>
      <c r="M16" s="431"/>
      <c r="N16" s="431"/>
      <c r="O16" s="431" t="s">
        <v>56</v>
      </c>
      <c r="P16" s="431"/>
      <c r="Q16" s="431"/>
    </row>
    <row r="17" spans="2:17" ht="13.5" thickBot="1" x14ac:dyDescent="0.25">
      <c r="B17" s="425"/>
      <c r="C17" s="431"/>
      <c r="D17" s="431"/>
      <c r="E17" s="431"/>
      <c r="F17" s="431"/>
      <c r="G17" s="431"/>
      <c r="H17" s="431"/>
      <c r="I17" s="431"/>
      <c r="J17" s="431"/>
      <c r="K17" s="431"/>
      <c r="L17" s="431"/>
      <c r="M17" s="431"/>
      <c r="N17" s="431"/>
      <c r="O17" s="431"/>
      <c r="P17" s="431"/>
      <c r="Q17" s="431"/>
    </row>
    <row r="18" spans="2:17" ht="20.100000000000001" customHeight="1" thickBot="1" x14ac:dyDescent="0.25">
      <c r="B18" s="425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61059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572121</v>
      </c>
      <c r="G19" s="209">
        <f>'موقف المحطات'!$G$20</f>
        <v>578000</v>
      </c>
      <c r="H19" s="13">
        <f>G19/F19</f>
        <v>1.0102757983014083</v>
      </c>
      <c r="I19" s="209">
        <f>'موقف المحطات'!$I$20</f>
        <v>142392</v>
      </c>
      <c r="J19" s="209">
        <f>'موقف المحطات'!$J$20</f>
        <v>153000</v>
      </c>
      <c r="K19" s="13">
        <f>J19/I19</f>
        <v>1.0744985673352436</v>
      </c>
      <c r="L19" s="209">
        <f>'موقف المحطات'!$L$20</f>
        <v>352121</v>
      </c>
      <c r="M19" s="209">
        <f>'موقف المحطات'!$M$20</f>
        <v>323000</v>
      </c>
      <c r="N19" s="13">
        <f>M19/L19</f>
        <v>0.91729831506783177</v>
      </c>
      <c r="O19" s="140">
        <f>C19+F19+I19+L19</f>
        <v>1127693</v>
      </c>
      <c r="P19" s="140">
        <f>D19+G19+J19+M19</f>
        <v>1054000</v>
      </c>
      <c r="Q19" s="13">
        <f>P19/O19</f>
        <v>0.93465154080055479</v>
      </c>
    </row>
    <row r="20" spans="2:17" ht="22.5" customHeight="1" thickBot="1" x14ac:dyDescent="0.25">
      <c r="B20" s="145" t="s">
        <v>64</v>
      </c>
      <c r="C20" s="140">
        <f>المبيعات!C38</f>
        <v>61059</v>
      </c>
      <c r="D20" s="140">
        <f>D11</f>
        <v>68000</v>
      </c>
      <c r="E20" s="13">
        <f>IFERROR(D20/C20,0)</f>
        <v>1.1136769354231153</v>
      </c>
      <c r="F20" s="140">
        <f>المبيعات!F38</f>
        <v>572121</v>
      </c>
      <c r="G20" s="140">
        <f>G11</f>
        <v>578000</v>
      </c>
      <c r="H20" s="13">
        <f>IFERROR(G20/F20,0)</f>
        <v>1.0102757983014083</v>
      </c>
      <c r="I20" s="140">
        <f>المبيعات!I38</f>
        <v>142392</v>
      </c>
      <c r="J20" s="140">
        <f>J11</f>
        <v>153000</v>
      </c>
      <c r="K20" s="13">
        <f>IFERROR(J20/I20,0)</f>
        <v>1.0744985673352436</v>
      </c>
      <c r="L20" s="140">
        <f>المبيعات!L38</f>
        <v>352121</v>
      </c>
      <c r="M20" s="140">
        <f>M11</f>
        <v>323000</v>
      </c>
      <c r="N20" s="13">
        <f>IFERROR(M20/L20,0)</f>
        <v>0.91729831506783177</v>
      </c>
      <c r="O20" s="140">
        <f>C20+F20+I20+L20</f>
        <v>1127693</v>
      </c>
      <c r="P20" s="140">
        <f>P11</f>
        <v>1122000</v>
      </c>
      <c r="Q20" s="13">
        <f>IFERROR(P20/O20,0)</f>
        <v>0.99495164020704219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07" t="s">
        <v>72</v>
      </c>
      <c r="C24" s="420"/>
      <c r="D24" s="420"/>
      <c r="E24" s="408"/>
      <c r="P24" s="426" t="s">
        <v>51</v>
      </c>
      <c r="Q24" s="427"/>
    </row>
    <row r="25" spans="2:17" ht="18" customHeight="1" thickBot="1" x14ac:dyDescent="0.25">
      <c r="B25" s="416" t="s">
        <v>52</v>
      </c>
      <c r="C25" s="405" t="s">
        <v>163</v>
      </c>
      <c r="D25" s="410"/>
      <c r="E25" s="406"/>
      <c r="F25" s="405" t="s">
        <v>158</v>
      </c>
      <c r="G25" s="410"/>
      <c r="H25" s="406"/>
      <c r="I25" s="405" t="s">
        <v>121</v>
      </c>
      <c r="J25" s="410"/>
      <c r="K25" s="406"/>
      <c r="L25" s="405" t="s">
        <v>112</v>
      </c>
      <c r="M25" s="410"/>
      <c r="N25" s="406"/>
      <c r="O25" s="405" t="s">
        <v>113</v>
      </c>
      <c r="P25" s="410"/>
      <c r="Q25" s="406"/>
    </row>
    <row r="26" spans="2:17" ht="16.5" customHeight="1" thickBot="1" x14ac:dyDescent="0.25">
      <c r="B26" s="417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31599</v>
      </c>
      <c r="D28" s="147">
        <f>'أخذ التمام الصباحي'!K6</f>
        <v>9695</v>
      </c>
      <c r="E28" s="224"/>
      <c r="F28" s="147">
        <f>'أخذ التمام الصباحي'!H7</f>
        <v>22483</v>
      </c>
      <c r="G28" s="147">
        <f>'أخذ التمام الصباحي'!K7</f>
        <v>4645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13" t="s">
        <v>173</v>
      </c>
      <c r="C32" s="414"/>
      <c r="D32" s="414"/>
      <c r="E32" s="414"/>
      <c r="F32" s="418" t="s">
        <v>60</v>
      </c>
      <c r="G32" s="419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390</v>
      </c>
      <c r="D34" s="147">
        <f>'التمام الصباحي'!I39</f>
        <v>3525</v>
      </c>
      <c r="E34" s="143">
        <f>'التمام الصباحي'!O39</f>
        <v>1380</v>
      </c>
      <c r="F34" s="147">
        <f>'التمام الصباحي'!U39</f>
        <v>2580</v>
      </c>
      <c r="G34" s="147">
        <f>SUM(C34:F34)</f>
        <v>7875</v>
      </c>
    </row>
    <row r="35" spans="2:8" ht="20.25" customHeight="1" thickBot="1" x14ac:dyDescent="0.25">
      <c r="B35" s="39" t="s">
        <v>67</v>
      </c>
      <c r="C35" s="147">
        <f>'التمام الصباحي'!D39</f>
        <v>227</v>
      </c>
      <c r="D35" s="147">
        <f>'التمام الصباحي'!J39</f>
        <v>2117</v>
      </c>
      <c r="E35" s="143">
        <f>'التمام الصباحي'!P39</f>
        <v>699</v>
      </c>
      <c r="F35" s="147">
        <f>'التمام الصباحي'!V39</f>
        <v>1978</v>
      </c>
      <c r="G35" s="147">
        <f>SUM(C35:F35)</f>
        <v>5021</v>
      </c>
    </row>
    <row r="36" spans="2:8" ht="20.25" customHeight="1" thickBot="1" x14ac:dyDescent="0.25">
      <c r="B36" s="39" t="s">
        <v>37</v>
      </c>
      <c r="C36" s="407">
        <f>'التمام الصباحي'!C42:Z42</f>
        <v>2854</v>
      </c>
      <c r="D36" s="420"/>
      <c r="E36" s="420"/>
      <c r="F36" s="420"/>
      <c r="G36" s="408"/>
      <c r="H36" s="157"/>
    </row>
    <row r="37" spans="2:8" ht="18.75" customHeight="1" thickBot="1" x14ac:dyDescent="0.25">
      <c r="B37" s="39" t="s">
        <v>68</v>
      </c>
      <c r="C37" s="407">
        <f>'احتياجات المحطات'!M29</f>
        <v>731</v>
      </c>
      <c r="D37" s="420"/>
      <c r="E37" s="420"/>
      <c r="F37" s="420"/>
      <c r="G37" s="408"/>
      <c r="H37" s="157"/>
    </row>
    <row r="38" spans="2:8" ht="21" customHeight="1" thickBot="1" x14ac:dyDescent="0.25">
      <c r="B38" s="39" t="s">
        <v>69</v>
      </c>
      <c r="C38" s="407">
        <f>G35+C37</f>
        <v>5752</v>
      </c>
      <c r="D38" s="420"/>
      <c r="E38" s="420"/>
      <c r="F38" s="420"/>
      <c r="G38" s="408"/>
      <c r="H38" s="157"/>
    </row>
    <row r="39" spans="2:8" ht="19.5" customHeight="1" thickBot="1" x14ac:dyDescent="0.25">
      <c r="B39" s="141" t="s">
        <v>70</v>
      </c>
      <c r="C39" s="407">
        <f>C36-C37</f>
        <v>2123</v>
      </c>
      <c r="D39" s="420"/>
      <c r="E39" s="420"/>
      <c r="F39" s="420"/>
      <c r="G39" s="408"/>
      <c r="H39" s="157"/>
    </row>
    <row r="40" spans="2:8" ht="20.100000000000001" customHeight="1" thickBot="1" x14ac:dyDescent="0.25">
      <c r="B40" s="141" t="s">
        <v>71</v>
      </c>
      <c r="C40" s="407">
        <f>P19/1000</f>
        <v>1054</v>
      </c>
      <c r="D40" s="420"/>
      <c r="E40" s="420"/>
      <c r="F40" s="420"/>
      <c r="G40" s="408"/>
      <c r="H40" s="157"/>
    </row>
    <row r="41" spans="2:8" ht="20.100000000000001" customHeight="1" thickBot="1" x14ac:dyDescent="0.25">
      <c r="B41" s="141" t="s">
        <v>110</v>
      </c>
      <c r="C41" s="421">
        <f>C37/C36</f>
        <v>0.25613174491941137</v>
      </c>
      <c r="D41" s="422"/>
      <c r="E41" s="422"/>
      <c r="F41" s="422"/>
      <c r="G41" s="423"/>
      <c r="H41" s="158"/>
    </row>
    <row r="42" spans="2:8" ht="20.100000000000001" customHeight="1" thickBot="1" x14ac:dyDescent="0.25">
      <c r="B42" s="147" t="s">
        <v>111</v>
      </c>
      <c r="C42" s="421">
        <f>'التمام الصباحي'!C45:Z45</f>
        <v>0.22346146186018723</v>
      </c>
      <c r="D42" s="422"/>
      <c r="E42" s="422"/>
      <c r="F42" s="422"/>
      <c r="G42" s="423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13" t="s">
        <v>174</v>
      </c>
      <c r="C46" s="414"/>
      <c r="D46" s="415"/>
      <c r="F46" s="419" t="s">
        <v>116</v>
      </c>
      <c r="G46" s="419"/>
    </row>
    <row r="47" spans="2:8" ht="18.75" customHeight="1" thickBot="1" x14ac:dyDescent="0.25">
      <c r="B47" s="144" t="s">
        <v>52</v>
      </c>
      <c r="C47" s="405" t="s">
        <v>114</v>
      </c>
      <c r="D47" s="406"/>
      <c r="E47" s="405" t="s">
        <v>115</v>
      </c>
      <c r="F47" s="406"/>
      <c r="G47" s="145" t="s">
        <v>34</v>
      </c>
    </row>
    <row r="48" spans="2:8" ht="18.75" customHeight="1" thickBot="1" x14ac:dyDescent="0.25">
      <c r="B48" s="210">
        <v>43647</v>
      </c>
      <c r="C48" s="409" t="e">
        <f>المستودعات!#REF!/51</f>
        <v>#REF!</v>
      </c>
      <c r="D48" s="408"/>
      <c r="E48" s="407"/>
      <c r="F48" s="408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13" t="s">
        <v>175</v>
      </c>
      <c r="C52" s="414"/>
      <c r="D52" s="414"/>
      <c r="E52" s="414"/>
      <c r="F52" s="414"/>
      <c r="G52" s="415"/>
    </row>
    <row r="53" spans="2:7" ht="20.100000000000001" customHeight="1" thickBot="1" x14ac:dyDescent="0.25">
      <c r="B53" s="416" t="s">
        <v>65</v>
      </c>
      <c r="C53" s="405" t="s">
        <v>73</v>
      </c>
      <c r="D53" s="410"/>
      <c r="E53" s="406"/>
      <c r="F53" s="411" t="s">
        <v>50</v>
      </c>
      <c r="G53" s="411" t="s">
        <v>74</v>
      </c>
    </row>
    <row r="54" spans="2:7" ht="20.100000000000001" customHeight="1" thickBot="1" x14ac:dyDescent="0.25">
      <c r="B54" s="417"/>
      <c r="C54" s="145">
        <v>80</v>
      </c>
      <c r="D54" s="145">
        <v>92</v>
      </c>
      <c r="E54" s="145">
        <v>95</v>
      </c>
      <c r="F54" s="412"/>
      <c r="G54" s="412"/>
    </row>
    <row r="55" spans="2:7" ht="19.5" customHeight="1" thickBot="1" x14ac:dyDescent="0.25">
      <c r="B55" s="29" t="s">
        <v>77</v>
      </c>
      <c r="C55" s="140">
        <f>المبيعات!D38</f>
        <v>335824.5</v>
      </c>
      <c r="D55" s="140">
        <f>المبيعات!G38</f>
        <v>3861816.75</v>
      </c>
      <c r="E55" s="149">
        <f>المبيعات!J38</f>
        <v>1103538</v>
      </c>
      <c r="F55" s="140">
        <f>المبيعات!M38</f>
        <v>1936665.5</v>
      </c>
      <c r="G55" s="35">
        <f>C55+D55+E55+F55</f>
        <v>7237844.75</v>
      </c>
    </row>
    <row r="56" spans="2:7" ht="17.25" customHeight="1" thickBot="1" x14ac:dyDescent="0.25">
      <c r="B56" s="145" t="s">
        <v>78</v>
      </c>
      <c r="C56" s="140">
        <f>المبيعات!E38</f>
        <v>15264.75</v>
      </c>
      <c r="D56" s="140">
        <f>المبيعات!H38</f>
        <v>188799.93000000002</v>
      </c>
      <c r="E56" s="140">
        <f>المبيعات!K38</f>
        <v>64076.4</v>
      </c>
      <c r="F56" s="140">
        <f>المبيعات!N38</f>
        <v>91551.46</v>
      </c>
      <c r="G56" s="35">
        <f>F56+E56+D56+C56</f>
        <v>359692.54000000004</v>
      </c>
    </row>
    <row r="57" spans="2:7" ht="17.25" customHeight="1" thickBot="1" x14ac:dyDescent="0.25">
      <c r="B57" s="145" t="s">
        <v>79</v>
      </c>
      <c r="C57" s="402">
        <f>المبيعات!P38</f>
        <v>73205</v>
      </c>
      <c r="D57" s="403"/>
      <c r="E57" s="403"/>
      <c r="F57" s="404"/>
      <c r="G57" s="36">
        <f>C57</f>
        <v>73205</v>
      </c>
    </row>
  </sheetData>
  <sheetProtection selectLockedCells="1"/>
  <customSheetViews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  <mergeCell ref="O1:P1"/>
    <mergeCell ref="A1:D1"/>
    <mergeCell ref="A2:D2"/>
    <mergeCell ref="A3:D3"/>
    <mergeCell ref="A4:D4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zoomScale="85" zoomScaleNormal="85" workbookViewId="0">
      <selection activeCell="R7" sqref="R7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32" t="s">
        <v>14</v>
      </c>
      <c r="B3" s="432" t="s">
        <v>3</v>
      </c>
      <c r="C3" s="392" t="s">
        <v>5</v>
      </c>
      <c r="D3" s="392"/>
      <c r="E3" s="433"/>
      <c r="F3" s="434" t="s">
        <v>11</v>
      </c>
      <c r="G3" s="392"/>
      <c r="H3" s="433"/>
      <c r="I3" s="401" t="s">
        <v>12</v>
      </c>
      <c r="J3" s="392"/>
      <c r="K3" s="400"/>
      <c r="L3" s="434" t="s">
        <v>50</v>
      </c>
      <c r="M3" s="392"/>
      <c r="N3" s="433"/>
      <c r="O3" s="401" t="s">
        <v>45</v>
      </c>
      <c r="P3" s="392"/>
      <c r="Q3" s="392"/>
      <c r="R3" s="388" t="s">
        <v>160</v>
      </c>
    </row>
    <row r="4" spans="1:20" ht="15.75" thickBot="1" x14ac:dyDescent="0.25">
      <c r="A4" s="432"/>
      <c r="B4" s="432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389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50</v>
      </c>
      <c r="G5" s="194">
        <v>34</v>
      </c>
      <c r="H5" s="213">
        <v>27030</v>
      </c>
      <c r="I5" s="211">
        <v>13</v>
      </c>
      <c r="J5" s="5">
        <v>17</v>
      </c>
      <c r="K5" s="213">
        <v>7365</v>
      </c>
      <c r="L5" s="214"/>
      <c r="M5" s="192"/>
      <c r="N5" s="215"/>
      <c r="O5" s="217">
        <v>2230</v>
      </c>
      <c r="P5" s="218"/>
      <c r="Q5" s="294">
        <f t="shared" ref="Q5:Q26" si="0">P5+O5</f>
        <v>2230</v>
      </c>
      <c r="R5" s="220" t="s">
        <v>209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77</v>
      </c>
      <c r="G6" s="194">
        <v>17</v>
      </c>
      <c r="H6" s="213">
        <v>31599</v>
      </c>
      <c r="I6" s="211">
        <v>26</v>
      </c>
      <c r="J6" s="5">
        <v>17</v>
      </c>
      <c r="K6" s="213">
        <v>9695</v>
      </c>
      <c r="L6" s="214"/>
      <c r="M6" s="192"/>
      <c r="N6" s="215"/>
      <c r="O6" s="217">
        <v>2620</v>
      </c>
      <c r="P6" s="218"/>
      <c r="Q6" s="294">
        <f t="shared" si="0"/>
        <v>2620</v>
      </c>
      <c r="R6" s="220" t="s">
        <v>219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72</v>
      </c>
      <c r="D7" s="5">
        <v>51</v>
      </c>
      <c r="E7" s="213">
        <v>41263</v>
      </c>
      <c r="F7" s="211">
        <v>28</v>
      </c>
      <c r="G7" s="194">
        <v>34</v>
      </c>
      <c r="H7" s="213">
        <v>22483</v>
      </c>
      <c r="I7" s="211">
        <v>43</v>
      </c>
      <c r="J7" s="5">
        <v>17</v>
      </c>
      <c r="K7" s="213">
        <v>4645</v>
      </c>
      <c r="L7" s="214"/>
      <c r="M7" s="192"/>
      <c r="N7" s="215"/>
      <c r="O7" s="217">
        <v>3801</v>
      </c>
      <c r="P7" s="218"/>
      <c r="Q7" s="294">
        <f t="shared" si="0"/>
        <v>3801</v>
      </c>
      <c r="R7" s="220" t="s">
        <v>217</v>
      </c>
      <c r="S7" s="195">
        <v>625</v>
      </c>
      <c r="T7" s="195"/>
    </row>
    <row r="8" spans="1:20" ht="16.5" thickBot="1" x14ac:dyDescent="0.3">
      <c r="A8" s="299">
        <v>4</v>
      </c>
      <c r="B8" s="34" t="s">
        <v>16</v>
      </c>
      <c r="C8" s="197">
        <v>15</v>
      </c>
      <c r="D8" s="5">
        <v>17</v>
      </c>
      <c r="E8" s="213">
        <v>2719</v>
      </c>
      <c r="F8" s="211">
        <v>35</v>
      </c>
      <c r="G8" s="194">
        <v>51</v>
      </c>
      <c r="H8" s="213">
        <v>23541</v>
      </c>
      <c r="I8" s="211">
        <v>24</v>
      </c>
      <c r="J8" s="5"/>
      <c r="K8" s="213">
        <v>7419</v>
      </c>
      <c r="L8" s="211">
        <v>179</v>
      </c>
      <c r="M8" s="5"/>
      <c r="N8" s="216">
        <v>3301</v>
      </c>
      <c r="O8" s="217">
        <v>3166</v>
      </c>
      <c r="P8" s="219"/>
      <c r="Q8" s="294">
        <f t="shared" si="0"/>
        <v>3166</v>
      </c>
      <c r="R8" s="220" t="s">
        <v>204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73</v>
      </c>
      <c r="G9" s="194">
        <v>68</v>
      </c>
      <c r="H9" s="213">
        <v>44723</v>
      </c>
      <c r="I9" s="211">
        <v>13</v>
      </c>
      <c r="J9" s="5">
        <v>17</v>
      </c>
      <c r="K9" s="213">
        <v>13669</v>
      </c>
      <c r="L9" s="214"/>
      <c r="M9" s="192"/>
      <c r="N9" s="215"/>
      <c r="O9" s="217">
        <v>3980</v>
      </c>
      <c r="P9" s="218"/>
      <c r="Q9" s="294">
        <f t="shared" si="0"/>
        <v>3980</v>
      </c>
      <c r="R9" s="220" t="s">
        <v>203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18</v>
      </c>
      <c r="D10" s="5"/>
      <c r="E10" s="213">
        <v>4294</v>
      </c>
      <c r="F10" s="211">
        <v>65</v>
      </c>
      <c r="G10" s="194">
        <v>17</v>
      </c>
      <c r="H10" s="213">
        <v>25911</v>
      </c>
      <c r="I10" s="214"/>
      <c r="J10" s="192"/>
      <c r="K10" s="212"/>
      <c r="L10" s="211">
        <v>168</v>
      </c>
      <c r="M10" s="5"/>
      <c r="N10" s="216">
        <v>9202</v>
      </c>
      <c r="O10" s="217">
        <v>2746</v>
      </c>
      <c r="P10" s="219"/>
      <c r="Q10" s="294">
        <f t="shared" si="0"/>
        <v>2746</v>
      </c>
      <c r="R10" s="220" t="s">
        <v>222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22</v>
      </c>
      <c r="D11" s="5"/>
      <c r="E11" s="213">
        <v>8544</v>
      </c>
      <c r="F11" s="211">
        <v>78</v>
      </c>
      <c r="G11" s="194">
        <v>17</v>
      </c>
      <c r="H11" s="213">
        <v>20026</v>
      </c>
      <c r="I11" s="214"/>
      <c r="J11" s="192"/>
      <c r="K11" s="212"/>
      <c r="L11" s="211">
        <v>151</v>
      </c>
      <c r="M11" s="5">
        <v>17</v>
      </c>
      <c r="N11" s="216">
        <v>20466</v>
      </c>
      <c r="O11" s="217">
        <v>3200</v>
      </c>
      <c r="P11" s="219"/>
      <c r="Q11" s="294">
        <f t="shared" si="0"/>
        <v>3200</v>
      </c>
      <c r="R11" s="220" t="s">
        <v>216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120</v>
      </c>
      <c r="G12" s="194">
        <v>51</v>
      </c>
      <c r="H12" s="213">
        <v>48431</v>
      </c>
      <c r="I12" s="211">
        <v>40</v>
      </c>
      <c r="J12" s="5"/>
      <c r="K12" s="213">
        <v>13419</v>
      </c>
      <c r="L12" s="214"/>
      <c r="M12" s="192"/>
      <c r="N12" s="215"/>
      <c r="O12" s="217">
        <v>3760</v>
      </c>
      <c r="P12" s="218"/>
      <c r="Q12" s="294">
        <f t="shared" si="0"/>
        <v>3760</v>
      </c>
      <c r="R12" s="220" t="s">
        <v>223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145</v>
      </c>
      <c r="G13" s="194">
        <v>34</v>
      </c>
      <c r="H13" s="213">
        <v>41000</v>
      </c>
      <c r="I13" s="211">
        <v>27</v>
      </c>
      <c r="J13" s="5">
        <v>17</v>
      </c>
      <c r="K13" s="213">
        <v>10500</v>
      </c>
      <c r="L13" s="211">
        <v>105</v>
      </c>
      <c r="M13" s="5"/>
      <c r="N13" s="216">
        <v>32000</v>
      </c>
      <c r="O13" s="217"/>
      <c r="P13" s="219"/>
      <c r="Q13" s="294">
        <f t="shared" si="0"/>
        <v>0</v>
      </c>
      <c r="R13" s="220" t="s">
        <v>200</v>
      </c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79</v>
      </c>
      <c r="G14" s="194"/>
      <c r="H14" s="213">
        <v>7948</v>
      </c>
      <c r="I14" s="211">
        <v>20</v>
      </c>
      <c r="J14" s="5"/>
      <c r="K14" s="213">
        <v>3774</v>
      </c>
      <c r="L14" s="211">
        <v>128</v>
      </c>
      <c r="M14" s="5">
        <v>51</v>
      </c>
      <c r="N14" s="216">
        <v>55279</v>
      </c>
      <c r="O14" s="217">
        <v>6012</v>
      </c>
      <c r="P14" s="219"/>
      <c r="Q14" s="294">
        <f t="shared" si="0"/>
        <v>6012</v>
      </c>
      <c r="R14" s="220" t="s">
        <v>215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78</v>
      </c>
      <c r="G15" s="194"/>
      <c r="H15" s="213">
        <v>10587</v>
      </c>
      <c r="I15" s="211">
        <v>13</v>
      </c>
      <c r="J15" s="5"/>
      <c r="K15" s="213">
        <v>2836</v>
      </c>
      <c r="L15" s="211">
        <v>51</v>
      </c>
      <c r="M15" s="5"/>
      <c r="N15" s="216">
        <v>4945</v>
      </c>
      <c r="O15" s="217">
        <v>1532</v>
      </c>
      <c r="P15" s="219"/>
      <c r="Q15" s="294">
        <f t="shared" si="0"/>
        <v>1532</v>
      </c>
      <c r="R15" s="220" t="s">
        <v>221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37</v>
      </c>
      <c r="G16" s="194"/>
      <c r="H16" s="213">
        <v>4179</v>
      </c>
      <c r="I16" s="211">
        <v>25</v>
      </c>
      <c r="J16" s="5"/>
      <c r="K16" s="213">
        <v>1106</v>
      </c>
      <c r="L16" s="214"/>
      <c r="M16" s="192"/>
      <c r="N16" s="215"/>
      <c r="O16" s="217">
        <v>468</v>
      </c>
      <c r="P16" s="218"/>
      <c r="Q16" s="294">
        <f t="shared" si="0"/>
        <v>468</v>
      </c>
      <c r="R16" s="220" t="s">
        <v>202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66</v>
      </c>
      <c r="G17" s="194">
        <v>17</v>
      </c>
      <c r="H17" s="213">
        <v>3731</v>
      </c>
      <c r="I17" s="211">
        <v>21</v>
      </c>
      <c r="J17" s="5"/>
      <c r="K17" s="213">
        <v>1063</v>
      </c>
      <c r="L17" s="211">
        <v>148</v>
      </c>
      <c r="M17" s="5">
        <v>34</v>
      </c>
      <c r="N17" s="216">
        <v>7108</v>
      </c>
      <c r="O17" s="217">
        <v>1338</v>
      </c>
      <c r="P17" s="219"/>
      <c r="Q17" s="294">
        <f t="shared" si="0"/>
        <v>1338</v>
      </c>
      <c r="R17" s="220" t="s">
        <v>207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67</v>
      </c>
      <c r="G18" s="194"/>
      <c r="H18" s="213">
        <v>13424</v>
      </c>
      <c r="I18" s="211">
        <v>19</v>
      </c>
      <c r="J18" s="5"/>
      <c r="K18" s="213">
        <v>6843</v>
      </c>
      <c r="L18" s="211">
        <v>130</v>
      </c>
      <c r="M18" s="5">
        <v>51</v>
      </c>
      <c r="N18" s="216">
        <v>22980</v>
      </c>
      <c r="O18" s="217">
        <v>2004</v>
      </c>
      <c r="P18" s="219">
        <v>2180</v>
      </c>
      <c r="Q18" s="294">
        <f t="shared" si="0"/>
        <v>4184</v>
      </c>
      <c r="R18" s="220"/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54</v>
      </c>
      <c r="G19" s="194">
        <v>34</v>
      </c>
      <c r="H19" s="213">
        <v>8741</v>
      </c>
      <c r="I19" s="211">
        <v>7</v>
      </c>
      <c r="J19" s="5">
        <v>17</v>
      </c>
      <c r="K19" s="213">
        <v>1232</v>
      </c>
      <c r="L19" s="214"/>
      <c r="M19" s="192"/>
      <c r="N19" s="215"/>
      <c r="O19" s="217">
        <v>740</v>
      </c>
      <c r="P19" s="218"/>
      <c r="Q19" s="294">
        <f t="shared" si="0"/>
        <v>740</v>
      </c>
      <c r="R19" s="220" t="s">
        <v>211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22</v>
      </c>
      <c r="D20" s="5"/>
      <c r="E20" s="213">
        <v>284</v>
      </c>
      <c r="F20" s="211">
        <v>54</v>
      </c>
      <c r="G20" s="194"/>
      <c r="H20" s="213">
        <v>2211</v>
      </c>
      <c r="I20" s="214"/>
      <c r="J20" s="192"/>
      <c r="K20" s="212"/>
      <c r="L20" s="211">
        <v>110</v>
      </c>
      <c r="M20" s="5"/>
      <c r="N20" s="216">
        <v>9159</v>
      </c>
      <c r="O20" s="217">
        <v>220</v>
      </c>
      <c r="P20" s="219">
        <v>420</v>
      </c>
      <c r="Q20" s="294">
        <f t="shared" si="0"/>
        <v>640</v>
      </c>
      <c r="R20" s="220" t="s">
        <v>206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54</v>
      </c>
      <c r="G21" s="194"/>
      <c r="H21" s="213">
        <v>4139</v>
      </c>
      <c r="I21" s="214"/>
      <c r="J21" s="192"/>
      <c r="K21" s="212"/>
      <c r="L21" s="211">
        <v>91</v>
      </c>
      <c r="M21" s="5"/>
      <c r="N21" s="216">
        <v>5241</v>
      </c>
      <c r="O21" s="217">
        <v>660</v>
      </c>
      <c r="P21" s="219"/>
      <c r="Q21" s="294">
        <f t="shared" si="0"/>
        <v>660</v>
      </c>
      <c r="R21" s="220" t="s">
        <v>205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72</v>
      </c>
      <c r="G22" s="194">
        <v>17</v>
      </c>
      <c r="H22" s="213">
        <v>14471</v>
      </c>
      <c r="I22" s="211">
        <v>14</v>
      </c>
      <c r="J22" s="5"/>
      <c r="K22" s="213">
        <v>2533</v>
      </c>
      <c r="L22" s="211">
        <v>123</v>
      </c>
      <c r="M22" s="5">
        <v>51</v>
      </c>
      <c r="N22" s="216">
        <v>53243</v>
      </c>
      <c r="O22" s="217">
        <v>1533</v>
      </c>
      <c r="P22" s="219">
        <v>4100</v>
      </c>
      <c r="Q22" s="294">
        <f t="shared" si="0"/>
        <v>5633</v>
      </c>
      <c r="R22" s="220"/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54</v>
      </c>
      <c r="G23" s="194">
        <v>34</v>
      </c>
      <c r="H23" s="213">
        <v>18801</v>
      </c>
      <c r="I23" s="211">
        <v>18</v>
      </c>
      <c r="J23" s="5"/>
      <c r="K23" s="213">
        <v>3582</v>
      </c>
      <c r="L23" s="211">
        <v>129</v>
      </c>
      <c r="M23" s="5">
        <v>51</v>
      </c>
      <c r="N23" s="216">
        <v>55965</v>
      </c>
      <c r="O23" s="217">
        <v>1950</v>
      </c>
      <c r="P23" s="219">
        <v>4260</v>
      </c>
      <c r="Q23" s="294">
        <f t="shared" si="0"/>
        <v>6210</v>
      </c>
      <c r="R23" s="220" t="s">
        <v>201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73</v>
      </c>
      <c r="G24" s="194"/>
      <c r="H24" s="213">
        <v>12346</v>
      </c>
      <c r="I24" s="211">
        <v>16</v>
      </c>
      <c r="J24" s="5"/>
      <c r="K24" s="213">
        <v>1754</v>
      </c>
      <c r="L24" s="211">
        <v>136</v>
      </c>
      <c r="M24" s="5">
        <v>51</v>
      </c>
      <c r="N24" s="216">
        <v>27927</v>
      </c>
      <c r="O24" s="217">
        <v>1100</v>
      </c>
      <c r="P24" s="219">
        <v>2000</v>
      </c>
      <c r="Q24" s="294">
        <f t="shared" si="0"/>
        <v>3100</v>
      </c>
      <c r="R24" s="220" t="s">
        <v>212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62</v>
      </c>
      <c r="G25" s="194">
        <v>34</v>
      </c>
      <c r="H25" s="213">
        <v>8183</v>
      </c>
      <c r="I25" s="211">
        <v>14</v>
      </c>
      <c r="J25" s="5">
        <v>17</v>
      </c>
      <c r="K25" s="213">
        <v>1954</v>
      </c>
      <c r="L25" s="211">
        <v>163</v>
      </c>
      <c r="M25" s="5"/>
      <c r="N25" s="216">
        <v>28779</v>
      </c>
      <c r="O25" s="217">
        <v>975</v>
      </c>
      <c r="P25" s="219">
        <v>2255</v>
      </c>
      <c r="Q25" s="294">
        <f t="shared" si="0"/>
        <v>3230</v>
      </c>
      <c r="R25" s="220" t="s">
        <v>214</v>
      </c>
    </row>
    <row r="26" spans="1:20" ht="16.5" thickBot="1" x14ac:dyDescent="0.3">
      <c r="A26" s="299">
        <v>22</v>
      </c>
      <c r="B26" s="297" t="s">
        <v>112</v>
      </c>
      <c r="C26" s="197">
        <v>78</v>
      </c>
      <c r="D26" s="194"/>
      <c r="E26" s="213">
        <v>3955</v>
      </c>
      <c r="F26" s="211">
        <v>36</v>
      </c>
      <c r="G26" s="194">
        <v>17</v>
      </c>
      <c r="H26" s="213">
        <v>9524</v>
      </c>
      <c r="I26" s="211">
        <v>43</v>
      </c>
      <c r="J26" s="5">
        <v>17</v>
      </c>
      <c r="K26" s="213">
        <v>1630</v>
      </c>
      <c r="L26" s="211">
        <v>166</v>
      </c>
      <c r="M26" s="5">
        <v>17</v>
      </c>
      <c r="N26" s="216">
        <v>16526</v>
      </c>
      <c r="O26" s="217">
        <v>1380</v>
      </c>
      <c r="P26" s="219"/>
      <c r="Q26" s="294">
        <f t="shared" si="0"/>
        <v>1380</v>
      </c>
      <c r="R26" s="220" t="s">
        <v>210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120</v>
      </c>
      <c r="G27" s="194">
        <v>17</v>
      </c>
      <c r="H27" s="213">
        <v>5923</v>
      </c>
      <c r="I27" s="211">
        <v>29</v>
      </c>
      <c r="J27" s="5"/>
      <c r="K27" s="213">
        <v>1475</v>
      </c>
      <c r="L27" s="214"/>
      <c r="M27" s="192"/>
      <c r="N27" s="215"/>
      <c r="O27" s="217">
        <v>500</v>
      </c>
      <c r="P27" s="218"/>
      <c r="Q27" s="294">
        <f t="shared" ref="Q27:Q30" si="1">P27+O27</f>
        <v>500</v>
      </c>
      <c r="R27" s="220"/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140</v>
      </c>
      <c r="G28" s="194"/>
      <c r="H28" s="213">
        <v>30467</v>
      </c>
      <c r="I28" s="211">
        <v>70</v>
      </c>
      <c r="J28" s="5"/>
      <c r="K28" s="213">
        <v>10127</v>
      </c>
      <c r="L28" s="214"/>
      <c r="M28" s="192"/>
      <c r="N28" s="215"/>
      <c r="O28" s="217">
        <v>1480</v>
      </c>
      <c r="P28" s="218"/>
      <c r="Q28" s="294">
        <f t="shared" si="1"/>
        <v>1480</v>
      </c>
      <c r="R28" s="220" t="s">
        <v>204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140</v>
      </c>
      <c r="G29" s="194">
        <v>51</v>
      </c>
      <c r="H29" s="213">
        <v>31667</v>
      </c>
      <c r="I29" s="211">
        <v>63</v>
      </c>
      <c r="J29" s="5"/>
      <c r="K29" s="213">
        <v>9988</v>
      </c>
      <c r="L29" s="214"/>
      <c r="M29" s="192"/>
      <c r="N29" s="215"/>
      <c r="O29" s="217">
        <v>3500</v>
      </c>
      <c r="P29" s="218"/>
      <c r="Q29" s="294">
        <f t="shared" si="1"/>
        <v>3500</v>
      </c>
      <c r="R29" s="220" t="s">
        <v>220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135</v>
      </c>
      <c r="G30" s="194">
        <v>34</v>
      </c>
      <c r="H30" s="213">
        <v>36715</v>
      </c>
      <c r="I30" s="211">
        <v>65</v>
      </c>
      <c r="J30" s="5">
        <v>17</v>
      </c>
      <c r="K30" s="213">
        <v>9999</v>
      </c>
      <c r="L30" s="214"/>
      <c r="M30" s="192"/>
      <c r="N30" s="215"/>
      <c r="O30" s="217">
        <v>495</v>
      </c>
      <c r="P30" s="218"/>
      <c r="Q30" s="294">
        <f t="shared" si="1"/>
        <v>495</v>
      </c>
      <c r="R30" s="220" t="s">
        <v>208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125</v>
      </c>
      <c r="G31" s="194"/>
      <c r="H31" s="213">
        <v>64320</v>
      </c>
      <c r="I31" s="211">
        <v>76</v>
      </c>
      <c r="J31" s="5"/>
      <c r="K31" s="213">
        <v>15784</v>
      </c>
      <c r="L31" s="214"/>
      <c r="M31" s="192"/>
      <c r="N31" s="215"/>
      <c r="O31" s="217">
        <v>6600</v>
      </c>
      <c r="P31" s="218"/>
      <c r="Q31" s="294">
        <f t="shared" ref="Q31:Q35" si="2">P31+O31</f>
        <v>6600</v>
      </c>
      <c r="R31" s="220" t="s">
        <v>213</v>
      </c>
    </row>
    <row r="32" spans="1:20" ht="16.5" thickBot="1" x14ac:dyDescent="0.3">
      <c r="A32" s="359">
        <v>28</v>
      </c>
      <c r="B32" s="332" t="s">
        <v>195</v>
      </c>
      <c r="C32" s="196"/>
      <c r="D32" s="192"/>
      <c r="E32" s="212"/>
      <c r="F32" s="211"/>
      <c r="G32" s="194"/>
      <c r="H32" s="213"/>
      <c r="I32" s="211"/>
      <c r="J32" s="5"/>
      <c r="K32" s="213"/>
      <c r="L32" s="214"/>
      <c r="M32" s="192"/>
      <c r="N32" s="215"/>
      <c r="O32" s="217"/>
      <c r="P32" s="218"/>
      <c r="Q32" s="294">
        <f t="shared" si="2"/>
        <v>0</v>
      </c>
      <c r="R32" s="220"/>
    </row>
    <row r="33" spans="1:18" ht="16.5" thickBot="1" x14ac:dyDescent="0.3">
      <c r="A33" s="359">
        <v>29</v>
      </c>
      <c r="B33" s="359" t="s">
        <v>196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197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198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68</v>
      </c>
      <c r="G39" s="193">
        <f>SUM(G5:G31)</f>
        <v>578</v>
      </c>
      <c r="J39" s="193">
        <f>SUM(J5:J31)</f>
        <v>153</v>
      </c>
      <c r="M39" s="193">
        <f>SUM(M5:M31)</f>
        <v>323</v>
      </c>
    </row>
  </sheetData>
  <sheetProtection selectLockedCells="1"/>
  <customSheetViews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1"/>
    </customSheetView>
    <customSheetView guid="{18C0F7AC-4BB1-46DE-8A01-8E31FE0585FC}" scale="85" fitToPage="1">
      <selection activeCell="R7" sqref="R7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topLeftCell="A2" zoomScale="86" zoomScaleNormal="70" zoomScaleSheetLayoutView="86" workbookViewId="0">
      <selection activeCell="B7" sqref="B7:H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41" t="s">
        <v>218</v>
      </c>
      <c r="C7" s="441"/>
      <c r="D7" s="441"/>
      <c r="E7" s="441"/>
      <c r="F7" s="441"/>
      <c r="G7" s="441"/>
      <c r="H7" s="441"/>
      <c r="I7" s="345"/>
      <c r="J7" s="345"/>
    </row>
    <row r="8" spans="2:10" ht="17.25" thickTop="1" thickBot="1" x14ac:dyDescent="0.25">
      <c r="B8" s="442" t="s">
        <v>14</v>
      </c>
      <c r="C8" s="435" t="s">
        <v>180</v>
      </c>
      <c r="D8" s="444" t="s">
        <v>181</v>
      </c>
      <c r="E8" s="445"/>
      <c r="F8" s="446"/>
      <c r="G8" s="435" t="s">
        <v>182</v>
      </c>
      <c r="H8" s="437" t="s">
        <v>183</v>
      </c>
      <c r="I8" s="347"/>
      <c r="J8" s="347"/>
    </row>
    <row r="9" spans="2:10" ht="16.5" thickBot="1" x14ac:dyDescent="0.25">
      <c r="B9" s="443"/>
      <c r="C9" s="436"/>
      <c r="D9" s="340">
        <v>80</v>
      </c>
      <c r="E9" s="340">
        <v>92</v>
      </c>
      <c r="F9" s="340">
        <v>95</v>
      </c>
      <c r="G9" s="436"/>
      <c r="H9" s="438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30467</v>
      </c>
      <c r="F10" s="350">
        <f>'أخذ التمام الصباحي'!$K$28</f>
        <v>10127</v>
      </c>
      <c r="G10" s="342"/>
      <c r="H10" s="343">
        <f>SUM(D10:G10)</f>
        <v>40594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31667</v>
      </c>
      <c r="F11" s="350">
        <f>'أخذ التمام الصباحي'!$K$29</f>
        <v>9988</v>
      </c>
      <c r="G11" s="342"/>
      <c r="H11" s="343">
        <f t="shared" ref="H11" si="0">SUM(D11:G11)</f>
        <v>41655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36715</v>
      </c>
      <c r="F12" s="350">
        <f>'أخذ التمام الصباحي'!$K$30</f>
        <v>9999</v>
      </c>
      <c r="G12" s="342"/>
      <c r="H12" s="343">
        <f>SUM(D12:G12)</f>
        <v>46714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64320</v>
      </c>
      <c r="F13" s="350">
        <f>'أخذ التمام الصباحي'!$K$31</f>
        <v>15784</v>
      </c>
      <c r="G13" s="342"/>
      <c r="H13" s="343">
        <f>SUM(D13:G13)</f>
        <v>80104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31599</v>
      </c>
      <c r="F14" s="350">
        <f>'أخذ التمام الصباحي'!$K$6</f>
        <v>9695</v>
      </c>
      <c r="G14" s="342"/>
      <c r="H14" s="343">
        <f>SUM(D14:G14)</f>
        <v>41294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41263</v>
      </c>
      <c r="E15" s="350">
        <f>'أخذ التمام الصباحي'!$H$7</f>
        <v>22483</v>
      </c>
      <c r="F15" s="350">
        <f>'أخذ التمام الصباحي'!$K$7</f>
        <v>4645</v>
      </c>
      <c r="G15" s="342"/>
      <c r="H15" s="343">
        <f t="shared" ref="H15:H17" si="1">SUM(D15:G15)</f>
        <v>68391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3955</v>
      </c>
      <c r="E16" s="350">
        <f>'أخذ التمام الصباحي'!$H$26</f>
        <v>9524</v>
      </c>
      <c r="F16" s="350">
        <f>'أخذ التمام الصباحي'!$K$26</f>
        <v>1630</v>
      </c>
      <c r="G16" s="350">
        <f>'أخذ التمام الصباحي'!$N$26</f>
        <v>16526</v>
      </c>
      <c r="H16" s="343">
        <f t="shared" si="1"/>
        <v>31635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5923</v>
      </c>
      <c r="F17" s="350">
        <f>'أخذ التمام الصباحي'!$K$27</f>
        <v>1475</v>
      </c>
      <c r="G17" s="342"/>
      <c r="H17" s="343">
        <f t="shared" si="1"/>
        <v>7398</v>
      </c>
    </row>
    <row r="18" spans="2:8" ht="54.95" customHeight="1" thickTop="1" thickBot="1" x14ac:dyDescent="0.25">
      <c r="B18" s="439" t="s">
        <v>192</v>
      </c>
      <c r="C18" s="440"/>
      <c r="D18" s="351">
        <f t="shared" ref="D18:G18" si="2">SUM(D10:D17)</f>
        <v>45218</v>
      </c>
      <c r="E18" s="351">
        <f t="shared" si="2"/>
        <v>232698</v>
      </c>
      <c r="F18" s="351">
        <f t="shared" si="2"/>
        <v>63343</v>
      </c>
      <c r="G18" s="351">
        <f t="shared" si="2"/>
        <v>16526</v>
      </c>
      <c r="H18" s="351">
        <f>SUM(H10:H17)</f>
        <v>357785</v>
      </c>
    </row>
    <row r="19" spans="2:8" ht="15" thickTop="1" x14ac:dyDescent="0.2"/>
  </sheetData>
  <customSheetViews>
    <customSheetView guid="{18C0F7AC-4BB1-46DE-8A01-8E31FE0585FC}" scale="86" showPageBreaks="1" view="pageBreakPreview" topLeftCell="A2">
      <selection activeCell="B7" sqref="B7:H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4"/>
  <sheetViews>
    <sheetView rightToLeft="1" zoomScale="70" zoomScaleNormal="70" workbookViewId="0">
      <selection activeCell="A37" sqref="A37:A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391" t="s">
        <v>3</v>
      </c>
      <c r="C2" s="452" t="s">
        <v>84</v>
      </c>
      <c r="D2" s="452"/>
      <c r="E2" s="452"/>
      <c r="F2" s="452"/>
      <c r="G2" s="452" t="s">
        <v>88</v>
      </c>
      <c r="H2" s="452"/>
      <c r="I2" s="452"/>
      <c r="N2" s="447" t="s">
        <v>3</v>
      </c>
      <c r="O2" s="453" t="s">
        <v>85</v>
      </c>
      <c r="P2" s="454"/>
      <c r="Q2" s="454"/>
      <c r="R2" s="454"/>
      <c r="S2" s="454"/>
      <c r="T2" s="455"/>
    </row>
    <row r="3" spans="1:23" ht="15.75" thickBot="1" x14ac:dyDescent="0.25">
      <c r="B3" s="391"/>
      <c r="C3" s="450" t="s">
        <v>82</v>
      </c>
      <c r="D3" s="450"/>
      <c r="E3" s="450"/>
      <c r="F3" s="188" t="s">
        <v>81</v>
      </c>
      <c r="G3" s="450" t="s">
        <v>81</v>
      </c>
      <c r="H3" s="450"/>
      <c r="I3" s="450"/>
      <c r="N3" s="448"/>
      <c r="O3" s="459" t="s">
        <v>87</v>
      </c>
      <c r="P3" s="460"/>
      <c r="Q3" s="461"/>
      <c r="R3" s="459" t="s">
        <v>164</v>
      </c>
      <c r="S3" s="460"/>
      <c r="T3" s="461"/>
    </row>
    <row r="4" spans="1:23" ht="15.75" thickBot="1" x14ac:dyDescent="0.25">
      <c r="A4" s="451"/>
      <c r="B4" s="391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449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451"/>
      <c r="B5" s="186" t="s">
        <v>15</v>
      </c>
      <c r="C5" s="184"/>
      <c r="D5" s="184"/>
      <c r="E5" s="161"/>
      <c r="F5" s="161"/>
      <c r="G5" s="161"/>
      <c r="H5" s="322">
        <v>34</v>
      </c>
      <c r="I5" s="322">
        <v>17</v>
      </c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>
        <v>17</v>
      </c>
      <c r="I6" s="322"/>
      <c r="N6" s="191" t="s">
        <v>23</v>
      </c>
      <c r="O6" s="189"/>
      <c r="P6" s="189"/>
      <c r="Q6" s="189"/>
      <c r="R6" s="189"/>
      <c r="S6" s="293"/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>
        <v>17</v>
      </c>
      <c r="I7" s="287">
        <v>17</v>
      </c>
      <c r="N7" s="191" t="s">
        <v>24</v>
      </c>
      <c r="O7" s="189"/>
      <c r="P7" s="189"/>
      <c r="Q7" s="189"/>
      <c r="R7" s="189"/>
      <c r="S7" s="293"/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51</v>
      </c>
      <c r="H8" s="292">
        <v>34</v>
      </c>
      <c r="I8" s="292">
        <v>17</v>
      </c>
      <c r="N8" s="191" t="s">
        <v>26</v>
      </c>
      <c r="O8" s="228"/>
      <c r="P8" s="228"/>
      <c r="Q8" s="228"/>
      <c r="R8" s="228">
        <v>17</v>
      </c>
      <c r="S8" s="293"/>
      <c r="T8" s="293">
        <v>34</v>
      </c>
    </row>
    <row r="9" spans="1:23" ht="16.5" thickBot="1" x14ac:dyDescent="0.25">
      <c r="A9" s="187"/>
      <c r="B9" s="186" t="s">
        <v>16</v>
      </c>
      <c r="C9" s="322"/>
      <c r="D9" s="184"/>
      <c r="E9" s="184"/>
      <c r="F9" s="184"/>
      <c r="G9" s="184">
        <v>17</v>
      </c>
      <c r="H9" s="184">
        <v>51</v>
      </c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17</v>
      </c>
      <c r="S9" s="5">
        <f t="shared" si="0"/>
        <v>0</v>
      </c>
      <c r="T9" s="5">
        <f t="shared" si="0"/>
        <v>85</v>
      </c>
    </row>
    <row r="10" spans="1:23" ht="16.5" thickBot="1" x14ac:dyDescent="0.25">
      <c r="A10" s="187"/>
      <c r="B10" s="186" t="s">
        <v>17</v>
      </c>
      <c r="C10" s="322">
        <v>34</v>
      </c>
      <c r="D10" s="184">
        <v>17</v>
      </c>
      <c r="E10" s="161"/>
      <c r="F10" s="161"/>
      <c r="G10" s="184"/>
      <c r="H10" s="184">
        <v>34</v>
      </c>
      <c r="I10" s="184"/>
    </row>
    <row r="11" spans="1:23" ht="16.5" thickBot="1" x14ac:dyDescent="0.25">
      <c r="B11" s="186" t="s">
        <v>18</v>
      </c>
      <c r="C11" s="184">
        <v>17</v>
      </c>
      <c r="D11" s="161"/>
      <c r="E11" s="184"/>
      <c r="F11" s="184"/>
      <c r="G11" s="184"/>
      <c r="H11" s="184"/>
      <c r="I11" s="161"/>
      <c r="R11" s="260"/>
    </row>
    <row r="12" spans="1:23" ht="16.5" thickBot="1" x14ac:dyDescent="0.25">
      <c r="B12" s="186" t="s">
        <v>19</v>
      </c>
      <c r="C12" s="184">
        <v>17</v>
      </c>
      <c r="D12" s="161"/>
      <c r="E12" s="184">
        <v>17</v>
      </c>
      <c r="F12" s="184"/>
      <c r="G12" s="184"/>
      <c r="H12" s="184"/>
      <c r="I12" s="161"/>
      <c r="J12" s="285"/>
      <c r="K12" s="325"/>
      <c r="L12" s="187"/>
      <c r="P12" s="447" t="s">
        <v>3</v>
      </c>
      <c r="Q12" s="324" t="s">
        <v>165</v>
      </c>
    </row>
    <row r="13" spans="1:23" ht="16.5" thickBot="1" x14ac:dyDescent="0.25">
      <c r="B13" s="186" t="s">
        <v>20</v>
      </c>
      <c r="C13" s="322"/>
      <c r="D13" s="184"/>
      <c r="E13" s="161"/>
      <c r="F13" s="161"/>
      <c r="G13" s="161"/>
      <c r="H13" s="184">
        <v>51</v>
      </c>
      <c r="I13" s="184"/>
      <c r="P13" s="448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/>
      <c r="D14" s="184"/>
      <c r="E14" s="184"/>
      <c r="F14" s="184"/>
      <c r="G14" s="161"/>
      <c r="H14" s="184">
        <v>34</v>
      </c>
      <c r="I14" s="184">
        <v>17</v>
      </c>
      <c r="P14" s="449"/>
      <c r="Q14" s="163" t="s">
        <v>50</v>
      </c>
      <c r="S14" s="163" t="s">
        <v>93</v>
      </c>
      <c r="T14" s="162">
        <f>G22+C34</f>
        <v>68</v>
      </c>
      <c r="U14" s="162">
        <f>H22+D34</f>
        <v>408</v>
      </c>
      <c r="V14" s="162">
        <f>I22</f>
        <v>85</v>
      </c>
      <c r="W14" s="162">
        <f>F22+E34</f>
        <v>51</v>
      </c>
    </row>
    <row r="15" spans="1:23" ht="16.5" thickBot="1" x14ac:dyDescent="0.25">
      <c r="A15" s="47"/>
      <c r="B15" s="332" t="s">
        <v>176</v>
      </c>
      <c r="C15" s="330"/>
      <c r="D15" s="330"/>
      <c r="E15" s="161"/>
      <c r="F15" s="161"/>
      <c r="G15" s="161"/>
      <c r="H15" s="330">
        <v>34</v>
      </c>
      <c r="I15" s="330">
        <v>17</v>
      </c>
      <c r="L15" s="227"/>
      <c r="P15" s="191" t="s">
        <v>30</v>
      </c>
      <c r="Q15" s="305">
        <v>51</v>
      </c>
      <c r="S15" s="163" t="s">
        <v>87</v>
      </c>
      <c r="T15" s="162">
        <f>H34</f>
        <v>0</v>
      </c>
      <c r="U15" s="162">
        <f>C22+O9+F34</f>
        <v>153</v>
      </c>
      <c r="V15" s="162">
        <f>D22+P9+G34</f>
        <v>68</v>
      </c>
      <c r="W15" s="162">
        <f>E22+I34+Q9</f>
        <v>85</v>
      </c>
    </row>
    <row r="16" spans="1:23" ht="16.5" thickBot="1" x14ac:dyDescent="0.25">
      <c r="A16" s="47"/>
      <c r="B16" s="327" t="s">
        <v>177</v>
      </c>
      <c r="C16" s="330"/>
      <c r="D16" s="330"/>
      <c r="E16" s="161"/>
      <c r="F16" s="161"/>
      <c r="G16" s="161"/>
      <c r="H16" s="330"/>
      <c r="I16" s="330"/>
      <c r="P16" s="191" t="s">
        <v>31</v>
      </c>
      <c r="Q16" s="305">
        <v>51</v>
      </c>
      <c r="S16" s="163" t="s">
        <v>164</v>
      </c>
      <c r="T16" s="288"/>
      <c r="U16" s="162">
        <f>R9</f>
        <v>17</v>
      </c>
      <c r="V16" s="162">
        <f>S9</f>
        <v>0</v>
      </c>
      <c r="W16" s="162">
        <f>T9</f>
        <v>85</v>
      </c>
    </row>
    <row r="17" spans="1:23" ht="16.5" thickBot="1" x14ac:dyDescent="0.25">
      <c r="A17" s="47"/>
      <c r="B17" s="327" t="s">
        <v>178</v>
      </c>
      <c r="C17" s="330"/>
      <c r="D17" s="330"/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/>
      <c r="D18" s="330"/>
      <c r="E18" s="161"/>
      <c r="F18" s="161"/>
      <c r="G18" s="161"/>
      <c r="H18" s="330">
        <v>51</v>
      </c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195</v>
      </c>
      <c r="C19" s="363"/>
      <c r="D19" s="363"/>
      <c r="E19" s="161"/>
      <c r="F19" s="161"/>
      <c r="G19" s="161"/>
      <c r="H19" s="363"/>
      <c r="I19" s="363"/>
      <c r="P19" s="190" t="s">
        <v>74</v>
      </c>
      <c r="Q19" s="305">
        <f>SUM(Q15:Q18)</f>
        <v>102</v>
      </c>
      <c r="S19" s="163" t="s">
        <v>155</v>
      </c>
      <c r="T19" s="162">
        <f>'التمام الصباحي'!F39</f>
        <v>68</v>
      </c>
      <c r="U19" s="162">
        <f>'التمام الصباحي'!L39</f>
        <v>578</v>
      </c>
      <c r="V19" s="162">
        <f>'التمام الصباحي'!R39</f>
        <v>153</v>
      </c>
      <c r="W19" s="162">
        <f>'التمام الصباحي'!X39</f>
        <v>323</v>
      </c>
    </row>
    <row r="20" spans="1:23" ht="16.5" thickBot="1" x14ac:dyDescent="0.25">
      <c r="A20" s="47"/>
      <c r="B20" s="362" t="s">
        <v>196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68</v>
      </c>
      <c r="U20" s="162">
        <f>C22+H22+D34+F34+O9+R9</f>
        <v>578</v>
      </c>
      <c r="V20" s="162">
        <f>D22+I22+G34+P9+S9</f>
        <v>153</v>
      </c>
      <c r="W20" s="162">
        <f>E22+F22+Q9+T9+E34+I34+Q19</f>
        <v>323</v>
      </c>
    </row>
    <row r="21" spans="1:23" ht="16.5" thickBot="1" x14ac:dyDescent="0.25">
      <c r="A21" s="47"/>
      <c r="B21" s="362" t="s">
        <v>199</v>
      </c>
      <c r="C21" s="363"/>
      <c r="D21" s="363"/>
      <c r="E21" s="161"/>
      <c r="F21" s="161"/>
      <c r="G21" s="161"/>
      <c r="H21" s="363"/>
      <c r="I21" s="363"/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SUM(C5:C21)+E44</f>
        <v>102</v>
      </c>
      <c r="D22" s="330">
        <f>SUM(D5:D21)+F44</f>
        <v>34</v>
      </c>
      <c r="E22" s="330">
        <f>SUM(E5:E18)+G44</f>
        <v>17</v>
      </c>
      <c r="F22" s="330">
        <f>SUM(F5:F18)+D44</f>
        <v>51</v>
      </c>
      <c r="G22" s="330">
        <f>SUM(G5:G18)</f>
        <v>68</v>
      </c>
      <c r="H22" s="330">
        <f>SUM(H5:H21)+B44</f>
        <v>408</v>
      </c>
      <c r="I22" s="330">
        <f>SUM(I5:I21)+C44</f>
        <v>85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447" t="s">
        <v>3</v>
      </c>
      <c r="C25" s="453" t="s">
        <v>86</v>
      </c>
      <c r="D25" s="454"/>
      <c r="E25" s="454"/>
      <c r="F25" s="454"/>
      <c r="G25" s="454"/>
      <c r="H25" s="454"/>
      <c r="I25" s="455"/>
      <c r="J25" s="300"/>
    </row>
    <row r="26" spans="1:23" ht="17.25" customHeight="1" thickBot="1" x14ac:dyDescent="0.25">
      <c r="B26" s="448"/>
      <c r="C26" s="450" t="s">
        <v>81</v>
      </c>
      <c r="D26" s="450"/>
      <c r="E26" s="450"/>
      <c r="F26" s="450" t="s">
        <v>87</v>
      </c>
      <c r="G26" s="450"/>
      <c r="H26" s="450"/>
      <c r="I26" s="450"/>
      <c r="J26" s="300"/>
    </row>
    <row r="27" spans="1:23" ht="15.75" thickBot="1" x14ac:dyDescent="0.25">
      <c r="B27" s="449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/>
      <c r="G28" s="330"/>
      <c r="H28" s="334"/>
      <c r="I28" s="330">
        <v>51</v>
      </c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>
        <v>34</v>
      </c>
      <c r="G29" s="330">
        <v>17</v>
      </c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>
        <v>17</v>
      </c>
      <c r="G32" s="331">
        <v>17</v>
      </c>
      <c r="H32" s="331"/>
      <c r="I32" s="330">
        <v>17</v>
      </c>
    </row>
    <row r="33" spans="1:14" ht="16.5" thickBot="1" x14ac:dyDescent="0.25">
      <c r="B33" s="362" t="s">
        <v>198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SUM(C28:C33)+L44</f>
        <v>0</v>
      </c>
      <c r="D34" s="330">
        <f>SUM(D28:D33)+M44</f>
        <v>0</v>
      </c>
      <c r="E34" s="330">
        <f>SUM(E28:E33)+N44</f>
        <v>0</v>
      </c>
      <c r="F34" s="330">
        <f>SUM(F28:F33)+H44</f>
        <v>51</v>
      </c>
      <c r="G34" s="330">
        <f>SUM(G28:G33)+I44</f>
        <v>34</v>
      </c>
      <c r="H34" s="330">
        <f>SUM(H28:H32)+K44</f>
        <v>0</v>
      </c>
      <c r="I34" s="330">
        <f>SUM(I28:I33)+J44</f>
        <v>68</v>
      </c>
    </row>
    <row r="36" spans="1:14" ht="15" thickBot="1" x14ac:dyDescent="0.25"/>
    <row r="37" spans="1:14" ht="15.75" thickBot="1" x14ac:dyDescent="0.25">
      <c r="A37" s="447" t="s">
        <v>3</v>
      </c>
      <c r="B37" s="456" t="s">
        <v>88</v>
      </c>
      <c r="C37" s="457"/>
      <c r="D37" s="456" t="s">
        <v>84</v>
      </c>
      <c r="E37" s="458"/>
      <c r="F37" s="458"/>
      <c r="G37" s="457"/>
      <c r="H37" s="456" t="s">
        <v>86</v>
      </c>
      <c r="I37" s="458"/>
      <c r="J37" s="458"/>
      <c r="K37" s="458"/>
      <c r="L37" s="458"/>
      <c r="M37" s="458"/>
      <c r="N37" s="457"/>
    </row>
    <row r="38" spans="1:14" ht="15.75" thickBot="1" x14ac:dyDescent="0.25">
      <c r="A38" s="448"/>
      <c r="B38" s="456" t="s">
        <v>81</v>
      </c>
      <c r="C38" s="457"/>
      <c r="D38" s="329" t="s">
        <v>81</v>
      </c>
      <c r="E38" s="456" t="s">
        <v>87</v>
      </c>
      <c r="F38" s="458"/>
      <c r="G38" s="457"/>
      <c r="H38" s="456" t="s">
        <v>87</v>
      </c>
      <c r="I38" s="458"/>
      <c r="J38" s="458"/>
      <c r="K38" s="457"/>
      <c r="L38" s="456" t="s">
        <v>81</v>
      </c>
      <c r="M38" s="458"/>
      <c r="N38" s="457"/>
    </row>
    <row r="39" spans="1:14" ht="15.75" thickBot="1" x14ac:dyDescent="0.25">
      <c r="A39" s="449"/>
      <c r="B39" s="163">
        <v>92</v>
      </c>
      <c r="C39" s="163">
        <v>95</v>
      </c>
      <c r="D39" s="163" t="s">
        <v>50</v>
      </c>
      <c r="E39" s="163">
        <v>92</v>
      </c>
      <c r="F39" s="163">
        <v>95</v>
      </c>
      <c r="G39" s="163" t="s">
        <v>50</v>
      </c>
      <c r="H39" s="163">
        <v>92</v>
      </c>
      <c r="I39" s="163">
        <v>95</v>
      </c>
      <c r="J39" s="163" t="s">
        <v>50</v>
      </c>
      <c r="K39" s="163">
        <v>80</v>
      </c>
      <c r="L39" s="163">
        <v>80</v>
      </c>
      <c r="M39" s="163">
        <v>92</v>
      </c>
      <c r="N39" s="163" t="s">
        <v>50</v>
      </c>
    </row>
    <row r="40" spans="1:14" ht="16.5" thickBot="1" x14ac:dyDescent="0.25">
      <c r="A40" s="362" t="s">
        <v>166</v>
      </c>
      <c r="B40" s="330">
        <v>17</v>
      </c>
      <c r="C40" s="330"/>
      <c r="D40" s="330"/>
      <c r="E40" s="330"/>
      <c r="F40" s="330"/>
      <c r="G40" s="330"/>
      <c r="H40" s="330"/>
      <c r="I40" s="229"/>
      <c r="J40" s="229"/>
      <c r="K40" s="229"/>
      <c r="L40" s="229"/>
      <c r="M40" s="229"/>
      <c r="N40" s="229"/>
    </row>
    <row r="41" spans="1:14" ht="16.5" thickBot="1" x14ac:dyDescent="0.25">
      <c r="A41" s="362" t="s">
        <v>167</v>
      </c>
      <c r="B41" s="330">
        <v>34</v>
      </c>
      <c r="C41" s="330"/>
      <c r="D41" s="330"/>
      <c r="E41" s="330"/>
      <c r="F41" s="330"/>
      <c r="G41" s="330"/>
      <c r="H41" s="330"/>
      <c r="I41" s="229"/>
      <c r="J41" s="229"/>
      <c r="K41" s="229"/>
      <c r="L41" s="229"/>
      <c r="M41" s="229"/>
      <c r="N41" s="229"/>
    </row>
    <row r="42" spans="1:14" ht="16.5" thickBot="1" x14ac:dyDescent="0.25">
      <c r="A42" s="362" t="s">
        <v>32</v>
      </c>
      <c r="B42" s="301"/>
      <c r="C42" s="301"/>
      <c r="D42" s="301">
        <v>51</v>
      </c>
      <c r="E42" s="301"/>
      <c r="F42" s="301"/>
      <c r="G42" s="301"/>
      <c r="H42" s="301"/>
      <c r="I42" s="229"/>
      <c r="J42" s="229"/>
      <c r="K42" s="229"/>
      <c r="L42" s="229"/>
      <c r="M42" s="229"/>
      <c r="N42" s="229"/>
    </row>
    <row r="43" spans="1:14" ht="16.5" thickBot="1" x14ac:dyDescent="0.25">
      <c r="A43" s="362" t="s">
        <v>33</v>
      </c>
      <c r="B43" s="230"/>
      <c r="C43" s="230"/>
      <c r="D43" s="230"/>
      <c r="E43" s="230">
        <v>34</v>
      </c>
      <c r="F43" s="230">
        <v>17</v>
      </c>
      <c r="G43" s="230"/>
      <c r="H43" s="230"/>
      <c r="I43" s="229"/>
      <c r="J43" s="229"/>
      <c r="K43" s="229"/>
      <c r="L43" s="229"/>
      <c r="M43" s="229"/>
      <c r="N43" s="229"/>
    </row>
    <row r="44" spans="1:14" ht="15.75" thickBot="1" x14ac:dyDescent="0.25">
      <c r="A44" s="319" t="s">
        <v>172</v>
      </c>
      <c r="B44" s="313">
        <f t="shared" ref="B44:I44" si="2">SUM(B40:B43)</f>
        <v>51</v>
      </c>
      <c r="C44" s="313">
        <f t="shared" si="2"/>
        <v>0</v>
      </c>
      <c r="D44" s="313">
        <f t="shared" si="2"/>
        <v>51</v>
      </c>
      <c r="E44" s="313">
        <f t="shared" si="2"/>
        <v>34</v>
      </c>
      <c r="F44" s="313">
        <f t="shared" si="2"/>
        <v>17</v>
      </c>
      <c r="G44" s="313">
        <f t="shared" si="2"/>
        <v>0</v>
      </c>
      <c r="H44" s="313">
        <f t="shared" si="2"/>
        <v>0</v>
      </c>
      <c r="I44" s="313">
        <f t="shared" si="2"/>
        <v>0</v>
      </c>
      <c r="J44" s="363">
        <f>SUM(J40:J43)</f>
        <v>0</v>
      </c>
      <c r="K44" s="363">
        <f>SUM(K40:K43)</f>
        <v>0</v>
      </c>
      <c r="L44" s="363">
        <f>SUM(L40:L43)</f>
        <v>0</v>
      </c>
      <c r="M44" s="363">
        <f>SUM(M40:M43)</f>
        <v>0</v>
      </c>
      <c r="N44" s="363">
        <f>SUM(N40:N43)</f>
        <v>0</v>
      </c>
    </row>
  </sheetData>
  <customSheetViews>
    <customSheetView guid="{8317B6D8-8A99-4EB0-9DBC-8E9AE0170A4B}">
      <selection activeCell="O15" sqref="O15"/>
      <pageMargins left="0.7" right="0.7" top="0.75" bottom="0.75" header="0.3" footer="0.3"/>
      <pageSetup paperSize="9" orientation="portrait" r:id="rId1"/>
    </customSheetView>
    <customSheetView guid="{18C0F7AC-4BB1-46DE-8A01-8E31FE0585FC}" scale="70">
      <selection activeCell="A37" sqref="A37:A39"/>
      <pageMargins left="0.7" right="0.7" top="0.75" bottom="0.75" header="0.3" footer="0.3"/>
      <pageSetup paperSize="9" orientation="portrait" r:id="rId2"/>
    </customSheetView>
  </customSheetViews>
  <mergeCells count="23">
    <mergeCell ref="O2:T2"/>
    <mergeCell ref="B38:C38"/>
    <mergeCell ref="D37:G37"/>
    <mergeCell ref="E38:G38"/>
    <mergeCell ref="B37:C37"/>
    <mergeCell ref="N2:N4"/>
    <mergeCell ref="O3:Q3"/>
    <mergeCell ref="B25:B27"/>
    <mergeCell ref="C26:E26"/>
    <mergeCell ref="R3:T3"/>
    <mergeCell ref="P12:P14"/>
    <mergeCell ref="C2:F2"/>
    <mergeCell ref="H37:N37"/>
    <mergeCell ref="L38:N38"/>
    <mergeCell ref="H38:K38"/>
    <mergeCell ref="A37:A39"/>
    <mergeCell ref="F26:I26"/>
    <mergeCell ref="A4:A5"/>
    <mergeCell ref="B2:B4"/>
    <mergeCell ref="G2:I2"/>
    <mergeCell ref="C25:I25"/>
    <mergeCell ref="C3:E3"/>
    <mergeCell ref="G3:I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475" t="s">
        <v>159</v>
      </c>
      <c r="E5" s="475"/>
      <c r="F5" s="475"/>
      <c r="G5" s="475"/>
      <c r="H5" s="475"/>
      <c r="Q5" s="476" t="s">
        <v>118</v>
      </c>
      <c r="R5" s="476"/>
      <c r="S5" s="476"/>
      <c r="T5" s="476"/>
      <c r="U5" s="476"/>
    </row>
    <row r="6" spans="4:24" ht="15.75" hidden="1" customHeight="1" thickBot="1" x14ac:dyDescent="0.25">
      <c r="D6" s="477" t="s">
        <v>3</v>
      </c>
      <c r="E6" s="258">
        <v>80</v>
      </c>
      <c r="F6" s="232">
        <v>92</v>
      </c>
      <c r="G6" s="232">
        <v>95</v>
      </c>
      <c r="H6" s="232" t="s">
        <v>50</v>
      </c>
      <c r="K6" s="379" t="s">
        <v>3</v>
      </c>
      <c r="L6" s="231">
        <v>80</v>
      </c>
      <c r="M6" s="231">
        <v>92</v>
      </c>
      <c r="N6" s="231">
        <v>95</v>
      </c>
      <c r="O6" s="231" t="s">
        <v>50</v>
      </c>
      <c r="Q6" s="379" t="s">
        <v>3</v>
      </c>
      <c r="R6" s="479" t="s">
        <v>95</v>
      </c>
      <c r="S6" s="479" t="s">
        <v>96</v>
      </c>
      <c r="T6" s="479" t="s">
        <v>97</v>
      </c>
      <c r="U6" s="481" t="s">
        <v>98</v>
      </c>
      <c r="W6" s="379" t="s">
        <v>99</v>
      </c>
      <c r="X6" s="379" t="s">
        <v>100</v>
      </c>
    </row>
    <row r="7" spans="4:24" ht="15.75" hidden="1" customHeight="1" thickBot="1" x14ac:dyDescent="0.25">
      <c r="D7" s="478"/>
      <c r="E7" s="258" t="s">
        <v>7</v>
      </c>
      <c r="F7" s="232" t="s">
        <v>7</v>
      </c>
      <c r="G7" s="232" t="s">
        <v>7</v>
      </c>
      <c r="H7" s="232" t="s">
        <v>7</v>
      </c>
      <c r="K7" s="379"/>
      <c r="L7" s="201" t="s">
        <v>7</v>
      </c>
      <c r="M7" s="201" t="s">
        <v>7</v>
      </c>
      <c r="N7" s="201" t="s">
        <v>7</v>
      </c>
      <c r="O7" s="201" t="s">
        <v>7</v>
      </c>
      <c r="Q7" s="379"/>
      <c r="R7" s="480"/>
      <c r="S7" s="480"/>
      <c r="T7" s="480"/>
      <c r="U7" s="481"/>
      <c r="W7" s="379"/>
      <c r="X7" s="379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472" t="s">
        <v>101</v>
      </c>
      <c r="X8" s="465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473"/>
      <c r="X9" s="466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462">
        <f>IF((ROUNDDOWN((SUM(M10:M11)/51)-(R10+R11),0.9))&lt;0,0,(ROUNDDOWN((SUM(M10:M11)/51)-(R10+R11),0.9)))</f>
        <v>0</v>
      </c>
      <c r="T10" s="462">
        <f>IF((ROUNDDOWN((SUM(O10:O11)/51)-(R10+R11),0.9))&lt;0,0,(ROUNDDOWN((SUM(O10:O11)/51)-(R10+R11),0.9)))</f>
        <v>0</v>
      </c>
      <c r="U10" s="462">
        <f>IF((ROUNDDOWN((SUM(L10:O11)/51)-(R10+R11+S10+T10),0.9))&lt;0,0,ROUNDDOWN((SUM(L10:O11)/51)-(R10+R11+S10+T10),0.9))</f>
        <v>0</v>
      </c>
      <c r="W10" s="473"/>
      <c r="X10" s="466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463"/>
      <c r="T11" s="463"/>
      <c r="U11" s="463"/>
      <c r="W11" s="473"/>
      <c r="X11" s="466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468">
        <f>IF((ROUNDDOWN((SUM(M12:M13)/51)-(R12+R13),0.9))&lt;0,0,(ROUNDDOWN((SUM(M12:M13)/51)-(R12+R13),0.9)))</f>
        <v>0</v>
      </c>
      <c r="T12" s="468">
        <f t="shared" ref="T12" si="3">IF((ROUNDDOWN((SUM(O12:O13)/51)-(R12+R13),0.9))&lt;0,0,(ROUNDDOWN((SUM(O12:O13)/51)-(R12+R13),0.9)))</f>
        <v>0</v>
      </c>
      <c r="U12" s="468">
        <f t="shared" ref="U12" si="4">IF((ROUNDDOWN((SUM(L12:O13)/51)-(R12+R13+S12+T12),0.9))&lt;0,0,ROUNDDOWN((SUM(L12:O13)/51)-(R12+R13+S12+T12),0.9))</f>
        <v>0</v>
      </c>
      <c r="W12" s="473"/>
      <c r="X12" s="466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468"/>
      <c r="T13" s="468"/>
      <c r="U13" s="468"/>
      <c r="W13" s="473"/>
      <c r="X13" s="466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462">
        <f>IF((ROUNDDOWN((SUM(M14:M15)/51)-(R14+R15),0.9))&lt;0,0,(ROUNDDOWN((SUM(M14:M15)/51)-(R14+R15),0.9)))</f>
        <v>0</v>
      </c>
      <c r="T14" s="462">
        <f t="shared" ref="T14" si="5">IF((ROUNDDOWN((SUM(O14:O15)/51)-(R14+R15),0.9))&lt;0,0,(ROUNDDOWN((SUM(O14:O15)/51)-(R14+R15),0.9)))</f>
        <v>0</v>
      </c>
      <c r="U14" s="462">
        <f t="shared" ref="U14" si="6">IF((ROUNDDOWN((SUM(L14:O15)/51)-(R14+R15+S14+T14),0.9))&lt;0,0,ROUNDDOWN((SUM(L14:O15)/51)-(R14+R15+S14+T14),0.9))</f>
        <v>0</v>
      </c>
      <c r="W14" s="473"/>
      <c r="X14" s="466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463"/>
      <c r="T15" s="463"/>
      <c r="U15" s="463"/>
      <c r="W15" s="474"/>
      <c r="X15" s="467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464" t="s">
        <v>85</v>
      </c>
      <c r="X16" s="482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469">
        <f>IF((ROUNDDOWN((SUM(M17:M18)/51)-(R17+R18),0.9))&lt;0,0,(ROUNDDOWN((SUM(M17:M18)/51)-(R17+R18),0.9)))</f>
        <v>0</v>
      </c>
      <c r="T17" s="469">
        <f>IF((ROUNDDOWN((SUM(O17:O18)/51)-(R17+R18),0.9))&lt;0,0,(ROUNDDOWN((SUM(O17:O18)/51)-(R17+R18),0.9)))</f>
        <v>0</v>
      </c>
      <c r="U17" s="469">
        <f>IF((ROUNDDOWN((SUM(L17:O18)/51)-(R17+R18+S17+T17),0.9))&lt;0,0,ROUNDDOWN((SUM(L17:O18)/51)-(R17+R18+S17+T17),0.9))</f>
        <v>0</v>
      </c>
      <c r="W17" s="464"/>
      <c r="X17" s="482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470"/>
      <c r="T18" s="470"/>
      <c r="U18" s="470"/>
      <c r="W18" s="464"/>
      <c r="X18" s="482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464"/>
      <c r="X19" s="482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462">
        <f>IF((ROUNDDOWN((SUM(M20:M21)/51)-(R20+R21),0.9))&lt;0,0,(ROUNDDOWN((SUM(M20:M21)/51)-(R20+R21),0.9)))</f>
        <v>0</v>
      </c>
      <c r="T20" s="462">
        <f>IF((ROUNDDOWN((SUM(O20:O21)/51)-(R20+R21),0.9))&lt;0,0,(ROUNDDOWN((SUM(O20:O21)/51)-(R20+R21),0.9)))</f>
        <v>0</v>
      </c>
      <c r="U20" s="462">
        <f>IF((ROUNDDOWN((SUM(L20:O21)/51)-(R20+R21+S20+T20),0.9))&lt;0,0,ROUNDDOWN((SUM(L20:O21)/51)-(R20+R21+S20+T20),0.9))</f>
        <v>0</v>
      </c>
      <c r="W20" s="464" t="s">
        <v>102</v>
      </c>
      <c r="X20" s="482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463"/>
      <c r="T21" s="463"/>
      <c r="U21" s="463"/>
      <c r="W21" s="464"/>
      <c r="X21" s="482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468">
        <f>IF((ROUNDDOWN((SUM(M22:M23)/51)-(R22+R23),0.9))&lt;0,0,(ROUNDDOWN((SUM(M22:M23)/51)-(R22+R23),0.9)))</f>
        <v>0</v>
      </c>
      <c r="T22" s="469">
        <f>IF((ROUNDDOWN((SUM(O22:O23)/51)-(R22+R23),0.9))&lt;0,0,(ROUNDDOWN((SUM(O22:O23)/51)-(R22+R23),0.9)))</f>
        <v>0</v>
      </c>
      <c r="U22" s="469">
        <f t="shared" ref="U22" si="7">IF((ROUNDDOWN((SUM(L22:O23)/51)-(R22+R23+S22+T22),0.9))&lt;0,0,ROUNDDOWN((SUM(L22:O23)/51)-(R22+R23+S22+T22),0.9))</f>
        <v>0</v>
      </c>
      <c r="W22" s="464"/>
      <c r="X22" s="482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468"/>
      <c r="T23" s="470"/>
      <c r="U23" s="470"/>
      <c r="W23" s="464"/>
      <c r="X23" s="482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462">
        <f>IF((ROUNDDOWN((SUM(M24:M25)/51)-(R24+R25),0.9))&lt;0,0,(ROUNDDOWN((SUM(M24:M25)/51)-(R24+R25),0.9)))</f>
        <v>0</v>
      </c>
      <c r="T24" s="462">
        <f>IF((ROUNDDOWN((SUM(O24:O25)/51)-(R24+R25),0.9))&lt;0,0,(ROUNDDOWN((SUM(O24:O25)/51)-(R24+R25),0.9)))</f>
        <v>0</v>
      </c>
      <c r="U24" s="462">
        <f t="shared" ref="U24" si="8">IF((ROUNDDOWN((SUM(L24:O25)/51)-(R24+R25+S24+T24),0.9))&lt;0,0,ROUNDDOWN((SUM(L24:O25)/51)-(R24+R25+S24+T24),0.9))</f>
        <v>0</v>
      </c>
      <c r="W24" s="464" t="s">
        <v>90</v>
      </c>
      <c r="X24" s="482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463"/>
      <c r="T25" s="463"/>
      <c r="U25" s="463"/>
      <c r="W25" s="464"/>
      <c r="X25" s="482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468">
        <f>IF((ROUNDDOWN((SUM(M26:M27)/51)-(R26+R27),0.9))&lt;0,0,(ROUNDDOWN((SUM(M26:M27)/51)-(R26+R27),0.9)))</f>
        <v>0</v>
      </c>
      <c r="T26" s="468">
        <f>IF((ROUNDDOWN((SUM(O26:O27)/51)-(R26+R27),0.9))&lt;0,0,(ROUNDDOWN((SUM(O26:O27)/51)-(R26+R27),0.9)))</f>
        <v>0</v>
      </c>
      <c r="U26" s="468">
        <f t="shared" ref="U26" si="10">IF((ROUNDDOWN((SUM(L26:O27)/51)-(R26+R27+S26+T26),0.9))&lt;0,0,ROUNDDOWN((SUM(L26:O27)/51)-(R26+R27+S26+T26),0.9))</f>
        <v>0</v>
      </c>
      <c r="W26" s="464"/>
      <c r="X26" s="482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471"/>
      <c r="T27" s="471"/>
      <c r="U27" s="471"/>
      <c r="W27" s="464"/>
      <c r="X27" s="482"/>
    </row>
    <row r="28" spans="4:24" ht="14.25" hidden="1" customHeight="1" x14ac:dyDescent="0.2"/>
    <row r="29" spans="4:24" ht="21" thickBot="1" x14ac:dyDescent="0.35">
      <c r="D29" s="475"/>
      <c r="E29" s="475"/>
      <c r="F29" s="475"/>
      <c r="G29" s="475"/>
      <c r="H29" s="475"/>
      <c r="Q29" s="476" t="s">
        <v>118</v>
      </c>
      <c r="R29" s="476"/>
      <c r="S29" s="476"/>
      <c r="T29" s="476"/>
      <c r="U29" s="476"/>
    </row>
    <row r="30" spans="4:24" ht="15.75" thickBot="1" x14ac:dyDescent="0.25">
      <c r="D30" s="477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79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79" t="s">
        <v>3</v>
      </c>
      <c r="R30" s="479" t="s">
        <v>95</v>
      </c>
      <c r="S30" s="479" t="s">
        <v>96</v>
      </c>
      <c r="T30" s="479" t="s">
        <v>97</v>
      </c>
      <c r="U30" s="481" t="s">
        <v>98</v>
      </c>
      <c r="W30" s="379" t="s">
        <v>99</v>
      </c>
      <c r="X30" s="379" t="s">
        <v>100</v>
      </c>
    </row>
    <row r="31" spans="4:24" ht="15.75" thickBot="1" x14ac:dyDescent="0.25">
      <c r="D31" s="478"/>
      <c r="E31" s="258" t="s">
        <v>7</v>
      </c>
      <c r="F31" s="232" t="s">
        <v>7</v>
      </c>
      <c r="G31" s="232" t="s">
        <v>7</v>
      </c>
      <c r="H31" s="232" t="s">
        <v>7</v>
      </c>
      <c r="K31" s="379"/>
      <c r="L31" s="201" t="s">
        <v>7</v>
      </c>
      <c r="M31" s="201" t="s">
        <v>7</v>
      </c>
      <c r="N31" s="201" t="s">
        <v>7</v>
      </c>
      <c r="O31" s="201" t="s">
        <v>7</v>
      </c>
      <c r="Q31" s="379"/>
      <c r="R31" s="480"/>
      <c r="S31" s="480"/>
      <c r="T31" s="480"/>
      <c r="U31" s="481"/>
      <c r="W31" s="379"/>
      <c r="X31" s="379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65</v>
      </c>
      <c r="G32" s="194">
        <f>'التمام الصباحي'!Q8+'التمام الصباحي'!S8</f>
        <v>25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51</v>
      </c>
      <c r="N32" s="235">
        <f>IF(G32&gt;101,102,IF(G32&gt;84,85,IF(G32&gt;67,68,IF(G32&gt;50,51,IF(G32&gt;33,34,IF(G32&gt;16,17,0))))))</f>
        <v>17</v>
      </c>
      <c r="O32" s="234"/>
      <c r="P32" s="236"/>
      <c r="Q32" s="237" t="s">
        <v>15</v>
      </c>
      <c r="R32" s="238">
        <f t="shared" ref="R32:R51" si="11">ROUNDDOWN((SUM(L32:O32)/51),0.9)</f>
        <v>1</v>
      </c>
      <c r="S32" s="239"/>
      <c r="T32" s="240"/>
      <c r="U32" s="241"/>
      <c r="W32" s="472" t="s">
        <v>101</v>
      </c>
      <c r="X32" s="465">
        <f>SUM(R32:U39)/3</f>
        <v>2.6666666666666665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43</v>
      </c>
      <c r="G33" s="194">
        <f>'التمام الصباحي'!Q9+'التمام الصباحي'!S9</f>
        <v>14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34</v>
      </c>
      <c r="N33" s="235">
        <f t="shared" ref="N33:O58" si="13">IF(G33&gt;101,102,IF(G33&gt;84,85,IF(G33&gt;67,68,IF(G33&gt;50,51,IF(G33&gt;33,34,IF(G33&gt;16,17,0))))))</f>
        <v>0</v>
      </c>
      <c r="O33" s="234"/>
      <c r="P33" s="236"/>
      <c r="Q33" s="250" t="s">
        <v>163</v>
      </c>
      <c r="R33" s="238">
        <f t="shared" si="11"/>
        <v>0</v>
      </c>
      <c r="S33" s="252"/>
      <c r="T33" s="253"/>
      <c r="U33" s="254"/>
      <c r="W33" s="473"/>
      <c r="X33" s="466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57</v>
      </c>
      <c r="F34" s="194">
        <f>'التمام الصباحي'!K10+'التمام الصباحي'!M10</f>
        <v>39</v>
      </c>
      <c r="G34" s="194">
        <f>'التمام الصباحي'!Q10+'التمام الصباحي'!S10</f>
        <v>6</v>
      </c>
      <c r="H34" s="354"/>
      <c r="K34" s="233" t="s">
        <v>158</v>
      </c>
      <c r="L34" s="235">
        <f>IF(E34&gt;101,102,IF(E34&gt;84,85,IF(E34&gt;67,68,IF(E34&gt;50,51,IF(E34&gt;33,34,IF(E34&gt;16,17,0))))))</f>
        <v>51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462">
        <f>IF((ROUNDDOWN((SUM(M34:M35)/51)-(R34+R35),0.9))&lt;0,0,(ROUNDDOWN((SUM(M34:M35)/51)-(R34+R35),0.9)))</f>
        <v>0</v>
      </c>
      <c r="T34" s="462">
        <f>IF((ROUNDDOWN((SUM(O34:O35)/51)-(R34+R35),0.9))&lt;0,0,(ROUNDDOWN((SUM(O34:O35)/51)-(R34+R35),0.9)))</f>
        <v>0</v>
      </c>
      <c r="U34" s="462">
        <f>IF((ROUNDDOWN((SUM(L34:O35)/51)-(R34+R35+S34+T34),0.9))&lt;0,0,ROUNDDOWN((SUM(L34:O35)/51)-(R34+R35+S34+T34),0.9))</f>
        <v>0</v>
      </c>
      <c r="W34" s="473"/>
      <c r="X34" s="466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19</v>
      </c>
      <c r="F35" s="194">
        <f>'التمام الصباحي'!K11+'التمام الصباحي'!M11</f>
        <v>49</v>
      </c>
      <c r="G35" s="194">
        <f>'التمام الصباحي'!Q11+'التمام الصباحي'!S11</f>
        <v>14</v>
      </c>
      <c r="H35" s="194">
        <f>'التمام الصباحي'!W11+'التمام الصباحي'!Y11</f>
        <v>6</v>
      </c>
      <c r="K35" s="233" t="s">
        <v>16</v>
      </c>
      <c r="L35" s="235">
        <f t="shared" ref="L35:L53" si="14">IF(E35&gt;101,102,IF(E35&gt;84,85,IF(E35&gt;67,68,IF(E35&gt;50,51,IF(E35&gt;33,34,IF(E35&gt;16,17,0))))))</f>
        <v>17</v>
      </c>
      <c r="M35" s="235">
        <f t="shared" si="12"/>
        <v>34</v>
      </c>
      <c r="N35" s="235">
        <f t="shared" si="13"/>
        <v>0</v>
      </c>
      <c r="O35" s="235">
        <f t="shared" si="13"/>
        <v>0</v>
      </c>
      <c r="P35" s="236"/>
      <c r="Q35" s="244" t="s">
        <v>17</v>
      </c>
      <c r="R35" s="245">
        <f t="shared" si="11"/>
        <v>1</v>
      </c>
      <c r="S35" s="463"/>
      <c r="T35" s="463"/>
      <c r="U35" s="463"/>
      <c r="W35" s="473"/>
      <c r="X35" s="466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55</v>
      </c>
      <c r="G36" s="194">
        <f>'التمام الصباحي'!Q12+'التمام الصباحي'!S12</f>
        <v>29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468">
        <f>IF((ROUNDDOWN((SUM(M36:M37)/51)-(R36+R37),0.9))&lt;0,0,(ROUNDDOWN((SUM(M36:M37)/51)-(R36+R37),0.9)))</f>
        <v>0</v>
      </c>
      <c r="T36" s="468">
        <f t="shared" ref="T36" si="15">IF((ROUNDDOWN((SUM(O36:O37)/51)-(R36+R37),0.9))&lt;0,0,(ROUNDDOWN((SUM(O36:O37)/51)-(R36+R37),0.9)))</f>
        <v>0</v>
      </c>
      <c r="U36" s="468">
        <f t="shared" ref="U36" si="16">IF((ROUNDDOWN((SUM(L36:O37)/51)-(R36+R37+S36+T36),0.9))&lt;0,0,ROUNDDOWN((SUM(L36:O37)/51)-(R36+R37+S36+T36),0.9))</f>
        <v>0</v>
      </c>
      <c r="W36" s="473"/>
      <c r="X36" s="466"/>
    </row>
    <row r="37" spans="3:24" ht="16.5" thickBot="1" x14ac:dyDescent="0.3">
      <c r="D37" s="233" t="s">
        <v>18</v>
      </c>
      <c r="E37" s="194">
        <f>'التمام الصباحي'!E13+'التمام الصباحي'!G13</f>
        <v>16</v>
      </c>
      <c r="F37" s="194">
        <f>'التمام الصباحي'!K13+'التمام الصباحي'!M13</f>
        <v>51</v>
      </c>
      <c r="G37" s="295"/>
      <c r="H37" s="194">
        <f>'التمام الصباحي'!W13+'التمام الصباحي'!Y13</f>
        <v>20</v>
      </c>
      <c r="K37" s="233" t="s">
        <v>18</v>
      </c>
      <c r="L37" s="235">
        <f t="shared" si="14"/>
        <v>0</v>
      </c>
      <c r="M37" s="235">
        <f t="shared" si="12"/>
        <v>51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468"/>
      <c r="T37" s="468"/>
      <c r="U37" s="468"/>
      <c r="W37" s="473"/>
      <c r="X37" s="466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16</v>
      </c>
      <c r="F38" s="194">
        <f>'التمام الصباحي'!K14+'التمام الصباحي'!M14</f>
        <v>32</v>
      </c>
      <c r="G38" s="295"/>
      <c r="H38" s="194">
        <f>'التمام الصباحي'!W14+'التمام الصباحي'!Y14</f>
        <v>48</v>
      </c>
      <c r="K38" s="233" t="s">
        <v>19</v>
      </c>
      <c r="L38" s="235">
        <f t="shared" si="14"/>
        <v>0</v>
      </c>
      <c r="M38" s="235">
        <f t="shared" si="12"/>
        <v>17</v>
      </c>
      <c r="N38" s="234"/>
      <c r="O38" s="235">
        <f t="shared" si="17"/>
        <v>34</v>
      </c>
      <c r="P38" s="236"/>
      <c r="Q38" s="242" t="s">
        <v>20</v>
      </c>
      <c r="R38" s="243">
        <f t="shared" si="11"/>
        <v>1</v>
      </c>
      <c r="S38" s="462">
        <f>IF((ROUNDDOWN((SUM(M38:M39)/51)-(R38+R39),0.9))&lt;0,0,(ROUNDDOWN((SUM(M38:M39)/51)-(R38+R39),0.9)))</f>
        <v>0</v>
      </c>
      <c r="T38" s="462">
        <f t="shared" ref="T38" si="18">IF((ROUNDDOWN((SUM(O38:O39)/51)-(R38+R39),0.9))&lt;0,0,(ROUNDDOWN((SUM(O38:O39)/51)-(R38+R39),0.9)))</f>
        <v>0</v>
      </c>
      <c r="U38" s="462">
        <f t="shared" ref="U38" si="19">IF((ROUNDDOWN((SUM(L38:O39)/51)-(R38+R39+S38+T38),0.9))&lt;0,0,ROUNDDOWN((SUM(L38:O39)/51)-(R38+R39+S38+T38),0.9))</f>
        <v>0</v>
      </c>
      <c r="W38" s="473"/>
      <c r="X38" s="466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102</v>
      </c>
      <c r="G39" s="194">
        <f>'التمام الصباحي'!Q15+'التمام الصباحي'!S15</f>
        <v>33</v>
      </c>
      <c r="H39" s="354"/>
      <c r="K39" s="233" t="s">
        <v>20</v>
      </c>
      <c r="L39" s="234"/>
      <c r="M39" s="235">
        <f t="shared" si="12"/>
        <v>102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2</v>
      </c>
      <c r="S39" s="463"/>
      <c r="T39" s="463"/>
      <c r="U39" s="463"/>
      <c r="W39" s="474"/>
      <c r="X39" s="467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73</v>
      </c>
      <c r="G40" s="194">
        <f>'التمام الصباحي'!Q16+'التمام الصباحي'!S16</f>
        <v>30</v>
      </c>
      <c r="H40" s="194">
        <f>'التمام الصباحي'!W16+'التمام الصباحي'!Y16</f>
        <v>48</v>
      </c>
      <c r="K40" s="233" t="s">
        <v>21</v>
      </c>
      <c r="L40" s="234"/>
      <c r="M40" s="235">
        <f t="shared" si="12"/>
        <v>68</v>
      </c>
      <c r="N40" s="235">
        <f t="shared" si="13"/>
        <v>17</v>
      </c>
      <c r="O40" s="235">
        <f t="shared" si="13"/>
        <v>34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464" t="s">
        <v>85</v>
      </c>
      <c r="X40" s="465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20</v>
      </c>
      <c r="G41" s="194">
        <f>'التمام الصباحي'!Q17+'التمام الصباحي'!S17</f>
        <v>15</v>
      </c>
      <c r="H41" s="194">
        <f>'التمام الصباحي'!W17+'التمام الصباحي'!Y17</f>
        <v>111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102</v>
      </c>
      <c r="P41" s="236"/>
      <c r="Q41" s="246" t="s">
        <v>23</v>
      </c>
      <c r="R41" s="247">
        <f t="shared" si="11"/>
        <v>2</v>
      </c>
      <c r="S41" s="469">
        <f>IF((ROUNDDOWN((SUM(M41:M42)/51)-(R41+R42),0.9))&lt;0,0,(ROUNDDOWN((SUM(M41:M42)/51)-(R41+R42),0.9)))</f>
        <v>0</v>
      </c>
      <c r="T41" s="469">
        <f>IF((ROUNDDOWN((SUM(O41:O42)/51)-(R41+R42),0.9))&lt;0,0,(ROUNDDOWN((SUM(O41:O42)/51)-(R41+R42),0.9)))</f>
        <v>0</v>
      </c>
      <c r="U41" s="469">
        <f>IF((ROUNDDOWN((SUM(L41:O42)/51)-(R41+R42+S41+T41),0.9))&lt;0,0,ROUNDDOWN((SUM(L41:O42)/51)-(R41+R42+S41+T41),0.9))</f>
        <v>1</v>
      </c>
      <c r="W41" s="464"/>
      <c r="X41" s="466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23</v>
      </c>
      <c r="G42" s="194">
        <f>'التمام الصباحي'!Q18+'التمام الصباحي'!S18</f>
        <v>21</v>
      </c>
      <c r="H42" s="194">
        <f>'التمام الصباحي'!W18+'التمام الصباحي'!Y18</f>
        <v>13</v>
      </c>
      <c r="K42" s="233" t="s">
        <v>23</v>
      </c>
      <c r="L42" s="234"/>
      <c r="M42" s="235">
        <f t="shared" si="12"/>
        <v>17</v>
      </c>
      <c r="N42" s="235">
        <f t="shared" si="13"/>
        <v>17</v>
      </c>
      <c r="O42" s="235">
        <f t="shared" si="13"/>
        <v>0</v>
      </c>
      <c r="P42" s="236"/>
      <c r="Q42" s="248" t="s">
        <v>24</v>
      </c>
      <c r="R42" s="249">
        <f t="shared" si="11"/>
        <v>0</v>
      </c>
      <c r="S42" s="470"/>
      <c r="T42" s="470"/>
      <c r="U42" s="470"/>
      <c r="W42" s="464"/>
      <c r="X42" s="466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28</v>
      </c>
      <c r="G43" s="194">
        <f>'التمام الصباحي'!Q19+'التمام الصباحي'!S19</f>
        <v>7</v>
      </c>
      <c r="H43" s="354"/>
      <c r="K43" s="233" t="s">
        <v>24</v>
      </c>
      <c r="L43" s="234"/>
      <c r="M43" s="235">
        <f t="shared" si="12"/>
        <v>17</v>
      </c>
      <c r="N43" s="235">
        <f t="shared" si="13"/>
        <v>0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464"/>
      <c r="X43" s="467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28</v>
      </c>
      <c r="G44" s="194">
        <f>'التمام الصباحي'!Q20+'التمام الصباحي'!S20</f>
        <v>10</v>
      </c>
      <c r="H44" s="194">
        <f>'التمام الصباحي'!W20+'التمام الصباحي'!Y20</f>
        <v>39</v>
      </c>
      <c r="K44" s="233" t="s">
        <v>26</v>
      </c>
      <c r="L44" s="234"/>
      <c r="M44" s="235">
        <f t="shared" si="12"/>
        <v>17</v>
      </c>
      <c r="N44" s="235">
        <f t="shared" si="13"/>
        <v>0</v>
      </c>
      <c r="O44" s="235">
        <f t="shared" si="13"/>
        <v>34</v>
      </c>
      <c r="P44" s="236"/>
      <c r="Q44" s="242" t="s">
        <v>25</v>
      </c>
      <c r="R44" s="243">
        <f t="shared" si="11"/>
        <v>1</v>
      </c>
      <c r="S44" s="462">
        <f>IF((ROUNDDOWN((SUM(M44:M45)/51)-(R44+R45),0.9))&lt;0,0,(ROUNDDOWN((SUM(M44:M45)/51)-(R44+R45),0.9)))</f>
        <v>0</v>
      </c>
      <c r="T44" s="462">
        <f>IF((ROUNDDOWN((SUM(O44:O45)/51)-(R44+R45),0.9))&lt;0,0,(ROUNDDOWN((SUM(O44:O45)/51)-(R44+R45),0.9)))</f>
        <v>0</v>
      </c>
      <c r="U44" s="462">
        <f>IF((ROUNDDOWN((SUM(L44:O45)/51)-(R44+R45+S44+T44),0.9))&lt;0,0,ROUNDDOWN((SUM(L44:O45)/51)-(R44+R45+S44+T44),0.9))</f>
        <v>0</v>
      </c>
      <c r="W44" s="464" t="s">
        <v>102</v>
      </c>
      <c r="X44" s="465">
        <f>SUM(R44:U47)/3</f>
        <v>1.3333333333333333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40</v>
      </c>
      <c r="G45" s="194">
        <f>'التمام الصباحي'!Q21+'التمام الصباحي'!S21</f>
        <v>17</v>
      </c>
      <c r="H45" s="194">
        <f>'التمام الصباحي'!W21+'التمام الصباحي'!Y21</f>
        <v>74</v>
      </c>
      <c r="K45" s="233" t="s">
        <v>25</v>
      </c>
      <c r="L45" s="234"/>
      <c r="M45" s="235">
        <f t="shared" si="12"/>
        <v>34</v>
      </c>
      <c r="N45" s="235">
        <f t="shared" si="13"/>
        <v>17</v>
      </c>
      <c r="O45" s="235">
        <f t="shared" si="13"/>
        <v>68</v>
      </c>
      <c r="P45" s="236"/>
      <c r="Q45" s="244" t="s">
        <v>27</v>
      </c>
      <c r="R45" s="245">
        <f t="shared" si="11"/>
        <v>2</v>
      </c>
      <c r="S45" s="463"/>
      <c r="T45" s="463"/>
      <c r="U45" s="463"/>
      <c r="W45" s="464"/>
      <c r="X45" s="466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44</v>
      </c>
      <c r="G46" s="194">
        <f>'التمام الصباحي'!Q22+'التمام الصباحي'!S22</f>
        <v>25</v>
      </c>
      <c r="H46" s="354"/>
      <c r="K46" s="233" t="s">
        <v>27</v>
      </c>
      <c r="L46" s="234"/>
      <c r="M46" s="235">
        <f t="shared" si="12"/>
        <v>34</v>
      </c>
      <c r="N46" s="235">
        <f t="shared" si="13"/>
        <v>17</v>
      </c>
      <c r="O46" s="234"/>
      <c r="P46" s="236"/>
      <c r="Q46" s="246" t="s">
        <v>28</v>
      </c>
      <c r="R46" s="247">
        <f t="shared" si="11"/>
        <v>1</v>
      </c>
      <c r="S46" s="468">
        <f>IF((ROUNDDOWN((SUM(M46:M47)/51)-(R46+R47),0.9))&lt;0,0,(ROUNDDOWN((SUM(M46:M47)/51)-(R46+R47),0.9)))</f>
        <v>0</v>
      </c>
      <c r="T46" s="469">
        <f>IF((ROUNDDOWN((SUM(O46:O47)/51)-(R46+R47),0.9))&lt;0,0,(ROUNDDOWN((SUM(O46:O47)/51)-(R46+R47),0.9)))</f>
        <v>0</v>
      </c>
      <c r="U46" s="469">
        <f t="shared" ref="U46" si="20">IF((ROUNDDOWN((SUM(L46:O47)/51)-(R46+R47+S46+T46),0.9))&lt;0,0,ROUNDDOWN((SUM(L46:O47)/51)-(R46+R47+S46+T46),0.9))</f>
        <v>0</v>
      </c>
      <c r="W46" s="464"/>
      <c r="X46" s="466"/>
    </row>
    <row r="47" spans="3:24" ht="16.5" thickBot="1" x14ac:dyDescent="0.3">
      <c r="D47" s="233" t="s">
        <v>28</v>
      </c>
      <c r="E47" s="194">
        <f>'التمام الصباحي'!E23+'التمام الصباحي'!G23</f>
        <v>8.5</v>
      </c>
      <c r="F47" s="194">
        <f>'التمام الصباحي'!K23+'التمام الصباحي'!M23</f>
        <v>8</v>
      </c>
      <c r="G47" s="295"/>
      <c r="H47" s="194">
        <f>'التمام الصباحي'!W23+'التمام الصباحي'!Y23</f>
        <v>20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17</v>
      </c>
      <c r="P47" s="236"/>
      <c r="Q47" s="248" t="s">
        <v>29</v>
      </c>
      <c r="R47" s="249">
        <f t="shared" si="11"/>
        <v>0</v>
      </c>
      <c r="S47" s="468"/>
      <c r="T47" s="470"/>
      <c r="U47" s="470"/>
      <c r="W47" s="464"/>
      <c r="X47" s="467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9</v>
      </c>
      <c r="G48" s="295"/>
      <c r="H48" s="194">
        <f>'التمام الصباحي'!W24+'التمام الصباحي'!Y24</f>
        <v>34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34</v>
      </c>
      <c r="P48" s="236"/>
      <c r="Q48" s="242" t="s">
        <v>30</v>
      </c>
      <c r="R48" s="243">
        <f t="shared" si="11"/>
        <v>0</v>
      </c>
      <c r="S48" s="462">
        <f>IF((ROUNDDOWN((SUM(M48:M49)/51)-(R48+R49),0.9))&lt;0,0,(ROUNDDOWN((SUM(M48:M49)/51)-(R48+R49),0.9)))</f>
        <v>0</v>
      </c>
      <c r="T48" s="462">
        <f>IF((ROUNDDOWN((SUM(O48:O49)/51)-(R48+R49),0.9))&lt;0,0,(ROUNDDOWN((SUM(O48:O49)/51)-(R48+R49),0.9)))</f>
        <v>0</v>
      </c>
      <c r="U48" s="462">
        <f t="shared" ref="U48" si="22">IF((ROUNDDOWN((SUM(L48:O49)/51)-(R48+R49+S48+T48),0.9))&lt;0,0,ROUNDDOWN((SUM(L48:O49)/51)-(R48+R49+S48+T48),0.9))</f>
        <v>1</v>
      </c>
      <c r="W48" s="464" t="s">
        <v>90</v>
      </c>
      <c r="X48" s="465">
        <f>SUM(R48:U51)/3</f>
        <v>2.3333333333333335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33</v>
      </c>
      <c r="G49" s="194">
        <f>'التمام الصباحي'!Q25+'التمام الصباحي'!S25</f>
        <v>19</v>
      </c>
      <c r="H49" s="194">
        <f>'التمام الصباحي'!W25+'التمام الصباحي'!Y25</f>
        <v>111</v>
      </c>
      <c r="K49" s="233" t="s">
        <v>30</v>
      </c>
      <c r="L49" s="234"/>
      <c r="M49" s="235">
        <f t="shared" si="12"/>
        <v>17</v>
      </c>
      <c r="N49" s="235">
        <f t="shared" si="13"/>
        <v>17</v>
      </c>
      <c r="O49" s="235">
        <f t="shared" si="21"/>
        <v>102</v>
      </c>
      <c r="P49" s="236"/>
      <c r="Q49" s="244" t="s">
        <v>31</v>
      </c>
      <c r="R49" s="245">
        <f t="shared" si="11"/>
        <v>2</v>
      </c>
      <c r="S49" s="463"/>
      <c r="T49" s="463"/>
      <c r="U49" s="463"/>
      <c r="W49" s="464"/>
      <c r="X49" s="466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53</v>
      </c>
      <c r="G50" s="194">
        <f>'التمام الصباحي'!Q26+'التمام الصباحي'!S26</f>
        <v>16</v>
      </c>
      <c r="H50" s="194">
        <f>'التمام الصباحي'!W26+'التمام الصباحي'!Y26</f>
        <v>101</v>
      </c>
      <c r="K50" s="233" t="s">
        <v>31</v>
      </c>
      <c r="L50" s="234"/>
      <c r="M50" s="235">
        <f t="shared" si="12"/>
        <v>51</v>
      </c>
      <c r="N50" s="235">
        <f t="shared" si="13"/>
        <v>0</v>
      </c>
      <c r="O50" s="235">
        <f t="shared" si="21"/>
        <v>85</v>
      </c>
      <c r="P50" s="236"/>
      <c r="Q50" s="246" t="s">
        <v>32</v>
      </c>
      <c r="R50" s="247">
        <f t="shared" si="11"/>
        <v>2</v>
      </c>
      <c r="S50" s="468">
        <f>IF((ROUNDDOWN((SUM(M50:M51)/51)-(R50+R51),0.9))&lt;0,0,(ROUNDDOWN((SUM(M50:M51)/51)-(R50+R51),0.9)))</f>
        <v>0</v>
      </c>
      <c r="T50" s="468">
        <f>IF((ROUNDDOWN((SUM(O50:O51)/51)-(R50+R51),0.9))&lt;0,0,(ROUNDDOWN((SUM(O50:O51)/51)-(R50+R51),0.9)))</f>
        <v>0</v>
      </c>
      <c r="U50" s="468">
        <f t="shared" ref="U50" si="23">IF((ROUNDDOWN((SUM(L50:O51)/51)-(R50+R51+S50+T50),0.9))&lt;0,0,ROUNDDOWN((SUM(L50:O51)/51)-(R50+R51+S50+T50),0.9))</f>
        <v>1</v>
      </c>
      <c r="W50" s="464"/>
      <c r="X50" s="466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29</v>
      </c>
      <c r="G51" s="194">
        <f>'التمام الصباحي'!Q27+'التمام الصباحي'!S27</f>
        <v>16</v>
      </c>
      <c r="H51" s="194">
        <f>'التمام الصباحي'!W27+'التمام الصباحي'!Y27</f>
        <v>71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68</v>
      </c>
      <c r="P51" s="236"/>
      <c r="Q51" s="256" t="s">
        <v>33</v>
      </c>
      <c r="R51" s="257">
        <f t="shared" si="11"/>
        <v>1</v>
      </c>
      <c r="S51" s="471"/>
      <c r="T51" s="471"/>
      <c r="U51" s="471"/>
      <c r="W51" s="464"/>
      <c r="X51" s="467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37</v>
      </c>
      <c r="G52" s="194">
        <f>'التمام الصباحي'!Q28+'التمام الصباحي'!S28</f>
        <v>18</v>
      </c>
      <c r="H52" s="194">
        <f>'التمام الصباحي'!W28+'التمام الصباحي'!Y28</f>
        <v>42</v>
      </c>
      <c r="K52" s="233" t="s">
        <v>33</v>
      </c>
      <c r="L52" s="234"/>
      <c r="M52" s="235">
        <f t="shared" si="12"/>
        <v>34</v>
      </c>
      <c r="N52" s="235">
        <f t="shared" si="13"/>
        <v>17</v>
      </c>
      <c r="O52" s="235">
        <f t="shared" si="21"/>
        <v>34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16</v>
      </c>
      <c r="F53" s="194">
        <f>'التمام الصباحي'!K29+'التمام الصباحي'!M29</f>
        <v>18</v>
      </c>
      <c r="G53" s="194">
        <f>'التمام الصباحي'!Q29+'التمام الصباحي'!S29</f>
        <v>4</v>
      </c>
      <c r="H53" s="194">
        <f>'التمام الصباحي'!W29+'التمام الصباحي'!Y29</f>
        <v>30</v>
      </c>
      <c r="K53" s="233" t="s">
        <v>112</v>
      </c>
      <c r="L53" s="235">
        <f t="shared" si="14"/>
        <v>0</v>
      </c>
      <c r="M53" s="235">
        <f t="shared" si="12"/>
        <v>17</v>
      </c>
      <c r="N53" s="235">
        <f t="shared" si="13"/>
        <v>0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23</v>
      </c>
      <c r="G54" s="194">
        <f>'التمام الصباحي'!Q30+'التمام الصباحي'!S30</f>
        <v>18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17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69</v>
      </c>
      <c r="G55" s="194">
        <f>'التمام الصباحي'!Q31+'التمام الصباحي'!S31</f>
        <v>31</v>
      </c>
      <c r="H55" s="354"/>
      <c r="K55" s="353" t="s">
        <v>168</v>
      </c>
      <c r="L55" s="234"/>
      <c r="M55" s="235">
        <f t="shared" si="12"/>
        <v>68</v>
      </c>
      <c r="N55" s="235">
        <f t="shared" si="13"/>
        <v>17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72</v>
      </c>
      <c r="G56" s="194">
        <f>'التمام الصباحي'!Q32+'التمام الصباحي'!S32</f>
        <v>38</v>
      </c>
      <c r="H56" s="354"/>
      <c r="K56" s="353" t="s">
        <v>169</v>
      </c>
      <c r="L56" s="234"/>
      <c r="M56" s="235">
        <f t="shared" si="12"/>
        <v>68</v>
      </c>
      <c r="N56" s="235">
        <f t="shared" si="13"/>
        <v>34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83</v>
      </c>
      <c r="G57" s="194">
        <f>'التمام الصباحي'!Q33+'التمام الصباحي'!S33</f>
        <v>35</v>
      </c>
      <c r="H57" s="354"/>
      <c r="K57" s="318" t="s">
        <v>170</v>
      </c>
      <c r="L57" s="234"/>
      <c r="M57" s="235">
        <f t="shared" si="12"/>
        <v>68</v>
      </c>
      <c r="N57" s="235">
        <f t="shared" si="13"/>
        <v>34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117</v>
      </c>
      <c r="G58" s="194">
        <f>'التمام الصباحي'!Q34+'التمام الصباحي'!S34</f>
        <v>29</v>
      </c>
      <c r="H58" s="354"/>
      <c r="K58" s="318" t="s">
        <v>171</v>
      </c>
      <c r="L58" s="234"/>
      <c r="M58" s="235">
        <f t="shared" si="12"/>
        <v>102</v>
      </c>
      <c r="N58" s="235">
        <f t="shared" si="13"/>
        <v>17</v>
      </c>
      <c r="O58" s="234"/>
    </row>
  </sheetData>
  <customSheetViews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1"/>
    </customSheetView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2"/>
    </customSheetView>
  </customSheetViews>
  <mergeCells count="86">
    <mergeCell ref="S24:S25"/>
    <mergeCell ref="T24:T25"/>
    <mergeCell ref="U24:U25"/>
    <mergeCell ref="W24:W27"/>
    <mergeCell ref="X24:X27"/>
    <mergeCell ref="S26:S27"/>
    <mergeCell ref="T26:T27"/>
    <mergeCell ref="U26:U27"/>
    <mergeCell ref="W16:W19"/>
    <mergeCell ref="X16:X19"/>
    <mergeCell ref="S17:S18"/>
    <mergeCell ref="T17:T18"/>
    <mergeCell ref="U17:U18"/>
    <mergeCell ref="S20:S21"/>
    <mergeCell ref="T20:T21"/>
    <mergeCell ref="U20:U21"/>
    <mergeCell ref="W20:W23"/>
    <mergeCell ref="X20:X23"/>
    <mergeCell ref="S22:S23"/>
    <mergeCell ref="T22:T23"/>
    <mergeCell ref="U22:U23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W40:W43"/>
    <mergeCell ref="X40:X43"/>
    <mergeCell ref="S41:S42"/>
    <mergeCell ref="T41:T42"/>
    <mergeCell ref="U41:U42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S48:S49"/>
    <mergeCell ref="T48:T49"/>
    <mergeCell ref="U48:U49"/>
    <mergeCell ref="W48:W51"/>
    <mergeCell ref="X48:X51"/>
    <mergeCell ref="S50:S51"/>
    <mergeCell ref="T50:T51"/>
    <mergeCell ref="U50:U51"/>
    <mergeCell ref="S44:S45"/>
    <mergeCell ref="T44:T45"/>
    <mergeCell ref="U44:U45"/>
    <mergeCell ref="W44:W47"/>
    <mergeCell ref="X44:X47"/>
    <mergeCell ref="S46:S47"/>
    <mergeCell ref="T46:T47"/>
    <mergeCell ref="U46:U4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2.6666666666666665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1.3333333333333333</v>
      </c>
    </row>
    <row r="5" spans="1:2" x14ac:dyDescent="0.2">
      <c r="A5" t="s">
        <v>90</v>
      </c>
      <c r="B5" s="138">
        <f>'خطة الإمداد'!X48</f>
        <v>2.3333333333333335</v>
      </c>
    </row>
  </sheetData>
  <customSheetViews>
    <customSheetView guid="{8317B6D8-8A99-4EB0-9DBC-8E9AE0170A4B}" state="hidden">
      <selection activeCell="B6" sqref="B6"/>
      <pageMargins left="0.7" right="0.7" top="0.75" bottom="0.75" header="0.3" footer="0.3"/>
    </customSheetView>
    <customSheetView guid="{18C0F7AC-4BB1-46DE-8A01-8E31FE0585FC}" state="hidden">
      <selection activeCell="B5" sqref="B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81" t="s">
        <v>0</v>
      </c>
      <c r="B1" s="381"/>
      <c r="C1" s="381"/>
      <c r="D1" s="381"/>
      <c r="E1" s="381"/>
      <c r="X1" s="378"/>
      <c r="Y1" s="378"/>
    </row>
    <row r="2" spans="1:25" ht="15.75" x14ac:dyDescent="0.25">
      <c r="A2" s="381" t="s">
        <v>1</v>
      </c>
      <c r="B2" s="381"/>
      <c r="C2" s="381"/>
      <c r="D2" s="381"/>
      <c r="E2" s="381"/>
    </row>
    <row r="3" spans="1:25" ht="15.75" x14ac:dyDescent="0.25">
      <c r="A3" s="381" t="s">
        <v>2</v>
      </c>
      <c r="B3" s="381"/>
      <c r="C3" s="381"/>
      <c r="D3" s="381"/>
      <c r="E3" s="381"/>
    </row>
    <row r="5" spans="1:25" ht="36.75" customHeight="1" thickBot="1" x14ac:dyDescent="0.3">
      <c r="G5" s="199"/>
      <c r="H5" s="380" t="s">
        <v>161</v>
      </c>
      <c r="I5" s="380"/>
      <c r="J5" s="380"/>
      <c r="K5" s="380"/>
      <c r="L5" s="380"/>
      <c r="M5" s="380"/>
      <c r="N5" s="380"/>
      <c r="O5" s="380"/>
      <c r="T5" s="200" t="s">
        <v>41</v>
      </c>
    </row>
    <row r="6" spans="1:25" ht="20.100000000000001" customHeight="1" thickBot="1" x14ac:dyDescent="0.25">
      <c r="A6" s="379" t="s">
        <v>14</v>
      </c>
      <c r="B6" s="379" t="s">
        <v>3</v>
      </c>
      <c r="C6" s="379" t="s">
        <v>4</v>
      </c>
      <c r="D6" s="483" t="s">
        <v>5</v>
      </c>
      <c r="E6" s="484"/>
      <c r="F6" s="484"/>
      <c r="G6" s="485"/>
      <c r="H6" s="379" t="s">
        <v>4</v>
      </c>
      <c r="I6" s="483" t="s">
        <v>11</v>
      </c>
      <c r="J6" s="484"/>
      <c r="K6" s="484"/>
      <c r="L6" s="485"/>
      <c r="M6" s="379" t="s">
        <v>4</v>
      </c>
      <c r="N6" s="483" t="s">
        <v>12</v>
      </c>
      <c r="O6" s="484"/>
      <c r="P6" s="484"/>
      <c r="Q6" s="485"/>
      <c r="R6" s="379" t="s">
        <v>4</v>
      </c>
      <c r="S6" s="483" t="s">
        <v>13</v>
      </c>
      <c r="T6" s="484"/>
      <c r="U6" s="484"/>
      <c r="V6" s="485"/>
    </row>
    <row r="7" spans="1:25" ht="20.100000000000001" customHeight="1" thickBot="1" x14ac:dyDescent="0.25">
      <c r="A7" s="379"/>
      <c r="B7" s="379"/>
      <c r="C7" s="379"/>
      <c r="D7" s="201" t="s">
        <v>6</v>
      </c>
      <c r="E7" s="201" t="s">
        <v>7</v>
      </c>
      <c r="F7" s="201" t="s">
        <v>9</v>
      </c>
      <c r="G7" s="201" t="s">
        <v>10</v>
      </c>
      <c r="H7" s="379"/>
      <c r="I7" s="201" t="s">
        <v>6</v>
      </c>
      <c r="J7" s="201" t="s">
        <v>7</v>
      </c>
      <c r="K7" s="201" t="s">
        <v>9</v>
      </c>
      <c r="L7" s="201" t="s">
        <v>10</v>
      </c>
      <c r="M7" s="379"/>
      <c r="N7" s="201" t="s">
        <v>6</v>
      </c>
      <c r="O7" s="201" t="s">
        <v>7</v>
      </c>
      <c r="P7" s="201" t="s">
        <v>9</v>
      </c>
      <c r="Q7" s="201" t="s">
        <v>10</v>
      </c>
      <c r="R7" s="379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367" t="s">
        <v>34</v>
      </c>
      <c r="B28" s="367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68" t="s">
        <v>35</v>
      </c>
      <c r="B29" s="368"/>
      <c r="C29" s="369">
        <f>C28+H28+M28+R28</f>
        <v>4605</v>
      </c>
      <c r="D29" s="370"/>
      <c r="E29" s="370"/>
      <c r="F29" s="370"/>
      <c r="G29" s="370"/>
      <c r="H29" s="370"/>
      <c r="I29" s="370"/>
      <c r="J29" s="370"/>
      <c r="K29" s="370"/>
      <c r="L29" s="370"/>
      <c r="M29" s="370"/>
      <c r="N29" s="370"/>
      <c r="O29" s="370"/>
      <c r="P29" s="370"/>
      <c r="Q29" s="370"/>
      <c r="R29" s="370"/>
      <c r="S29" s="370"/>
      <c r="T29" s="370"/>
      <c r="U29" s="370"/>
      <c r="V29" s="371"/>
    </row>
    <row r="30" spans="1:26" ht="20.100000000000001" customHeight="1" thickBot="1" x14ac:dyDescent="0.25">
      <c r="A30" s="368" t="s">
        <v>36</v>
      </c>
      <c r="B30" s="368"/>
      <c r="C30" s="369">
        <f>D28+I28+N28+S28</f>
        <v>4605</v>
      </c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370"/>
      <c r="O30" s="370"/>
      <c r="P30" s="370"/>
      <c r="Q30" s="370"/>
      <c r="R30" s="370"/>
      <c r="S30" s="370"/>
      <c r="T30" s="370"/>
      <c r="U30" s="370"/>
      <c r="V30" s="371"/>
    </row>
    <row r="31" spans="1:26" ht="20.100000000000001" customHeight="1" thickBot="1" x14ac:dyDescent="0.25">
      <c r="A31" s="368" t="s">
        <v>37</v>
      </c>
      <c r="B31" s="368"/>
      <c r="C31" s="369">
        <f>E28+J28+O28+T28</f>
        <v>0</v>
      </c>
      <c r="D31" s="370"/>
      <c r="E31" s="370"/>
      <c r="F31" s="370"/>
      <c r="G31" s="370"/>
      <c r="H31" s="370"/>
      <c r="I31" s="370"/>
      <c r="J31" s="370"/>
      <c r="K31" s="370"/>
      <c r="L31" s="370"/>
      <c r="M31" s="370"/>
      <c r="N31" s="370"/>
      <c r="O31" s="370"/>
      <c r="P31" s="370"/>
      <c r="Q31" s="370"/>
      <c r="R31" s="370"/>
      <c r="S31" s="370"/>
      <c r="T31" s="370"/>
      <c r="U31" s="370"/>
      <c r="V31" s="371"/>
    </row>
    <row r="32" spans="1:26" ht="15.75" thickBot="1" x14ac:dyDescent="0.25">
      <c r="A32" s="368" t="s">
        <v>38</v>
      </c>
      <c r="B32" s="368"/>
      <c r="C32" s="372">
        <f>C30/C29</f>
        <v>1</v>
      </c>
      <c r="D32" s="373"/>
      <c r="E32" s="373"/>
      <c r="F32" s="373"/>
      <c r="G32" s="373"/>
      <c r="H32" s="373"/>
      <c r="I32" s="373"/>
      <c r="J32" s="373"/>
      <c r="K32" s="373"/>
      <c r="L32" s="373"/>
      <c r="M32" s="373"/>
      <c r="N32" s="373"/>
      <c r="O32" s="373"/>
      <c r="P32" s="373"/>
      <c r="Q32" s="373"/>
      <c r="R32" s="373"/>
      <c r="S32" s="373"/>
      <c r="T32" s="373"/>
      <c r="U32" s="373"/>
      <c r="V32" s="374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1"/>
    </customSheetView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2"/>
    </customSheetView>
  </customSheetViews>
  <mergeCells count="24"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D10000000</vt:lpstr>
      <vt:lpstr>D2000000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2019-09-05T08:13:45Z</cp:lastPrinted>
  <dcterms:created xsi:type="dcterms:W3CDTF">2018-10-24T15:18:02Z</dcterms:created>
  <dcterms:modified xsi:type="dcterms:W3CDTF">2019-10-05T08:25:40Z</dcterms:modified>
</cp:coreProperties>
</file>