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Current Month\"/>
    </mc:Choice>
  </mc:AlternateContent>
  <bookViews>
    <workbookView xWindow="0" yWindow="0" windowWidth="21600" windowHeight="9735" firstSheet="1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4" l="1"/>
  <c r="J39" i="4"/>
  <c r="G39" i="4"/>
  <c r="D39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G34" i="7" l="1"/>
  <c r="F34" i="7"/>
  <c r="C34" i="2" l="1"/>
  <c r="E34" i="2" s="1"/>
  <c r="F34" i="2"/>
  <c r="H34" i="2" s="1"/>
  <c r="I34" i="2"/>
  <c r="J34" i="2" s="1"/>
  <c r="L34" i="2"/>
  <c r="N34" i="2" s="1"/>
  <c r="P34" i="2"/>
  <c r="C35" i="2"/>
  <c r="D35" i="2" s="1"/>
  <c r="F35" i="2"/>
  <c r="G35" i="2" s="1"/>
  <c r="I35" i="2"/>
  <c r="K35" i="2" s="1"/>
  <c r="L35" i="2"/>
  <c r="N35" i="2" s="1"/>
  <c r="P35" i="2"/>
  <c r="C36" i="2"/>
  <c r="D36" i="2" s="1"/>
  <c r="F36" i="2"/>
  <c r="H36" i="2" s="1"/>
  <c r="G36" i="2"/>
  <c r="I36" i="2"/>
  <c r="K36" i="2" s="1"/>
  <c r="J36" i="2"/>
  <c r="L36" i="2"/>
  <c r="M36" i="2" s="1"/>
  <c r="P36" i="2"/>
  <c r="C37" i="2"/>
  <c r="E37" i="2" s="1"/>
  <c r="F37" i="2"/>
  <c r="H37" i="2" s="1"/>
  <c r="I37" i="2"/>
  <c r="K37" i="2" s="1"/>
  <c r="J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X38" i="1"/>
  <c r="J35" i="1"/>
  <c r="N35" i="1" s="1"/>
  <c r="K35" i="1"/>
  <c r="L35" i="1"/>
  <c r="P35" i="1"/>
  <c r="T35" i="1" s="1"/>
  <c r="Q35" i="1"/>
  <c r="R35" i="1"/>
  <c r="J36" i="1"/>
  <c r="N36" i="1" s="1"/>
  <c r="L36" i="1"/>
  <c r="P36" i="1"/>
  <c r="T36" i="1" s="1"/>
  <c r="Q36" i="1"/>
  <c r="R36" i="1"/>
  <c r="J37" i="1"/>
  <c r="N37" i="1" s="1"/>
  <c r="K37" i="1"/>
  <c r="L37" i="1"/>
  <c r="P37" i="1"/>
  <c r="T37" i="1" s="1"/>
  <c r="R37" i="1"/>
  <c r="J38" i="1"/>
  <c r="N38" i="1" s="1"/>
  <c r="L38" i="1"/>
  <c r="P38" i="1"/>
  <c r="T38" i="1" s="1"/>
  <c r="R38" i="1"/>
  <c r="P37" i="2"/>
  <c r="Q38" i="1" l="1"/>
  <c r="G34" i="2"/>
  <c r="Q37" i="1"/>
  <c r="M34" i="2"/>
  <c r="W38" i="1"/>
  <c r="N36" i="2"/>
  <c r="E35" i="2"/>
  <c r="O36" i="2"/>
  <c r="Q36" i="2" s="1"/>
  <c r="K38" i="1"/>
  <c r="K36" i="1"/>
  <c r="G37" i="2"/>
  <c r="M35" i="2"/>
  <c r="D34" i="2"/>
  <c r="O34" i="2" s="1"/>
  <c r="Q34" i="2" s="1"/>
  <c r="D37" i="2"/>
  <c r="O37" i="2" s="1"/>
  <c r="Q37" i="2" s="1"/>
  <c r="J35" i="2"/>
  <c r="N37" i="2"/>
  <c r="E36" i="2"/>
  <c r="H35" i="2"/>
  <c r="K34" i="2"/>
  <c r="F11" i="2"/>
  <c r="O35" i="2" l="1"/>
  <c r="Q35" i="2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P10" i="2" l="1"/>
  <c r="P8" i="2" l="1"/>
  <c r="P9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I15" i="6" l="1"/>
  <c r="J19" i="6"/>
  <c r="K19" i="6"/>
  <c r="I19" i="6"/>
  <c r="J13" i="6"/>
  <c r="K13" i="6"/>
  <c r="F16" i="6"/>
  <c r="I13" i="6"/>
  <c r="K22" i="6"/>
  <c r="I22" i="6"/>
  <c r="J22" i="6"/>
  <c r="K21" i="6"/>
  <c r="F23" i="6"/>
  <c r="J21" i="6"/>
  <c r="I21" i="6"/>
  <c r="J15" i="6"/>
  <c r="K15" i="6"/>
  <c r="K18" i="6"/>
  <c r="J18" i="6"/>
  <c r="I18" i="6"/>
  <c r="G18" i="5"/>
  <c r="H14" i="6"/>
  <c r="H16" i="6" s="1"/>
  <c r="H24" i="6" s="1"/>
  <c r="G20" i="6"/>
  <c r="E16" i="6"/>
  <c r="E24" i="6" s="1"/>
  <c r="K14" i="6"/>
  <c r="I14" i="6"/>
  <c r="I17" i="6"/>
  <c r="K17" i="6"/>
  <c r="F20" i="6"/>
  <c r="J17" i="6"/>
  <c r="G23" i="6"/>
  <c r="G16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D39" i="1" s="1"/>
  <c r="I20" i="6" l="1"/>
  <c r="K23" i="6"/>
  <c r="I23" i="6"/>
  <c r="J14" i="6"/>
  <c r="J16" i="6" s="1"/>
  <c r="J20" i="6"/>
  <c r="V39" i="1"/>
  <c r="F24" i="6"/>
  <c r="F39" i="1"/>
  <c r="G24" i="6"/>
  <c r="K16" i="6"/>
  <c r="P39" i="1"/>
  <c r="X39" i="1"/>
  <c r="I16" i="6"/>
  <c r="K20" i="6"/>
  <c r="J39" i="1"/>
  <c r="R39" i="1"/>
  <c r="J23" i="6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J24" i="6" l="1"/>
  <c r="I24" i="6"/>
  <c r="C41" i="1"/>
  <c r="C44" i="1"/>
  <c r="H39" i="1"/>
  <c r="K24" i="6"/>
  <c r="T39" i="1"/>
  <c r="K8" i="1"/>
  <c r="F32" i="8" s="1"/>
  <c r="Q8" i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G32" i="8"/>
  <c r="Q39" i="1"/>
  <c r="H35" i="8"/>
  <c r="O35" i="8" s="1"/>
  <c r="W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P29" i="2" l="1"/>
  <c r="P30" i="2"/>
  <c r="P31" i="2"/>
  <c r="P32" i="2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T14" i="7" l="1"/>
  <c r="C34" i="7"/>
  <c r="I22" i="7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14" i="7" l="1"/>
  <c r="V20" i="7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M9" i="2" l="1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L38" i="2" l="1"/>
  <c r="V19" i="7"/>
  <c r="V21" i="7" s="1"/>
  <c r="J11" i="3"/>
  <c r="K11" i="3" s="1"/>
  <c r="W19" i="7"/>
  <c r="W21" i="7" s="1"/>
  <c r="H7" i="2"/>
  <c r="H38" i="2" s="1"/>
  <c r="K7" i="2"/>
  <c r="K38" i="2" s="1"/>
  <c r="N10" i="2"/>
  <c r="N38" i="2" s="1"/>
  <c r="C48" i="3"/>
  <c r="C57" i="3"/>
  <c r="G57" i="3" s="1"/>
  <c r="C22" i="2"/>
  <c r="E22" i="2" s="1"/>
  <c r="C13" i="2"/>
  <c r="E13" i="2" s="1"/>
  <c r="C12" i="2"/>
  <c r="E12" i="2" s="1"/>
  <c r="C11" i="2"/>
  <c r="E11" i="2" s="1"/>
  <c r="C10" i="2"/>
  <c r="C38" i="2" l="1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E38" i="2" s="1"/>
  <c r="G15" i="12"/>
  <c r="F25" i="12" l="1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O38" i="2" l="1"/>
  <c r="Q7" i="2"/>
  <c r="Q38" i="2" s="1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K20" i="3" l="1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<sst xmlns="http://schemas.openxmlformats.org/spreadsheetml/2006/main" count="1164" uniqueCount="246">
  <si>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</si>
  <si>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</si>
  <si>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</si>
  <si>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</si>
  <si>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</si>
  <si>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</si>
  <si>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</si>
  <si>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</si>
  <si>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</si>
  <si>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</si>
  <si>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</si>
  <si>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</si>
  <si>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</si>
  <si>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</si>
  <si>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</si>
  <si>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</si>
  <si>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</si>
  <si>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</si>
  <si>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</si>
  <si>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</si>
  <si>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</si>
  <si>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</si>
  <si>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</si>
  <si>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</si>
  <si>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</si>
  <si>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</si>
  <si>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</si>
  <si>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</si>
  <si>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</si>
  <si>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</si>
  <si>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</si>
  <si>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</si>
  <si>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</si>
  <si>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</si>
  <si>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</si>
  <si>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</si>
  <si>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</si>
  <si>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</si>
  <si>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</si>
  <si>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</si>
  <si>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</si>
  <si>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</si>
  <si>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</si>
  <si>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</si>
  <si>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</si>
  <si>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</si>
  <si>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</si>
  <si>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</si>
  <si>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</si>
  <si>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</si>
  <si>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</si>
  <si>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</si>
  <si>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</si>
  <si>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</si>
  <si>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</si>
  <si>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</si>
  <si>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</si>
  <si>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</si>
  <si>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</si>
  <si>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</si>
  <si>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</si>
  <si>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</si>
  <si>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</si>
  <si>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</si>
  <si>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</si>
  <si>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</si>
  <si>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</si>
  <si>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</si>
  <si>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</si>
  <si>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</si>
  <si>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</si>
  <si>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</si>
  <si>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</si>
  <si>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</si>
  <si>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</si>
  <si>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</si>
  <si>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</si>
  <si>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</si>
  <si>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</si>
  <si>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</si>
  <si>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</si>
  <si>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</si>
  <si>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</si>
  <si>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</si>
  <si>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</si>
  <si>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</si>
  <si>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</si>
  <si>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</si>
  <si>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</si>
  <si>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</si>
  <si>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</si>
  <si>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</si>
  <si>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</si>
  <si>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</si>
  <si>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</si>
  <si>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</si>
  <si>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</si>
  <si>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</si>
  <si>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</si>
  <si>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</si>
  <si>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</si>
  <si>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</si>
  <si>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</si>
  <si>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</si>
  <si>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</si>
  <si>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</si>
  <si>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</si>
  <si>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</si>
  <si>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</si>
  <si>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</si>
  <si>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</si>
  <si>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</si>
  <si>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</si>
  <si>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</si>
  <si>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</si>
  <si>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</si>
  <si>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</si>
  <si>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</si>
  <si>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</si>
  <si>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</si>
  <si>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</si>
  <si>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</si>
  <si>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</si>
  <si>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</si>
  <si>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</si>
  <si>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</si>
  <si>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</si>
  <si>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</si>
  <si>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</si>
  <si>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</si>
  <si>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</si>
  <si>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</si>
  <si>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</si>
  <si>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</si>
  <si>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</si>
  <si>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</si>
  <si>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</si>
  <si>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</si>
  <si>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</si>
  <si>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</si>
  <si>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</si>
  <si>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</si>
  <si>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</si>
  <si>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</si>
  <si>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</si>
  <si>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</si>
  <si>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</si>
  <si>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</si>
  <si>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</si>
  <si>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</si>
  <si>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</si>
  <si>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</si>
  <si>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</si>
  <si>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</si>
  <si>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</si>
  <si>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</si>
  <si>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</si>
  <si>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</si>
  <si>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</si>
  <si>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</si>
  <si>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</si>
  <si>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</si>
  <si>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</si>
  <si>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</si>
  <si>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</si>
  <si>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</si>
  <si>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</si>
  <si>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</si>
  <si>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</si>
  <si>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</si>
  <si>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</si>
  <si>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</si>
  <si>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</si>
  <si>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</si>
  <si>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</si>
  <si>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</si>
  <si>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</si>
  <si>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</si>
  <si>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</si>
  <si>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</si>
  <si>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</si>
  <si>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</si>
  <si>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</si>
  <si>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</si>
  <si>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</si>
  <si>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</si>
  <si>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</si>
  <si>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</si>
  <si>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</si>
  <si>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</si>
  <si>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</si>
  <si>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</si>
  <si>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</si>
  <si>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</si>
  <si>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</si>
  <si>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</si>
  <si>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</si>
  <si>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</si>
  <si>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</si>
  <si>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</si>
  <si>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</si>
  <si>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</si>
  <si>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</si>
  <si>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</si>
  <si>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</si>
  <si>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</si>
  <si>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</si>
  <si>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</si>
  <si>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</si>
  <si>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</si>
  <si>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</si>
  <si>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</si>
  <si>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</si>
  <si>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</si>
  <si>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</si>
  <si>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</si>
  <si>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</si>
  <si>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موجود </t>
  </si>
  <si>
    <t xml:space="preserve">عميد اسامه </t>
  </si>
  <si>
    <t xml:space="preserve">م احمد </t>
  </si>
  <si>
    <t xml:space="preserve">المقدم محمد </t>
  </si>
  <si>
    <t xml:space="preserve">عقيد حسان </t>
  </si>
  <si>
    <t xml:space="preserve">النقيب صلاح </t>
  </si>
  <si>
    <t xml:space="preserve">عقيد / محمد </t>
  </si>
  <si>
    <t xml:space="preserve">نقيب / ايمن </t>
  </si>
  <si>
    <t xml:space="preserve">النقيب حفناوي </t>
  </si>
  <si>
    <t xml:space="preserve">العميد خالد </t>
  </si>
  <si>
    <t xml:space="preserve">نقيب احمد </t>
  </si>
  <si>
    <t xml:space="preserve">النقيب احمد </t>
  </si>
  <si>
    <t xml:space="preserve">جندي ابراهيم </t>
  </si>
  <si>
    <t>عميد / خالد</t>
  </si>
  <si>
    <t>عقيد /علاء</t>
  </si>
  <si>
    <t xml:space="preserve">ضابط / هاني </t>
  </si>
  <si>
    <t xml:space="preserve">احمد المحاسب </t>
  </si>
  <si>
    <t>ماركو</t>
  </si>
  <si>
    <t>عميد حامد</t>
  </si>
  <si>
    <t>عميد سمير</t>
  </si>
  <si>
    <t xml:space="preserve">جندى عبدالله </t>
  </si>
  <si>
    <t xml:space="preserve">عقيد احمد </t>
  </si>
  <si>
    <t xml:space="preserve">جندي مصطفي </t>
  </si>
  <si>
    <t xml:space="preserve">عقيد وائل </t>
  </si>
  <si>
    <t xml:space="preserve">الرائد محمد </t>
  </si>
  <si>
    <t xml:space="preserve">استاذة مي </t>
  </si>
  <si>
    <t>عميد اشرف</t>
  </si>
  <si>
    <t xml:space="preserve">معدل البيع اليومى لمحطات وقود شل اوت التي يديرها الوكلاء (المتحدة  - ماستر اكسبريس - اينوتك) 2019/9/8 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</si>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</sst>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4"/>
      <sheetName val="Chart5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1409</v>
          </cell>
        </row>
        <row r="3">
          <cell r="D3">
            <v>2827</v>
          </cell>
        </row>
        <row r="4">
          <cell r="D4">
            <v>928</v>
          </cell>
        </row>
        <row r="5">
          <cell r="D5">
            <v>1939</v>
          </cell>
        </row>
        <row r="6">
          <cell r="D6">
            <v>0</v>
          </cell>
        </row>
        <row r="7">
          <cell r="D7">
            <v>149</v>
          </cell>
        </row>
        <row r="8">
          <cell r="D8">
            <v>83</v>
          </cell>
        </row>
        <row r="9">
          <cell r="D9">
            <v>215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CEC7A08-F715-4AC5-9777-2AEA82B5180A}" diskRevisions="1" revisionId="382" version="30">
  <header guid="{B5E13E57-8423-4187-A1C0-92CD3456C3E0}" dateTime="2019-09-07T12:36:58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28995A0-94E9-45F5-A301-97048317D491}" dateTime="2019-09-09T07:18:41" maxSheetId="25" userName="pp" r:id="rId2" minRId="1" maxRId="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F2EA2BD-4D54-4551-9F9B-6C6D88189F31}" dateTime="2019-09-09T07:34:29" maxSheetId="25" userName="pp" r:id="rId3" minRId="15" maxRId="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FAB4CBB-EB8B-45CC-A6C7-88987B774CF9}" dateTime="2019-09-09T07:42:03" maxSheetId="25" userName="pp" r:id="rId4" minRId="23" maxRId="2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B5C6BD9-29EB-4770-9C2D-7EE3CE678CEB}" dateTime="2019-09-09T08:02:20" maxSheetId="25" userName="pp" r:id="rId5" minRId="29" maxRId="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CD826F6-E1B2-42FA-A113-29E42D4E1C5F}" dateTime="2019-09-09T08:13:44" maxSheetId="25" userName="pp" r:id="rId6" minRId="65" maxRId="7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6C0AF52-4914-4F27-8586-E3E1A246F083}" dateTime="2019-09-09T08:25:49" maxSheetId="25" userName="pp" r:id="rId7" minRId="71" maxRId="7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E22EFBF-6A5A-4FEC-A008-FD78A9F2FB3A}" dateTime="2019-09-09T08:33:21" maxSheetId="25" userName="pp" r:id="rId8" minRId="76" maxRId="9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118E4FF-3D2B-4E51-A999-0E0A8AD3AF96}" dateTime="2019-09-09T08:34:34" maxSheetId="25" userName="pp" r:id="rId9" minRId="94" maxRId="1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7AA053A-0F5E-492A-878E-E0DBDFDAE48D}" dateTime="2019-09-09T08:42:14" maxSheetId="25" userName="pp" r:id="rId10" minRId="103" maxRId="11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6AB9DCF-C895-4EFA-AA67-804435397E0B}" dateTime="2019-09-09T08:45:43" maxSheetId="25" userName="pp" r:id="rId11" minRId="112" maxRId="12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1457E63-F082-4FDC-A128-9EE482504A49}" dateTime="2019-09-09T08:48:20" maxSheetId="25" userName="pp" r:id="rId12" minRId="121" maxRId="12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06FAF39-DFC5-4CE0-A597-B20928E8D207}" dateTime="2019-09-09T09:25:48" maxSheetId="25" userName="pp" r:id="rId13" minRId="130" maxRId="16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66CFD95-D1F9-4DCC-B3CA-AFABDCD74B4E}" dateTime="2019-09-09T09:38:18" maxSheetId="25" userName="pp" r:id="rId14" minRId="168" maxRId="18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13AE441-B6CE-42AA-A246-CED1593E6DEE}" dateTime="2019-09-09T09:40:28" maxSheetId="25" userName="pp" r:id="rId15" minRId="183" maxRId="19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C81E5C7-0360-48E5-805A-F7977AF1E1FA}" dateTime="2019-09-09T10:01:12" maxSheetId="25" userName="pp" r:id="rId16" minRId="191" maxRId="19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18A39CA-A95C-453C-B54F-B32A75C115B4}" dateTime="2019-09-09T10:13:03" maxSheetId="25" userName="pp" r:id="rId17" minRId="200" maxRId="2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9D62B40-037E-4563-BC42-CDF3D847C970}" dateTime="2019-09-09T10:14:16" maxSheetId="25" userName="pp" r:id="rId18" minRId="210" maxRId="2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7CD5305-4EC1-44EC-9355-8BD3F4809A13}" dateTime="2019-09-09T10:16:54" maxSheetId="25" userName="pp" r:id="rId19" minRId="218" maxRId="22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456BED2-737E-45B5-B909-148E15662A10}" dateTime="2019-09-09T10:19:04" maxSheetId="25" userName="pp" r:id="rId20" minRId="224" maxRId="22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87A93F6-9397-4159-A27F-A081EE369166}" dateTime="2019-09-09T10:32:00" maxSheetId="25" userName="pp" r:id="rId21" minRId="230" maxRId="2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EB2CD1C-2182-4B53-95A4-7530026583BA}" dateTime="2019-09-09T10:43:46" maxSheetId="25" userName="pp" r:id="rId22" minRId="236" maxRId="24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0CFA71D-5C7D-483E-AE29-7AC0F80395E8}" dateTime="2019-09-09T17:16:22" maxSheetId="25" userName="pp" r:id="rId23" minRId="24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957618B-C150-4E23-85F1-8270A81C8729}" dateTime="2019-09-09T22:17:33" maxSheetId="25" userName="pp" r:id="rId24" minRId="245" maxRId="2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5EAF102-7FC3-40F7-A9D5-6ED9E4C9B5F0}" dateTime="2019-09-09T22:24:05" maxSheetId="25" userName="pp" r:id="rId25" minRId="282" maxRId="3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EFD8FB4-0F54-4E20-A731-7C5380C0A4D7}" dateTime="2019-09-09T22:51:08" maxSheetId="25" userName="pp" r:id="rId26" minRId="318" maxRId="32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A251CD4-5C61-4F30-B8D5-6A73649E52B2}" dateTime="2019-09-09T23:45:27" maxSheetId="25" userName="pp" r:id="rId27" minRId="322" maxRId="36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36F5E08-8BD6-4A3D-BED8-1DF66CF9EFFC}" dateTime="2019-09-09T23:48:37" maxSheetId="25" userName="pp" r:id="rId28" minRId="367" maxRId="36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73FAE48-C405-462D-8A38-7C77BC9D672C}" dateTime="2019-09-10T09:05:17" maxSheetId="25" userName="pp" r:id="rId2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CEC7A08-F715-4AC5-9777-2AEA82B5180A}" dateTime="2019-09-10T09:09:13" maxSheetId="25" userName="pp" r:id="rId3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4">
    <nc r="N8">
      <v>5432</v>
    </nc>
  </rcc>
  <rcc rId="104" sId="4">
    <nc r="E8">
      <v>3237</v>
    </nc>
  </rcc>
  <rcc rId="105" sId="4">
    <nc r="H8">
      <v>20829</v>
    </nc>
  </rcc>
  <rcc rId="106" sId="4">
    <nc r="K8">
      <v>8014</v>
    </nc>
  </rcc>
  <rcc rId="107" sId="4">
    <nc r="I8">
      <v>25</v>
    </nc>
  </rcc>
  <rcc rId="108" sId="4">
    <nc r="F8">
      <v>42</v>
    </nc>
  </rcc>
  <rcc rId="109" sId="4">
    <nc r="C8">
      <v>18</v>
    </nc>
  </rcc>
  <rcc rId="110" sId="4">
    <nc r="L8">
      <v>165</v>
    </nc>
  </rcc>
  <rcc rId="111" sId="4">
    <nc r="R8" t="inlineStr">
      <is>
        <t xml:space="preserve">نقيب احمد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" sId="4">
    <nc r="I22">
      <v>23</v>
    </nc>
  </rcc>
  <rcc rId="113" sId="4">
    <nc r="K22">
      <v>2138</v>
    </nc>
  </rcc>
  <rcc rId="114" sId="4">
    <nc r="F22">
      <v>79</v>
    </nc>
  </rcc>
  <rcc rId="115" sId="4">
    <nc r="H22">
      <v>15866</v>
    </nc>
  </rcc>
  <rcc rId="116" sId="4">
    <nc r="L22">
      <v>144</v>
    </nc>
  </rcc>
  <rcc rId="117" sId="4">
    <nc r="N22">
      <v>56235</v>
    </nc>
  </rcc>
  <rcc rId="118" sId="4" numFmtId="4">
    <nc r="O22">
      <v>1700</v>
    </nc>
  </rcc>
  <rcc rId="119" sId="4">
    <nc r="P22">
      <v>1340</v>
    </nc>
  </rcc>
  <rcc rId="120" sId="4">
    <nc r="R22" t="inlineStr">
      <is>
        <t xml:space="preserve">النقيب احمد 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4">
    <nc r="K24">
      <v>2548</v>
    </nc>
  </rcc>
  <rcc rId="122" sId="4">
    <nc r="H24">
      <v>11425</v>
    </nc>
  </rcc>
  <rcc rId="123" sId="4">
    <nc r="N24">
      <v>22259</v>
    </nc>
  </rcc>
  <rcc rId="124" sId="4">
    <nc r="I24">
      <v>24</v>
    </nc>
  </rcc>
  <rcc rId="125" sId="4">
    <nc r="F24">
      <v>52</v>
    </nc>
  </rcc>
  <rcc rId="126" sId="4">
    <nc r="L24">
      <v>162</v>
    </nc>
  </rcc>
  <rcc rId="127" sId="4" numFmtId="4">
    <nc r="O24">
      <v>1050</v>
    </nc>
  </rcc>
  <rcc rId="128" sId="4">
    <nc r="P24">
      <v>1470</v>
    </nc>
  </rcc>
  <rcc rId="129" sId="4">
    <nc r="R24" t="inlineStr">
      <is>
        <t xml:space="preserve">جندي ابراهيم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4">
    <nc r="H17">
      <v>3816</v>
    </nc>
  </rcc>
  <rcc rId="131" sId="4">
    <nc r="K17">
      <v>1093</v>
    </nc>
  </rcc>
  <rcc rId="132" sId="4">
    <nc r="N17">
      <v>8090</v>
    </nc>
  </rcc>
  <rcc rId="133" sId="4" numFmtId="4">
    <nc r="O17">
      <v>1421</v>
    </nc>
  </rcc>
  <rcc rId="134" sId="4">
    <nc r="F17">
      <v>68</v>
    </nc>
  </rcc>
  <rcc rId="135" sId="4">
    <nc r="I17">
      <v>17</v>
    </nc>
  </rcc>
  <rcc rId="136" sId="4">
    <nc r="L17">
      <v>155</v>
    </nc>
  </rcc>
  <rcc rId="137" sId="4">
    <nc r="R17" t="inlineStr">
      <is>
        <t>عميد / خالد</t>
      </is>
    </nc>
  </rcc>
  <rcc rId="138" sId="4">
    <nc r="H21">
      <v>3277</v>
    </nc>
  </rcc>
  <rcc rId="139" sId="4">
    <nc r="N21">
      <v>3709</v>
    </nc>
  </rcc>
  <rcc rId="140" sId="4" numFmtId="4">
    <nc r="O21">
      <v>490</v>
    </nc>
  </rcc>
  <rcc rId="141" sId="4">
    <nc r="F21">
      <v>34</v>
    </nc>
  </rcc>
  <rcc rId="142" sId="4">
    <nc r="L21">
      <v>104</v>
    </nc>
  </rcc>
  <rcc rId="143" sId="4">
    <nc r="R21" t="inlineStr">
      <is>
        <t>عقيد /علاء</t>
      </is>
    </nc>
  </rcc>
  <rcc rId="144" sId="4" numFmtId="4">
    <nc r="O8">
      <v>3080</v>
    </nc>
  </rcc>
  <rcc rId="145" sId="4">
    <nc r="K18">
      <v>4396</v>
    </nc>
  </rcc>
  <rcc rId="146" sId="4">
    <nc r="H18">
      <v>18429</v>
    </nc>
  </rcc>
  <rcc rId="147" sId="4">
    <nc r="N18">
      <v>26082</v>
    </nc>
  </rcc>
  <rcc rId="148" sId="4" numFmtId="4">
    <nc r="O18">
      <v>1687</v>
    </nc>
  </rcc>
  <rcc rId="149" sId="4">
    <nc r="P18">
      <v>2172</v>
    </nc>
  </rcc>
  <rcc rId="150" sId="4">
    <nc r="I18">
      <v>24</v>
    </nc>
  </rcc>
  <rcc rId="151" sId="4">
    <nc r="F18">
      <v>75</v>
    </nc>
  </rcc>
  <rcc rId="152" sId="4">
    <nc r="L18">
      <v>160</v>
    </nc>
  </rcc>
  <rcc rId="153" sId="4">
    <nc r="R18" t="inlineStr">
      <is>
        <t xml:space="preserve">ضابط / هاني </t>
      </is>
    </nc>
  </rcc>
  <rcc rId="154" sId="4">
    <nc r="K14">
      <v>3849</v>
    </nc>
  </rcc>
  <rcc rId="155" sId="4">
    <nc r="H14">
      <v>8007</v>
    </nc>
  </rcc>
  <rcc rId="156" sId="4">
    <nc r="N14">
      <v>52745</v>
    </nc>
  </rcc>
  <rcc rId="157" sId="4">
    <nc r="I14">
      <v>17.5</v>
    </nc>
  </rcc>
  <rcc rId="158" sId="4">
    <nc r="F14">
      <v>77</v>
    </nc>
  </rcc>
  <rcc rId="159" sId="4">
    <nc r="L14">
      <v>138</v>
    </nc>
  </rcc>
  <rcc rId="160" sId="4" numFmtId="4">
    <nc r="O14">
      <v>6358</v>
    </nc>
  </rcc>
  <rcc rId="161" sId="4">
    <nc r="R14" t="inlineStr">
      <is>
        <t xml:space="preserve">احمد المحاسب </t>
      </is>
    </nc>
  </rcc>
  <rcc rId="162" sId="4">
    <nc r="H31">
      <v>57598</v>
    </nc>
  </rcc>
  <rcc rId="163" sId="4">
    <nc r="K31">
      <v>11812</v>
    </nc>
  </rcc>
  <rcc rId="164" sId="4" numFmtId="4">
    <nc r="O31">
      <v>5680</v>
    </nc>
  </rcc>
  <rcc rId="165" sId="4">
    <nc r="F31">
      <v>144</v>
    </nc>
  </rcc>
  <rcc rId="166" sId="4">
    <nc r="I31">
      <v>71</v>
    </nc>
  </rcc>
  <rcc rId="167" sId="4">
    <nc r="R31" t="inlineStr">
      <is>
        <t>ماركو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4">
    <nc r="K9">
      <v>8831</v>
    </nc>
  </rcc>
  <rcc rId="169" sId="4">
    <nc r="H9">
      <v>34131</v>
    </nc>
  </rcc>
  <rcc rId="170" sId="4" numFmtId="4">
    <nc r="O9">
      <v>2940</v>
    </nc>
  </rcc>
  <rcc rId="171" sId="4">
    <nc r="I9">
      <v>19</v>
    </nc>
  </rcc>
  <rcc rId="172" sId="4">
    <nc r="F9">
      <v>64</v>
    </nc>
  </rcc>
  <rcc rId="173" sId="4">
    <nc r="R9" t="inlineStr">
      <is>
        <t xml:space="preserve">عقيد / محمد </t>
      </is>
    </nc>
  </rcc>
  <rcc rId="174" sId="4">
    <nc r="K25">
      <v>1078</v>
    </nc>
  </rcc>
  <rcc rId="175" sId="4">
    <nc r="H25">
      <v>8599</v>
    </nc>
  </rcc>
  <rcc rId="176" sId="4">
    <nc r="N25">
      <v>24386</v>
    </nc>
  </rcc>
  <rcc rId="177" sId="4" numFmtId="4">
    <nc r="O25">
      <v>970</v>
    </nc>
  </rcc>
  <rcc rId="178" sId="4">
    <nc r="P25">
      <v>1820</v>
    </nc>
  </rcc>
  <rcc rId="179" sId="4">
    <nc r="I25">
      <v>25</v>
    </nc>
  </rcc>
  <rcc rId="180" sId="4">
    <nc r="F25">
      <v>58</v>
    </nc>
  </rcc>
  <rcc rId="181" sId="4">
    <nc r="L25">
      <v>160</v>
    </nc>
  </rcc>
  <rcc rId="182" sId="4">
    <nc r="R25" t="inlineStr">
      <is>
        <t>عميد حامد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" sId="4">
    <nc r="E7">
      <v>37982</v>
    </nc>
  </rcc>
  <rcc rId="184" sId="4">
    <nc r="H7">
      <v>21346</v>
    </nc>
  </rcc>
  <rcc rId="185" sId="4">
    <nc r="K7">
      <v>3208</v>
    </nc>
  </rcc>
  <rcc rId="186" sId="4" numFmtId="4">
    <nc r="O7">
      <v>3535</v>
    </nc>
  </rcc>
  <rcc rId="187" sId="4">
    <nc r="C7">
      <v>84</v>
    </nc>
  </rcc>
  <rcc rId="188" sId="4">
    <nc r="F7">
      <v>43</v>
    </nc>
  </rcc>
  <rcc rId="189" sId="4">
    <nc r="I7">
      <v>27</v>
    </nc>
  </rcc>
  <rcc rId="190" sId="4">
    <nc r="R7" t="inlineStr">
      <is>
        <t>عميد سمير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" sId="4">
    <nc r="H20">
      <v>1205</v>
    </nc>
  </rcc>
  <rcc rId="192" sId="4">
    <nc r="E20">
      <v>277</v>
    </nc>
  </rcc>
  <rcc rId="193" sId="4">
    <nc r="N20">
      <v>9010</v>
    </nc>
  </rcc>
  <rcc rId="194" sId="4" numFmtId="4">
    <nc r="O20">
      <v>135</v>
    </nc>
  </rcc>
  <rcc rId="195" sId="4">
    <nc r="P20">
      <v>665</v>
    </nc>
  </rcc>
  <rcc rId="196" sId="4">
    <nc r="F20">
      <v>44</v>
    </nc>
  </rcc>
  <rcc rId="197" sId="4">
    <nc r="C20">
      <v>20</v>
    </nc>
  </rcc>
  <rcc rId="198" sId="4">
    <nc r="L20">
      <v>91</v>
    </nc>
  </rcc>
  <rcc rId="199" sId="4">
    <nc r="R20" t="inlineStr">
      <is>
        <t xml:space="preserve">جندى عبدالله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4">
    <nc r="E26">
      <v>3681</v>
    </nc>
  </rcc>
  <rcc rId="201" sId="4">
    <nc r="H26">
      <v>9266</v>
    </nc>
  </rcc>
  <rcc rId="202" sId="4">
    <nc r="K26">
      <v>1058</v>
    </nc>
  </rcc>
  <rcc rId="203" sId="4">
    <nc r="N26">
      <v>15203</v>
    </nc>
  </rcc>
  <rcc rId="204" sId="4" numFmtId="4">
    <nc r="O26">
      <v>1250</v>
    </nc>
  </rcc>
  <rcc rId="205" sId="4">
    <nc r="C26">
      <v>79</v>
    </nc>
  </rcc>
  <rcc rId="206" sId="4">
    <nc r="F26">
      <v>33</v>
    </nc>
  </rcc>
  <rcc rId="207" sId="4">
    <nc r="I26">
      <v>37</v>
    </nc>
  </rcc>
  <rcc rId="208" sId="4">
    <nc r="L26">
      <v>160</v>
    </nc>
  </rcc>
  <rcc rId="209" sId="4">
    <nc r="R26" t="inlineStr">
      <is>
        <t xml:space="preserve">عقيد احمد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4">
    <nc r="H10">
      <v>28194</v>
    </nc>
  </rcc>
  <rcc rId="211" sId="4">
    <nc r="E10">
      <v>4557</v>
    </nc>
  </rcc>
  <rcc rId="212" sId="4">
    <nc r="N10">
      <v>8928</v>
    </nc>
  </rcc>
  <rcc rId="213" sId="4" numFmtId="4">
    <nc r="O10">
      <v>3055</v>
    </nc>
  </rcc>
  <rcc rId="214" sId="4">
    <nc r="F10">
      <v>50</v>
    </nc>
  </rcc>
  <rcc rId="215" sId="4">
    <nc r="C10">
      <v>16</v>
    </nc>
  </rcc>
  <rcc rId="216" sId="4">
    <nc r="L10">
      <v>152</v>
    </nc>
  </rcc>
  <rcc rId="217" sId="4">
    <nc r="R10" t="inlineStr">
      <is>
        <t xml:space="preserve">جندي مصطفي 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4">
    <nc r="H6">
      <v>29824</v>
    </nc>
  </rcc>
  <rcc rId="219" sId="4">
    <nc r="K6">
      <v>8526</v>
    </nc>
  </rcc>
  <rcc rId="220" sId="4" numFmtId="4">
    <nc r="O6">
      <v>2400</v>
    </nc>
  </rcc>
  <rcc rId="221" sId="4">
    <nc r="F6">
      <v>61</v>
    </nc>
  </rcc>
  <rcc rId="222" sId="4">
    <nc r="I6">
      <v>21</v>
    </nc>
  </rcc>
  <rcc rId="223" sId="4">
    <nc r="R6" t="inlineStr">
      <is>
        <t xml:space="preserve">عقيد وائل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H13">
      <v>39837</v>
    </nc>
  </rcc>
  <rcc rId="2" sId="4">
    <nc r="K13">
      <v>11272</v>
    </nc>
  </rcc>
  <rcc rId="3" sId="4">
    <nc r="N13">
      <v>33511</v>
    </nc>
  </rcc>
  <rcc rId="4" sId="4">
    <nc r="I13">
      <v>32</v>
    </nc>
  </rcc>
  <rcc rId="5" sId="4">
    <nc r="F13">
      <v>170</v>
    </nc>
  </rcc>
  <rcc rId="6" sId="4">
    <nc r="L13">
      <v>75</v>
    </nc>
  </rcc>
  <rcc rId="7" sId="4">
    <nc r="R13" t="inlineStr">
      <is>
        <t xml:space="preserve">عميد اسامه 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4">
    <nc r="H12">
      <v>40678</v>
    </nc>
  </rcc>
  <rcc rId="225" sId="4">
    <nc r="K12">
      <v>11813</v>
    </nc>
  </rcc>
  <rcc rId="226" sId="4" numFmtId="4">
    <nc r="O12">
      <v>3240</v>
    </nc>
  </rcc>
  <rcc rId="227" sId="4">
    <nc r="F12">
      <v>168</v>
    </nc>
  </rcc>
  <rcc rId="228" sId="4">
    <nc r="I12">
      <v>56</v>
    </nc>
  </rcc>
  <rcc rId="229" sId="4">
    <nc r="R12" t="inlineStr">
      <is>
        <t xml:space="preserve">الرائد محمد 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4">
    <nc r="H29">
      <v>31365</v>
    </nc>
  </rcc>
  <rcc rId="231" sId="4">
    <nc r="K29">
      <v>10961</v>
    </nc>
  </rcc>
  <rcc rId="232" sId="4">
    <nc r="F29">
      <v>119</v>
    </nc>
  </rcc>
  <rcc rId="233" sId="4">
    <nc r="I29">
      <v>73</v>
    </nc>
  </rcc>
  <rcc rId="234" sId="4" numFmtId="4">
    <nc r="O29">
      <v>3540</v>
    </nc>
  </rcc>
  <rcc rId="235" sId="4">
    <nc r="R29" t="inlineStr">
      <is>
        <t xml:space="preserve">استاذة مي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4">
    <nc r="E11">
      <v>7556</v>
    </nc>
  </rcc>
  <rcc rId="237" sId="4">
    <nc r="H11">
      <v>16596</v>
    </nc>
  </rcc>
  <rcc rId="238" sId="4">
    <nc r="N11">
      <v>19336</v>
    </nc>
  </rcc>
  <rcc rId="239" sId="4" numFmtId="4">
    <nc r="O11">
      <v>2800</v>
    </nc>
  </rcc>
  <rcc rId="240" sId="4">
    <nc r="C11">
      <v>8</v>
    </nc>
  </rcc>
  <rcc rId="241" sId="4">
    <nc r="F11">
      <v>74</v>
    </nc>
  </rcc>
  <rcc rId="242" sId="4">
    <nc r="L11">
      <v>158</v>
    </nc>
  </rcc>
  <rcc rId="243" sId="4">
    <nc r="R11" t="inlineStr">
      <is>
        <t>عميد اشرف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2019/9/8 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4">
    <nc r="G12">
      <v>34</v>
    </nc>
  </rcc>
  <rcc rId="246" sId="4">
    <nc r="J12">
      <v>17</v>
    </nc>
  </rcc>
  <rcc rId="247" sId="4">
    <nc r="D7">
      <v>34</v>
    </nc>
  </rcc>
  <rcc rId="248" sId="4">
    <nc r="G7">
      <v>17</v>
    </nc>
  </rcc>
  <rcc rId="249" sId="4">
    <nc r="M10">
      <v>17</v>
    </nc>
  </rcc>
  <rcc rId="250" sId="4">
    <nc r="M11">
      <v>17</v>
    </nc>
  </rcc>
  <rcc rId="251" sId="4">
    <nc r="G11">
      <v>17</v>
    </nc>
  </rcc>
  <rcc rId="252" sId="4">
    <nc r="G10">
      <v>34</v>
    </nc>
  </rcc>
  <rcc rId="253" sId="4">
    <nc r="D11">
      <v>17</v>
    </nc>
  </rcc>
  <rcc rId="254" sId="4">
    <nc r="G5">
      <v>34</v>
    </nc>
  </rcc>
  <rcc rId="255" sId="4">
    <nc r="J5">
      <v>17</v>
    </nc>
  </rcc>
  <rcc rId="256" sId="4">
    <nc r="G23">
      <v>34</v>
    </nc>
  </rcc>
  <rcc rId="257" sId="4">
    <nc r="M14">
      <v>51</v>
    </nc>
  </rcc>
  <rcc rId="258" sId="4">
    <nc r="G6">
      <v>34</v>
    </nc>
  </rcc>
  <rcc rId="259" sId="4">
    <nc r="G27">
      <v>17</v>
    </nc>
  </rcc>
  <rcc rId="260" sId="4">
    <nc r="M22">
      <v>17</v>
    </nc>
  </rcc>
  <rcc rId="261" sId="4">
    <nc r="M23">
      <v>51</v>
    </nc>
  </rcc>
  <rcc rId="262" sId="4">
    <nc r="M13">
      <v>51</v>
    </nc>
  </rcc>
  <rcc rId="263" sId="4">
    <nc r="G9">
      <v>34</v>
    </nc>
  </rcc>
  <rcc rId="264" sId="4">
    <nc r="G8">
      <v>17</v>
    </nc>
  </rcc>
  <rcc rId="265" sId="4">
    <nc r="G24">
      <v>34</v>
    </nc>
  </rcc>
  <rcc rId="266" sId="4">
    <nc r="G25">
      <v>34</v>
    </nc>
  </rcc>
  <rcc rId="267" sId="4">
    <nc r="M25">
      <v>17</v>
    </nc>
  </rcc>
  <rcc rId="268" sId="4">
    <nc r="M24">
      <v>17</v>
    </nc>
  </rcc>
  <rcc rId="269" sId="4">
    <nc r="G29">
      <v>51</v>
    </nc>
  </rcc>
  <rcc rId="270" sId="4">
    <nc r="G30">
      <v>51</v>
    </nc>
  </rcc>
  <rcc rId="271" sId="4">
    <nc r="G18">
      <v>17</v>
    </nc>
  </rcc>
  <rcc rId="272" sId="4">
    <nc r="M18">
      <v>34</v>
    </nc>
  </rcc>
  <rcc rId="273" sId="4">
    <nc r="G13">
      <v>85</v>
    </nc>
  </rcc>
  <rcc rId="274" sId="4">
    <nc r="J13">
      <v>17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" sId="7">
    <nc r="C13">
      <v>34</v>
    </nc>
  </rcc>
  <rcc rId="283" sId="7">
    <nc r="D13">
      <v>17</v>
    </nc>
  </rcc>
  <rcc rId="284" sId="7">
    <nc r="G8">
      <v>34</v>
    </nc>
  </rcc>
  <rcc rId="285" sId="7">
    <nc r="H8">
      <v>17</v>
    </nc>
  </rcc>
  <rcc rId="286" sId="7">
    <nc r="C12">
      <v>17</v>
    </nc>
  </rcc>
  <rcc rId="287" sId="7">
    <nc r="E12">
      <v>17</v>
    </nc>
  </rcc>
  <rcc rId="288" sId="7">
    <nc r="E11">
      <v>17</v>
    </nc>
  </rcc>
  <rcc rId="289" sId="7">
    <nc r="H11">
      <v>34</v>
    </nc>
  </rcc>
  <rcc rId="290" sId="7">
    <nc r="G12">
      <v>17</v>
    </nc>
  </rcc>
  <rcc rId="291" sId="7">
    <nc r="C5">
      <v>34</v>
    </nc>
  </rcc>
  <rcc rId="292" sId="7">
    <nc r="D5">
      <v>17</v>
    </nc>
  </rcc>
  <rcc rId="293" sId="7">
    <nc r="B41">
      <v>0</v>
    </nc>
  </rcc>
  <rcc rId="294" sId="7">
    <nc r="E41">
      <v>34</v>
    </nc>
  </rcc>
  <rcc rId="295" sId="7">
    <nc r="G41">
      <v>17</v>
    </nc>
  </rcc>
  <rcc rId="296" sId="7">
    <nc r="T5">
      <v>51</v>
    </nc>
  </rcc>
  <rcc rId="297" sId="7">
    <nc r="H7">
      <v>34</v>
    </nc>
  </rcc>
  <rcc rId="298" sId="7">
    <nc r="H6">
      <v>17</v>
    </nc>
  </rcc>
  <rcc rId="299" sId="7">
    <nc r="Q15">
      <v>17</v>
    </nc>
  </rcc>
  <rcc rId="300" sId="7">
    <nc r="Q16">
      <v>34</v>
    </nc>
  </rcc>
  <rcc rId="301" sId="7">
    <nc r="E14">
      <v>51</v>
    </nc>
  </rcc>
  <rcc rId="302" sId="7">
    <nc r="C18">
      <v>51</v>
    </nc>
  </rcc>
  <rcc rId="303" sId="7">
    <nc r="C17">
      <v>0</v>
    </nc>
  </rcc>
  <rcc rId="304" sId="7">
    <nc r="C10">
      <v>34</v>
    </nc>
  </rcc>
  <rcc rId="305" sId="7">
    <nc r="C9">
      <v>17</v>
    </nc>
  </rcc>
  <rcc rId="306" sId="7">
    <nc r="E42">
      <v>34</v>
    </nc>
  </rcc>
  <rcc rId="307" sId="7">
    <nc r="E43">
      <v>34</v>
    </nc>
  </rcc>
  <rcc rId="308" sId="7">
    <nc r="G43">
      <v>17</v>
    </nc>
  </rcc>
  <rcc rId="309" sId="7">
    <nc r="G42">
      <v>17</v>
    </nc>
  </rcc>
  <rcc rId="310" sId="7">
    <nc r="C16">
      <v>51</v>
    </nc>
  </rcc>
  <rcc rId="311" sId="7">
    <nc r="C15">
      <v>51</v>
    </nc>
  </rcc>
  <rcc rId="312" sId="7">
    <nc r="I28">
      <v>34</v>
    </nc>
  </rcc>
  <rcc rId="313" sId="7">
    <oc r="A44" t="inlineStr">
      <is>
        <t xml:space="preserve">الإجمالى </t>
      </is>
    </oc>
    <nc r="A44" t="inlineStr">
      <is>
        <t>17</t>
      </is>
    </nc>
  </rcc>
  <rcc rId="314" sId="7">
    <nc r="F28">
      <v>17</v>
    </nc>
  </rcc>
  <rcc rId="315" sId="7">
    <nc r="C14">
      <v>85</v>
    </nc>
  </rcc>
  <rcc rId="316" sId="7">
    <nc r="D14">
      <v>17</v>
    </nc>
  </rcc>
  <rcc rId="317" sId="4">
    <nc r="G31">
      <v>51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7">
    <oc r="C17">
      <v>0</v>
    </oc>
    <nc r="C17">
      <v>34</v>
    </nc>
  </rcc>
  <rcc rId="319" sId="7">
    <nc r="D17">
      <v>17</v>
    </nc>
  </rcc>
  <rcc rId="320" sId="4">
    <nc r="G28">
      <v>34</v>
    </nc>
  </rcc>
  <rcc rId="321" sId="4">
    <nc r="J28">
      <v>17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3">
    <oc r="C11">
      <f>'Z:\Current Month\[مسحوبات المستودعات والتحويلات.xlsx]كوتة الاكسيل'!$F$15/30*1000</f>
    </oc>
    <nc r="C11">
      <f>'Z:\Current Month\[مسحوبات المستودعات والتحويلات.xlsx]كوتة الاكسيل'!$F$15/30*1000</f>
    </nc>
  </rcc>
  <rcc rId="323" sId="3">
    <oc r="D11">
      <f>'التمام الصباحي'!F39*1000</f>
    </oc>
    <nc r="D11">
      <f>'التمام الصباحي'!F39*1000</f>
    </nc>
  </rcc>
  <rcc rId="324" sId="3">
    <oc r="E11">
      <f>D11/C11</f>
    </oc>
    <nc r="E11">
      <f>D11/C11</f>
    </nc>
  </rcc>
  <rcc rId="325" sId="3">
    <oc r="F11">
      <f>'Z:\Current Month\[مسحوبات المستودعات والتحويلات.xlsx]كوتة الاكسيل'!$N$15/30*1000</f>
    </oc>
    <nc r="F11">
      <f>'Z:\Current Month\[مسحوبات المستودعات والتحويلات.xlsx]كوتة الاكسيل'!$N$15/30*1000</f>
    </nc>
  </rcc>
  <rcc rId="326" sId="3">
    <oc r="G11">
      <f>'التمام الصباحي'!L39*1000</f>
    </oc>
    <nc r="G11">
      <f>'التمام الصباحي'!L39*1000</f>
    </nc>
  </rcc>
  <rcc rId="327" sId="3">
    <oc r="H11">
      <f>G11/F11</f>
    </oc>
    <nc r="H11">
      <f>G11/F11</f>
    </nc>
  </rcc>
  <rcc rId="328" sId="3">
    <oc r="I11">
      <f>'Z:\Current Month\[مسحوبات المستودعات والتحويلات.xlsx]كوتة الاكسيل'!$J$15/30*1000</f>
    </oc>
    <nc r="I11">
      <f>'Z:\Current Month\[مسحوبات المستودعات والتحويلات.xlsx]كوتة الاكسيل'!$J$15/30*1000</f>
    </nc>
  </rcc>
  <rcc rId="329" sId="3">
    <oc r="J11">
      <f>'التمام الصباحي'!R39*1000</f>
    </oc>
    <nc r="J11">
      <f>'التمام الصباحي'!R39*1000</f>
    </nc>
  </rcc>
  <rcc rId="330" sId="3">
    <oc r="K11">
      <f>J11/I11</f>
    </oc>
    <nc r="K11">
      <f>J11/I11</f>
    </nc>
  </rcc>
  <rcc rId="331" sId="3">
    <oc r="L11">
      <f>'Z:\Current Month\[مسحوبات المستودعات والتحويلات.xlsx]كوتة الاكسيل'!$B$15/30*1000</f>
    </oc>
    <nc r="L11">
      <f>'Z:\Current Month\[مسحوبات المستودعات والتحويلات.xlsx]كوتة الاكسيل'!$B$15/30*1000</f>
    </nc>
  </rcc>
  <rcc rId="332" sId="14">
    <oc r="F17">
      <f>'Z:\Current Month\[مسحوبات المستودعات والتحويلات.xlsx]التعاون.ملخص'!$D$2</f>
    </oc>
    <nc r="F17">
      <f>'Z:\Current Month\[مسحوبات المستودعات والتحويلات.xlsx]التعاون.ملخص'!$D$2</f>
    </nc>
  </rcc>
  <rcc rId="333" sId="14">
    <oc r="F18">
      <f>'Z:\Current Month\[مسحوبات المستودعات والتحويلات.xlsx]التعاون.ملخص'!$D$4</f>
    </oc>
    <nc r="F18">
      <f>'Z:\Current Month\[مسحوبات المستودعات والتحويلات.xlsx]التعاون.ملخص'!$D$4</f>
    </nc>
  </rcc>
  <rcc rId="334" sId="14">
    <oc r="F19">
      <f>'Z:\Current Month\[مسحوبات المستودعات والتحويلات.xlsx]التعاون.ملخص'!$D$3</f>
    </oc>
    <nc r="F19">
      <f>'Z:\Current Month\[مسحوبات المستودعات والتحويلات.xlsx]التعاون.ملخص'!$D$3</f>
    </nc>
  </rcc>
  <rcc rId="335" sId="14">
    <oc r="F21">
      <f>'Z:\Current Month\[مسحوبات المستودعات والتحويلات.xlsx]التعاون.ملخص'!$D$5</f>
    </oc>
    <nc r="F21">
      <f>'Z:\Current Month\[مسحوبات المستودعات والتحويلات.xlsx]التعاون.ملخص'!$D$5</f>
    </nc>
  </rcc>
  <rcc rId="336" sId="16">
    <oc r="D16">
      <f>'Z:\Current Month\[مسحوبات المستودعات والتحويلات.xlsx]التعاون.ملخص'!$D$6</f>
    </oc>
    <nc r="D16">
      <f>'Z:\Current Month\[مسحوبات المستودعات والتحويلات.xlsx]التعاون.ملخص'!$D$6</f>
    </nc>
  </rcc>
  <rcc rId="337" sId="18">
    <oc r="D15">
      <f>'Z:\Current Month\[مسحوبات المستودعات والتحويلات.xlsx]التعاون.ملخص'!$D$7</f>
    </oc>
    <nc r="D15">
      <f>'Z:\Current Month\[مسحوبات المستودعات والتحويلات.xlsx]التعاون.ملخص'!$D$7</f>
    </nc>
  </rcc>
  <rcc rId="338" sId="20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339" sId="21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340" sId="14">
    <oc r="F22">
      <f>'Z:\Current Month\[مسحوبات المستودعات والتحويلات.xlsx]موبيل.ملخص'!$D$2</f>
    </oc>
    <nc r="F22">
      <f>'Z:\Current Month\[مسحوبات المستودعات والتحويلات.xlsx]موبيل.ملخص'!$D$2</f>
    </nc>
  </rcc>
  <rcc rId="341" sId="14">
    <oc r="F23">
      <f>'Z:\Current Month\[مسحوبات المستودعات والتحويلات.xlsx]موبيل.ملخص'!$D$4</f>
    </oc>
    <nc r="F23">
      <f>'Z:\Current Month\[مسحوبات المستودعات والتحويلات.xlsx]موبيل.ملخص'!$D$4</f>
    </nc>
  </rcc>
  <rcc rId="342" sId="14">
    <oc r="F24">
      <f>'Z:\Current Month\[مسحوبات المستودعات والتحويلات.xlsx]موبيل.ملخص'!$D$3</f>
    </oc>
    <nc r="F24">
      <f>'Z:\Current Month\[مسحوبات المستودعات والتحويلات.xlsx]موبيل.ملخص'!$D$3</f>
    </nc>
  </rcc>
  <rcc rId="343" sId="16">
    <oc r="D17">
      <f>'Z:\Current Month\[مسحوبات المستودعات والتحويلات.xlsx]موبيل.ملخص'!$D$5</f>
    </oc>
    <nc r="D17">
      <f>'Z:\Current Month\[مسحوبات المستودعات والتحويلات.xlsx]موبيل.ملخص'!$D$5</f>
    </nc>
  </rcc>
  <rcc rId="344" sId="16">
    <oc r="D22">
      <f>'Z:\Current Month\[مسحوبات المستودعات والتحويلات.xlsx]موبيل.ملخص'!$D$6</f>
    </oc>
    <nc r="D22">
      <f>'Z:\Current Month\[مسحوبات المستودعات والتحويلات.xlsx]موبيل.ملخص'!$D$6</f>
    </nc>
  </rcc>
  <rcc rId="345" sId="18">
    <oc r="D16">
      <f>'Z:\Current Month\[مسحوبات المستودعات والتحويلات.xlsx]موبيل.ملخص'!$D$8</f>
    </oc>
    <nc r="D16">
      <f>'Z:\Current Month\[مسحوبات المستودعات والتحويلات.xlsx]موبيل.ملخص'!$D$8</f>
    </nc>
  </rcc>
  <rcc rId="346" sId="18">
    <oc r="D17">
      <f>'Z:\Current Month\[مسحوبات المستودعات والتحويلات.xlsx]التعاون.ملخص'!$D$8</f>
    </oc>
    <nc r="D17">
      <f>'Z:\Current Month\[مسحوبات المستودعات والتحويلات.xlsx]التعاون.ملخص'!$D$8</f>
    </nc>
  </rcc>
  <rcc rId="347" sId="18">
    <oc r="D18">
      <f>'Z:\Current Month\[مسحوبات المستودعات والتحويلات.xlsx]موبيل.ملخص'!$D$10</f>
    </oc>
    <nc r="D18">
      <f>'Z:\Current Month\[مسحوبات المستودعات والتحويلات.xlsx]موبيل.ملخص'!$D$10</f>
    </nc>
  </rcc>
  <rcc rId="348" sId="18">
    <oc r="D20">
      <f>'Z:\Current Month\[مسحوبات المستودعات والتحويلات.xlsx]التعاون.ملخص'!$D$9</f>
    </oc>
    <nc r="D20">
      <f>'Z:\Current Month\[مسحوبات المستودعات والتحويلات.xlsx]التعاون.ملخص'!$D$9</f>
    </nc>
  </rcc>
  <rcc rId="349" sId="18">
    <oc r="D21">
      <f>'Z:\Current Month\[مسحوبات المستودعات والتحويلات.xlsx]موبيل.ملخص'!$D$9</f>
    </oc>
    <nc r="D21">
      <f>'Z:\Current Month\[مسحوبات المستودعات والتحويلات.xlsx]موبيل.ملخص'!$D$9</f>
    </nc>
  </rcc>
  <rcc rId="350" sId="16">
    <oc r="D15">
      <f>'Z:\Current Month\[مسحوبات المستودعات والتحويلات.xlsx]مصرملخص'!$D$2</f>
    </oc>
    <nc r="D15">
      <f>'Z:\Current Month\[مسحوبات المستودعات والتحويلات.xlsx]مصرملخص'!$D$2</f>
    </nc>
  </rcc>
  <rcc rId="351" sId="16">
    <oc r="D19">
      <f>'Z:\Current Month\[مسحوبات المستودعات والتحويلات.xlsx]مصرملخص'!$D$4</f>
    </oc>
    <nc r="D19">
      <f>'Z:\Current Month\[مسحوبات المستودعات والتحويلات.xlsx]مصرملخص'!$D$4</f>
    </nc>
  </rcc>
  <rcc rId="352" sId="16">
    <oc r="D20">
      <f>'Z:\Current Month\[مسحوبات المستودعات والتحويلات.xlsx]موبيل.ملخص'!$D$7</f>
    </oc>
    <nc r="D20">
      <f>'Z:\Current Month\[مسحوبات المستودعات والتحويلات.xlsx]موبيل.ملخص'!$D$7</f>
    </nc>
  </rcc>
  <rcc rId="353" sId="16">
    <oc r="D21">
      <f>'Z:\Current Month\[مسحوبات المستودعات والتحويلات.xlsx]مصرملخص'!$D$3</f>
    </oc>
    <nc r="D21">
      <f>'Z:\Current Month\[مسحوبات المستودعات والتحويلات.xlsx]مصرملخص'!$D$3</f>
    </nc>
  </rcc>
  <rcc rId="354" sId="18">
    <oc r="D14">
      <f>'Z:\Current Month\[مسحوبات المستودعات والتحويلات.xlsx]مصرملخص'!$D$6</f>
    </oc>
    <nc r="D14">
      <f>'Z:\Current Month\[مسحوبات المستودعات والتحويلات.xlsx]مصرملخص'!$D$6</f>
    </nc>
  </rcc>
  <rcc rId="355" sId="18">
    <oc r="D19">
      <f>'Z:\Current Month\[مسحوبات المستودعات والتحويلات.xlsx]مصرملخص'!$D$7</f>
    </oc>
    <nc r="D19">
      <f>'Z:\Current Month\[مسحوبات المستودعات والتحويلات.xlsx]مصرملخص'!$D$7</f>
    </nc>
  </rcc>
  <rcc rId="356" sId="20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357" sId="20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358" sId="20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359" sId="21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360" sId="21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361" sId="21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362" sId="16">
    <oc r="D18">
      <f>'Z:\Current Month\[مسحوبات المستودعات والتحويلات.xlsx]مصر للبترول'!$Y$36</f>
    </oc>
    <nc r="D18">
      <f>'Z:\Current Month\[مسحوبات المستودعات والتحويلات.xlsx]مصر للبترول'!$Y$36</f>
    </nc>
  </rcc>
  <rcc rId="363" sId="7">
    <nc r="H14">
      <v>34</v>
    </nc>
  </rcc>
  <rcc rId="364" sId="7">
    <nc r="I14">
      <v>17</v>
    </nc>
  </rcc>
  <rcc rId="365" sId="7">
    <oc r="C14">
      <v>85</v>
    </oc>
    <nc r="C14">
      <v>51</v>
    </nc>
  </rcc>
  <rcc rId="366" sId="7">
    <oc r="D14">
      <v>17</v>
    </oc>
    <nc r="D14">
      <v>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" sId="7">
    <oc r="E14">
      <v>51</v>
    </oc>
    <nc r="E14">
      <v>0</v>
    </nc>
  </rcc>
  <rcc rId="368" sId="7">
    <nc r="F14">
      <v>51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4">
    <nc r="H15">
      <v>8434</v>
    </nc>
  </rcc>
  <rcc rId="16" sId="4">
    <nc r="K15">
      <v>2206</v>
    </nc>
  </rcc>
  <rcc rId="17" sId="4">
    <nc r="N15">
      <v>3376</v>
    </nc>
  </rcc>
  <rcc rId="18" sId="4" numFmtId="4">
    <nc r="O15">
      <v>1182</v>
    </nc>
  </rcc>
  <rcc rId="19" sId="4">
    <nc r="F15">
      <v>83</v>
    </nc>
  </rcc>
  <rcc rId="20" sId="4">
    <nc r="I15">
      <v>14</v>
    </nc>
  </rcc>
  <rcc rId="21" sId="4">
    <nc r="L15">
      <v>53</v>
    </nc>
  </rcc>
  <rcc rId="22" sId="4">
    <nc r="R15" t="inlineStr">
      <is>
        <t xml:space="preserve">م احمد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4">
    <nc r="H5">
      <v>25236</v>
    </nc>
  </rcc>
  <rcc rId="24" sId="4">
    <nc r="K5">
      <v>7775</v>
    </nc>
  </rcc>
  <rcc rId="25" sId="4" numFmtId="4">
    <nc r="O5">
      <v>2150</v>
    </nc>
  </rcc>
  <rcc rId="26" sId="4">
    <nc r="F5">
      <v>45</v>
    </nc>
  </rcc>
  <rcc rId="27" sId="4">
    <nc r="I5">
      <v>10</v>
    </nc>
  </rcc>
  <rcc rId="28" sId="4">
    <nc r="R5" t="inlineStr">
      <is>
        <t xml:space="preserve">المقدم محمد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4">
    <oc r="I4" t="inlineStr">
      <is>
        <t>موجود</t>
      </is>
    </oc>
    <nc r="I4" t="inlineStr">
      <is>
        <t xml:space="preserve">موجود </t>
      </is>
    </nc>
  </rcc>
  <rcc rId="30" sId="4">
    <oc r="Q5">
      <f>P5+O5</f>
    </oc>
    <nc r="Q5">
      <f>P5+O5</f>
    </nc>
  </rcc>
  <rcc rId="31" sId="4">
    <oc r="Q6">
      <f>P6+O6</f>
    </oc>
    <nc r="Q6">
      <f>P6+O6</f>
    </nc>
  </rcc>
  <rcc rId="32" sId="4">
    <oc r="Q7">
      <f>P7+O7</f>
    </oc>
    <nc r="Q7">
      <f>P7+O7</f>
    </nc>
  </rcc>
  <rcc rId="33" sId="4">
    <oc r="Q8">
      <f>P8+O8</f>
    </oc>
    <nc r="Q8">
      <f>P8+O8</f>
    </nc>
  </rcc>
  <rcc rId="34" sId="4">
    <oc r="Q9">
      <f>P9+O9</f>
    </oc>
    <nc r="Q9">
      <f>P9+O9</f>
    </nc>
  </rcc>
  <rcc rId="35" sId="4">
    <oc r="Q10">
      <f>P10+O10</f>
    </oc>
    <nc r="Q10">
      <f>P10+O10</f>
    </nc>
  </rcc>
  <rcc rId="36" sId="4">
    <oc r="Q11">
      <f>P11+O11</f>
    </oc>
    <nc r="Q11">
      <f>P11+O11</f>
    </nc>
  </rcc>
  <rcc rId="37" sId="4">
    <oc r="Q12">
      <f>P12+O12</f>
    </oc>
    <nc r="Q12">
      <f>P12+O12</f>
    </nc>
  </rcc>
  <rcc rId="38" sId="4">
    <oc r="Q13">
      <f>P13+O13</f>
    </oc>
    <nc r="Q13">
      <f>P13+O13</f>
    </nc>
  </rcc>
  <rcc rId="39" sId="4">
    <oc r="Q14">
      <f>P14+O14</f>
    </oc>
    <nc r="Q14">
      <f>P14+O14</f>
    </nc>
  </rcc>
  <rcc rId="40" sId="4">
    <oc r="Q15">
      <f>P15+O15</f>
    </oc>
    <nc r="Q15">
      <f>P15+O15</f>
    </nc>
  </rcc>
  <rcc rId="41" sId="4">
    <oc r="Q16">
      <f>P16+O16</f>
    </oc>
    <nc r="Q16">
      <f>P16+O16</f>
    </nc>
  </rcc>
  <rcc rId="42" sId="4">
    <oc r="Q17">
      <f>P17+O17</f>
    </oc>
    <nc r="Q17">
      <f>P17+O17</f>
    </nc>
  </rcc>
  <rcc rId="43" sId="4">
    <oc r="Q18">
      <f>P18+O18</f>
    </oc>
    <nc r="Q18">
      <f>P18+O18</f>
    </nc>
  </rcc>
  <rcc rId="44" sId="4">
    <oc r="Q19">
      <f>P19+O19</f>
    </oc>
    <nc r="Q19">
      <f>P19+O19</f>
    </nc>
  </rcc>
  <rcc rId="45" sId="4">
    <oc r="Q20">
      <f>P20+O20</f>
    </oc>
    <nc r="Q20">
      <f>P20+O20</f>
    </nc>
  </rcc>
  <rcc rId="46" sId="4">
    <oc r="Q21">
      <f>P21+O21</f>
    </oc>
    <nc r="Q21">
      <f>P21+O21</f>
    </nc>
  </rcc>
  <rcc rId="47" sId="4">
    <oc r="Q22">
      <f>P22+O22</f>
    </oc>
    <nc r="Q22">
      <f>P22+O22</f>
    </nc>
  </rcc>
  <rcc rId="48" sId="4">
    <oc r="Q23">
      <f>P23+O23</f>
    </oc>
    <nc r="Q23">
      <f>P23+O23</f>
    </nc>
  </rcc>
  <rcc rId="49" sId="4">
    <oc r="Q24">
      <f>P24+O24</f>
    </oc>
    <nc r="Q24">
      <f>P24+O24</f>
    </nc>
  </rcc>
  <rcc rId="50" sId="4">
    <oc r="Q25">
      <f>P25+O25</f>
    </oc>
    <nc r="Q25">
      <f>P25+O25</f>
    </nc>
  </rcc>
  <rcc rId="51" sId="4">
    <oc r="Q26">
      <f>P26+O26</f>
    </oc>
    <nc r="Q26">
      <f>P26+O26</f>
    </nc>
  </rcc>
  <rcc rId="52" sId="4">
    <oc r="Q27">
      <f>P27+O27</f>
    </oc>
    <nc r="Q27">
      <f>P27+O27</f>
    </nc>
  </rcc>
  <rcc rId="53" sId="4">
    <oc r="Q28">
      <f>P28+O28</f>
    </oc>
    <nc r="Q28">
      <f>P28+O28</f>
    </nc>
  </rcc>
  <rcc rId="54" sId="4">
    <oc r="Q29">
      <f>P29+O29</f>
    </oc>
    <nc r="Q29">
      <f>P29+O29</f>
    </nc>
  </rcc>
  <rcc rId="55" sId="4">
    <oc r="Q30">
      <f>P30+O30</f>
    </oc>
    <nc r="Q30">
      <f>P30+O30</f>
    </nc>
  </rcc>
  <rcc rId="56" sId="4">
    <oc r="Q31">
      <f>P31+O31</f>
    </oc>
    <nc r="Q31">
      <f>P31+O31</f>
    </nc>
  </rcc>
  <rcc rId="57" sId="4">
    <oc r="Q32">
      <f>P32+O32</f>
    </oc>
    <nc r="Q32">
      <f>P32+O32</f>
    </nc>
  </rcc>
  <rcc rId="58" sId="4">
    <oc r="Q33">
      <f>P33+O33</f>
    </oc>
    <nc r="Q33">
      <f>P33+O33</f>
    </nc>
  </rcc>
  <rcc rId="59" sId="4">
    <oc r="Q34">
      <f>P34+O34</f>
    </oc>
    <nc r="Q34">
      <f>P34+O34</f>
    </nc>
  </rcc>
  <rcc rId="60" sId="4">
    <oc r="Q35">
      <f>P35+O35</f>
    </oc>
    <nc r="Q35">
      <f>P35+O35</f>
    </nc>
  </rcc>
  <rcc rId="61" sId="4">
    <oc r="D39">
      <f>SUM(D5:D31)</f>
    </oc>
    <nc r="D39">
      <f>SUM(D5:D31)</f>
    </nc>
  </rcc>
  <rcc rId="62" sId="4">
    <oc r="G39">
      <f>SUM(G5:G31)</f>
    </oc>
    <nc r="G39">
      <f>SUM(G5:G31)</f>
    </nc>
  </rcc>
  <rcc rId="63" sId="4">
    <oc r="J39">
      <f>SUM(J5:J31)</f>
    </oc>
    <nc r="J39">
      <f>SUM(J5:J31)</f>
    </nc>
  </rcc>
  <rcc rId="64" sId="4">
    <oc r="M39">
      <f>SUM(M5:M31)</f>
    </oc>
    <nc r="M39">
      <f>SUM(M5:M31)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4">
    <nc r="K19">
      <v>1640</v>
    </nc>
  </rcc>
  <rcc rId="66" sId="4">
    <nc r="H19">
      <v>6751</v>
    </nc>
  </rcc>
  <rcc rId="67" sId="4" numFmtId="4">
    <nc r="O19">
      <v>760</v>
    </nc>
  </rcc>
  <rcc rId="68" sId="4">
    <nc r="I19">
      <v>17</v>
    </nc>
  </rcc>
  <rcc rId="69" sId="4">
    <nc r="F19">
      <v>56</v>
    </nc>
  </rcc>
  <rcc rId="70" sId="4">
    <nc r="R19" t="inlineStr">
      <is>
        <t xml:space="preserve">عقيد حسان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4">
    <nc r="K30">
      <v>8550</v>
    </nc>
  </rcc>
  <rcc rId="72" sId="4">
    <nc r="F30">
      <v>150</v>
    </nc>
  </rcc>
  <rcc rId="73" sId="4">
    <nc r="I30">
      <v>79</v>
    </nc>
  </rcc>
  <rcc rId="74" sId="4">
    <nc r="H30">
      <v>32098</v>
    </nc>
  </rcc>
  <rcc rId="75" sId="4">
    <nc r="R30" t="inlineStr">
      <is>
        <t xml:space="preserve">النقيب صلاح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4">
    <nc r="K16">
      <v>1344</v>
    </nc>
  </rcc>
  <rcc rId="77" sId="4">
    <nc r="H16">
      <v>4047</v>
    </nc>
  </rcc>
  <rcc rId="78" sId="4" numFmtId="4">
    <nc r="O16">
      <v>625</v>
    </nc>
  </rcc>
  <rcc rId="79" sId="4">
    <nc r="I16">
      <v>19</v>
    </nc>
  </rcc>
  <rcc rId="80" sId="4">
    <nc r="F16">
      <v>36</v>
    </nc>
  </rcc>
  <rcc rId="81" sId="4">
    <nc r="R16" t="inlineStr">
      <is>
        <t xml:space="preserve">عقيد / محمد </t>
      </is>
    </nc>
  </rcc>
  <rcc rId="82" sId="4">
    <nc r="K28">
      <v>10425</v>
    </nc>
  </rcc>
  <rcc rId="83" sId="4">
    <nc r="H28">
      <v>28760</v>
    </nc>
  </rcc>
  <rcc rId="84" sId="4" numFmtId="4">
    <nc r="O28">
      <v>1440</v>
    </nc>
  </rcc>
  <rcc rId="85" sId="4">
    <nc r="F28">
      <v>170</v>
    </nc>
  </rcc>
  <rcc rId="86" sId="4">
    <nc r="I28">
      <v>79</v>
    </nc>
  </rcc>
  <rcc rId="87" sId="4">
    <nc r="R28" t="inlineStr">
      <is>
        <t xml:space="preserve">نقيب / ايمن </t>
      </is>
    </nc>
  </rcc>
  <rcc rId="88" sId="4">
    <nc r="R27" t="inlineStr">
      <is>
        <t xml:space="preserve">النقيب حفناوي </t>
      </is>
    </nc>
  </rcc>
  <rcc rId="89" sId="4">
    <nc r="H27">
      <v>7941</v>
    </nc>
  </rcc>
  <rcc rId="90" sId="4">
    <nc r="K27">
      <v>1749</v>
    </nc>
  </rcc>
  <rcc rId="91" sId="4" numFmtId="4">
    <nc r="O27">
      <v>670</v>
    </nc>
  </rcc>
  <rcc rId="92" sId="4">
    <nc r="F27">
      <v>108</v>
    </nc>
  </rcc>
  <rcc rId="93" sId="4">
    <nc r="I27">
      <v>38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4">
    <nc r="K23">
      <v>3222</v>
    </nc>
  </rcc>
  <rcc rId="95" sId="4">
    <nc r="H23">
      <v>15122</v>
    </nc>
  </rcc>
  <rcc rId="96" sId="4">
    <nc r="N23">
      <v>49245</v>
    </nc>
  </rcc>
  <rcc rId="97" sId="4" numFmtId="4">
    <nc r="O23">
      <v>1505</v>
    </nc>
  </rcc>
  <rcc rId="98" sId="4">
    <nc r="P23">
      <v>3635</v>
    </nc>
  </rcc>
  <rcc rId="99" sId="4">
    <nc r="I23">
      <v>18</v>
    </nc>
  </rcc>
  <rcc rId="100" sId="4">
    <nc r="F23">
      <v>50</v>
    </nc>
  </rcc>
  <rcc rId="101" sId="4">
    <nc r="L23">
      <v>120</v>
    </nc>
  </rcc>
  <rcc rId="102" sId="4">
    <nc r="R23" t="inlineStr">
      <is>
        <t xml:space="preserve">العميد خالد 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M38" sqref="M38"/>
    </sheetView>
  </sheetViews>
  <sheetFormatPr defaultColWidth="9" defaultRowHeight="14.25" x14ac:dyDescent="0.2"/>
  <cols>
    <col min="1" max="1" width="5.625" style="190" customWidth="1"/>
    <col min="2" max="2" width="10" style="190" customWidth="1"/>
    <col min="3" max="3" width="5.25" style="190" customWidth="1"/>
    <col min="4" max="4" width="6.75" style="190" customWidth="1"/>
    <col min="5" max="5" width="6.25" style="190" customWidth="1"/>
    <col min="6" max="6" width="5.375" style="190" customWidth="1"/>
    <col min="7" max="7" width="6.875" style="190" customWidth="1"/>
    <col min="8" max="8" width="7" style="190" customWidth="1"/>
    <col min="9" max="10" width="6.375" style="190" customWidth="1"/>
    <col min="11" max="11" width="5.375" style="190" customWidth="1"/>
    <col min="12" max="12" width="6.25" style="190" customWidth="1"/>
    <col min="13" max="13" width="6.875" style="190" customWidth="1"/>
    <col min="14" max="14" width="7.125" style="190" bestFit="1" customWidth="1"/>
    <col min="15" max="15" width="6" style="190" customWidth="1"/>
    <col min="16" max="16" width="5.25" style="190" customWidth="1"/>
    <col min="17" max="17" width="5.375" style="190" customWidth="1"/>
    <col min="18" max="18" width="5.125" style="190" customWidth="1"/>
    <col min="19" max="19" width="8.125" style="190" customWidth="1"/>
    <col min="20" max="20" width="7.625" style="190" customWidth="1"/>
    <col min="21" max="21" width="5.875" style="190" customWidth="1"/>
    <col min="22" max="22" width="5.25" style="190" customWidth="1"/>
    <col min="23" max="23" width="5.375" style="190" customWidth="1"/>
    <col min="24" max="24" width="4.75" style="190" customWidth="1"/>
    <col min="25" max="25" width="7.25" style="190" customWidth="1"/>
    <col min="26" max="26" width="7.375" style="190" customWidth="1"/>
    <col min="27" max="16384" width="9" style="190"/>
  </cols>
  <sheetData>
    <row r="1" spans="1:26" ht="18" x14ac:dyDescent="0.25">
      <c r="A1" s="382" t="s">
        <v>0</v>
      </c>
      <c r="B1" s="382"/>
      <c r="C1" s="382"/>
      <c r="D1" s="382"/>
      <c r="E1" s="382"/>
      <c r="X1" s="378"/>
      <c r="Y1" s="378"/>
    </row>
    <row r="2" spans="1:26" ht="15.75" x14ac:dyDescent="0.25">
      <c r="A2" s="382" t="s">
        <v>1</v>
      </c>
      <c r="B2" s="382"/>
      <c r="C2" s="382"/>
      <c r="D2" s="382"/>
      <c r="E2" s="382"/>
    </row>
    <row r="3" spans="1:26" ht="15.75" x14ac:dyDescent="0.25">
      <c r="A3" s="382" t="s">
        <v>2</v>
      </c>
      <c r="B3" s="382"/>
      <c r="C3" s="382"/>
      <c r="D3" s="382"/>
      <c r="E3" s="382"/>
    </row>
    <row r="5" spans="1:26" ht="18.75" thickBot="1" x14ac:dyDescent="0.3">
      <c r="G5" s="191"/>
      <c r="I5" s="381" t="s">
        <v>193</v>
      </c>
      <c r="J5" s="381"/>
      <c r="K5" s="381"/>
      <c r="L5" s="381"/>
      <c r="M5" s="381"/>
      <c r="N5" s="381"/>
      <c r="V5" s="192" t="s">
        <v>41</v>
      </c>
    </row>
    <row r="6" spans="1:26" ht="20.100000000000001" customHeight="1" thickBot="1" x14ac:dyDescent="0.25">
      <c r="A6" s="380" t="s">
        <v>14</v>
      </c>
      <c r="B6" s="380" t="s">
        <v>3</v>
      </c>
      <c r="C6" s="380" t="s">
        <v>4</v>
      </c>
      <c r="D6" s="380" t="s">
        <v>5</v>
      </c>
      <c r="E6" s="380"/>
      <c r="F6" s="380"/>
      <c r="G6" s="380"/>
      <c r="H6" s="380"/>
      <c r="I6" s="380" t="s">
        <v>4</v>
      </c>
      <c r="J6" s="380" t="s">
        <v>11</v>
      </c>
      <c r="K6" s="380"/>
      <c r="L6" s="380"/>
      <c r="M6" s="380"/>
      <c r="N6" s="380"/>
      <c r="O6" s="380" t="s">
        <v>4</v>
      </c>
      <c r="P6" s="380" t="s">
        <v>12</v>
      </c>
      <c r="Q6" s="380"/>
      <c r="R6" s="380"/>
      <c r="S6" s="380"/>
      <c r="T6" s="380"/>
      <c r="U6" s="380" t="s">
        <v>4</v>
      </c>
      <c r="V6" s="380" t="s">
        <v>13</v>
      </c>
      <c r="W6" s="380"/>
      <c r="X6" s="380"/>
      <c r="Y6" s="380"/>
      <c r="Z6" s="380"/>
    </row>
    <row r="7" spans="1:26" ht="20.100000000000001" customHeight="1" thickBot="1" x14ac:dyDescent="0.25">
      <c r="A7" s="380"/>
      <c r="B7" s="380"/>
      <c r="C7" s="380"/>
      <c r="D7" s="193" t="s">
        <v>6</v>
      </c>
      <c r="E7" s="193" t="s">
        <v>7</v>
      </c>
      <c r="F7" s="193" t="s">
        <v>8</v>
      </c>
      <c r="G7" s="193" t="s">
        <v>9</v>
      </c>
      <c r="H7" s="193" t="s">
        <v>10</v>
      </c>
      <c r="I7" s="380"/>
      <c r="J7" s="193" t="s">
        <v>6</v>
      </c>
      <c r="K7" s="193" t="s">
        <v>7</v>
      </c>
      <c r="L7" s="193" t="s">
        <v>8</v>
      </c>
      <c r="M7" s="193" t="s">
        <v>9</v>
      </c>
      <c r="N7" s="193" t="s">
        <v>10</v>
      </c>
      <c r="O7" s="380"/>
      <c r="P7" s="193" t="s">
        <v>6</v>
      </c>
      <c r="Q7" s="193" t="s">
        <v>7</v>
      </c>
      <c r="R7" s="193" t="s">
        <v>8</v>
      </c>
      <c r="S7" s="193" t="s">
        <v>9</v>
      </c>
      <c r="T7" s="193" t="s">
        <v>10</v>
      </c>
      <c r="U7" s="380"/>
      <c r="V7" s="193" t="s">
        <v>6</v>
      </c>
      <c r="W7" s="193" t="s">
        <v>7</v>
      </c>
      <c r="X7" s="193" t="s">
        <v>8</v>
      </c>
      <c r="Y7" s="193" t="s">
        <v>9</v>
      </c>
      <c r="Z7" s="193" t="s">
        <v>10</v>
      </c>
    </row>
    <row r="8" spans="1:26" ht="20.100000000000001" customHeight="1" thickBot="1" x14ac:dyDescent="0.25">
      <c r="A8" s="325">
        <v>1</v>
      </c>
      <c r="B8" s="194" t="s">
        <v>15</v>
      </c>
      <c r="C8" s="326"/>
      <c r="D8" s="326"/>
      <c r="E8" s="326"/>
      <c r="F8" s="326"/>
      <c r="G8" s="326"/>
      <c r="H8" s="326"/>
      <c r="I8" s="325">
        <v>90</v>
      </c>
      <c r="J8" s="324">
        <f>'أخذ التمام الصباحي'!F5</f>
        <v>45</v>
      </c>
      <c r="K8" s="213">
        <f>I8-J8</f>
        <v>45</v>
      </c>
      <c r="L8" s="324">
        <f>'أخذ التمام الصباحي'!G5</f>
        <v>34</v>
      </c>
      <c r="M8" s="324">
        <v>25</v>
      </c>
      <c r="N8" s="195">
        <f>J8/M8</f>
        <v>1.8</v>
      </c>
      <c r="O8" s="325">
        <v>30</v>
      </c>
      <c r="P8" s="324">
        <f>'أخذ التمام الصباحي'!I5</f>
        <v>10</v>
      </c>
      <c r="Q8" s="213">
        <f>O8-P8</f>
        <v>20</v>
      </c>
      <c r="R8" s="324">
        <f>'أخذ التمام الصباحي'!J5</f>
        <v>17</v>
      </c>
      <c r="S8" s="324">
        <v>8</v>
      </c>
      <c r="T8" s="195">
        <f>P8/S8</f>
        <v>1.25</v>
      </c>
      <c r="U8" s="326"/>
      <c r="V8" s="326"/>
      <c r="W8" s="326"/>
      <c r="X8" s="326"/>
      <c r="Y8" s="326"/>
      <c r="Z8" s="326"/>
    </row>
    <row r="9" spans="1:26" ht="20.100000000000001" customHeight="1" thickBot="1" x14ac:dyDescent="0.25">
      <c r="A9" s="325">
        <v>2</v>
      </c>
      <c r="B9" s="194" t="s">
        <v>163</v>
      </c>
      <c r="C9" s="326"/>
      <c r="D9" s="326"/>
      <c r="E9" s="326"/>
      <c r="F9" s="326"/>
      <c r="G9" s="326"/>
      <c r="H9" s="326"/>
      <c r="I9" s="325">
        <v>90</v>
      </c>
      <c r="J9" s="327">
        <f>'أخذ التمام الصباحي'!F6</f>
        <v>61</v>
      </c>
      <c r="K9" s="213">
        <f>I9-J9</f>
        <v>29</v>
      </c>
      <c r="L9" s="344">
        <f>'أخذ التمام الصباحي'!G6</f>
        <v>34</v>
      </c>
      <c r="M9" s="324">
        <v>29</v>
      </c>
      <c r="N9" s="195">
        <f>J9/M9</f>
        <v>2.103448275862069</v>
      </c>
      <c r="O9" s="325">
        <v>30</v>
      </c>
      <c r="P9" s="327">
        <f>'أخذ التمام الصباحي'!I6</f>
        <v>21</v>
      </c>
      <c r="Q9" s="213">
        <f>O9-P9</f>
        <v>9</v>
      </c>
      <c r="R9" s="327">
        <f>'أخذ التمام الصباحي'!J6</f>
        <v>0</v>
      </c>
      <c r="S9" s="324">
        <v>9</v>
      </c>
      <c r="T9" s="195">
        <f>P9/S9</f>
        <v>2.3333333333333335</v>
      </c>
      <c r="U9" s="326"/>
      <c r="V9" s="326"/>
      <c r="W9" s="326"/>
      <c r="X9" s="326"/>
      <c r="Y9" s="326"/>
      <c r="Z9" s="326"/>
    </row>
    <row r="10" spans="1:26" ht="20.100000000000001" customHeight="1" thickBot="1" x14ac:dyDescent="0.25">
      <c r="A10" s="325">
        <v>3</v>
      </c>
      <c r="B10" s="194" t="s">
        <v>158</v>
      </c>
      <c r="C10" s="324">
        <v>90</v>
      </c>
      <c r="D10" s="324">
        <f>'أخذ التمام الصباحي'!C7</f>
        <v>84</v>
      </c>
      <c r="E10" s="213">
        <f t="shared" ref="E10:E23" si="0">C10-D10</f>
        <v>6</v>
      </c>
      <c r="F10" s="324">
        <f>'أخذ التمام الصباحي'!D7</f>
        <v>34</v>
      </c>
      <c r="G10" s="324">
        <v>36</v>
      </c>
      <c r="H10" s="196">
        <f t="shared" ref="H10:H23" si="1">D10/G10</f>
        <v>2.3333333333333335</v>
      </c>
      <c r="I10" s="325">
        <v>45</v>
      </c>
      <c r="J10" s="327">
        <f>'أخذ التمام الصباحي'!F7</f>
        <v>43</v>
      </c>
      <c r="K10" s="213">
        <f t="shared" ref="K10:K34" si="2">I10-J10</f>
        <v>2</v>
      </c>
      <c r="L10" s="344">
        <f>'أخذ التمام الصباحي'!G7</f>
        <v>17</v>
      </c>
      <c r="M10" s="324">
        <v>24</v>
      </c>
      <c r="N10" s="195">
        <f t="shared" ref="N10:N34" si="3">J10/M10</f>
        <v>1.7916666666666667</v>
      </c>
      <c r="O10" s="325">
        <v>45</v>
      </c>
      <c r="P10" s="327">
        <f>'أخذ التمام الصباحي'!I7</f>
        <v>27</v>
      </c>
      <c r="Q10" s="213">
        <f t="shared" ref="Q10:Q34" si="4">O10-P10</f>
        <v>18</v>
      </c>
      <c r="R10" s="327">
        <f>'أخذ التمام الصباحي'!J7</f>
        <v>0</v>
      </c>
      <c r="S10" s="324">
        <v>4</v>
      </c>
      <c r="T10" s="195">
        <f t="shared" ref="T10:T34" si="5">P10/S10</f>
        <v>6.75</v>
      </c>
      <c r="U10" s="326"/>
      <c r="V10" s="326"/>
      <c r="W10" s="326"/>
      <c r="X10" s="326"/>
      <c r="Y10" s="326"/>
      <c r="Z10" s="326"/>
    </row>
    <row r="11" spans="1:26" ht="20.100000000000001" customHeight="1" thickBot="1" x14ac:dyDescent="0.25">
      <c r="A11" s="325">
        <v>4</v>
      </c>
      <c r="B11" s="194" t="s">
        <v>16</v>
      </c>
      <c r="C11" s="324">
        <v>30</v>
      </c>
      <c r="D11" s="327">
        <f>'أخذ التمام الصباحي'!C8</f>
        <v>18</v>
      </c>
      <c r="E11" s="213">
        <f t="shared" si="0"/>
        <v>12</v>
      </c>
      <c r="F11" s="327">
        <f>'أخذ التمام الصباحي'!D8</f>
        <v>0</v>
      </c>
      <c r="G11" s="324">
        <v>5</v>
      </c>
      <c r="H11" s="196">
        <f t="shared" si="1"/>
        <v>3.6</v>
      </c>
      <c r="I11" s="325">
        <v>60</v>
      </c>
      <c r="J11" s="327">
        <f>'أخذ التمام الصباحي'!F8</f>
        <v>42</v>
      </c>
      <c r="K11" s="213">
        <f t="shared" si="2"/>
        <v>18</v>
      </c>
      <c r="L11" s="344">
        <f>'أخذ التمام الصباحي'!G8</f>
        <v>17</v>
      </c>
      <c r="M11" s="324">
        <v>25</v>
      </c>
      <c r="N11" s="195">
        <f t="shared" si="3"/>
        <v>1.68</v>
      </c>
      <c r="O11" s="325">
        <v>30</v>
      </c>
      <c r="P11" s="327">
        <f>'أخذ التمام الصباحي'!I8</f>
        <v>25</v>
      </c>
      <c r="Q11" s="213">
        <f t="shared" si="4"/>
        <v>5</v>
      </c>
      <c r="R11" s="327">
        <f>'أخذ التمام الصباحي'!J8</f>
        <v>0</v>
      </c>
      <c r="S11" s="324">
        <v>8</v>
      </c>
      <c r="T11" s="195">
        <f t="shared" si="5"/>
        <v>3.125</v>
      </c>
      <c r="U11" s="325">
        <v>180</v>
      </c>
      <c r="V11" s="324">
        <f>'أخذ التمام الصباحي'!L8</f>
        <v>165</v>
      </c>
      <c r="W11" s="213">
        <f t="shared" ref="W11:W29" si="6">U11-V11</f>
        <v>15</v>
      </c>
      <c r="X11" s="324">
        <f>'أخذ التمام الصباحي'!M8</f>
        <v>0</v>
      </c>
      <c r="Y11" s="324">
        <v>6</v>
      </c>
      <c r="Z11" s="195">
        <f>V11/Y11</f>
        <v>27.5</v>
      </c>
    </row>
    <row r="12" spans="1:26" ht="20.100000000000001" customHeight="1" thickBot="1" x14ac:dyDescent="0.25">
      <c r="A12" s="325">
        <v>5</v>
      </c>
      <c r="B12" s="194" t="s">
        <v>17</v>
      </c>
      <c r="C12" s="338"/>
      <c r="D12" s="338"/>
      <c r="E12" s="338"/>
      <c r="F12" s="338"/>
      <c r="G12" s="338"/>
      <c r="H12" s="341"/>
      <c r="I12" s="325">
        <v>90</v>
      </c>
      <c r="J12" s="327">
        <f>'أخذ التمام الصباحي'!F9</f>
        <v>64</v>
      </c>
      <c r="K12" s="213">
        <f t="shared" si="2"/>
        <v>26</v>
      </c>
      <c r="L12" s="344">
        <f>'أخذ التمام الصباحي'!G9</f>
        <v>34</v>
      </c>
      <c r="M12" s="324">
        <v>42</v>
      </c>
      <c r="N12" s="195">
        <f t="shared" si="3"/>
        <v>1.5238095238095237</v>
      </c>
      <c r="O12" s="325">
        <v>30</v>
      </c>
      <c r="P12" s="327">
        <f>'أخذ التمام الصباحي'!I9</f>
        <v>19</v>
      </c>
      <c r="Q12" s="213">
        <f t="shared" si="4"/>
        <v>11</v>
      </c>
      <c r="R12" s="327">
        <f>'أخذ التمام الصباحي'!J9</f>
        <v>0</v>
      </c>
      <c r="S12" s="324">
        <v>12</v>
      </c>
      <c r="T12" s="195">
        <f t="shared" si="5"/>
        <v>1.5833333333333333</v>
      </c>
      <c r="U12" s="326"/>
      <c r="V12" s="326"/>
      <c r="W12" s="326"/>
      <c r="X12" s="326"/>
      <c r="Y12" s="326"/>
      <c r="Z12" s="326"/>
    </row>
    <row r="13" spans="1:26" ht="20.100000000000001" customHeight="1" thickBot="1" x14ac:dyDescent="0.25">
      <c r="A13" s="325">
        <v>6</v>
      </c>
      <c r="B13" s="194" t="s">
        <v>18</v>
      </c>
      <c r="C13" s="324">
        <v>30</v>
      </c>
      <c r="D13" s="327">
        <f>'أخذ التمام الصباحي'!C10</f>
        <v>16</v>
      </c>
      <c r="E13" s="213">
        <f t="shared" si="0"/>
        <v>14</v>
      </c>
      <c r="F13" s="327">
        <f>'أخذ التمام الصباحي'!D10</f>
        <v>0</v>
      </c>
      <c r="G13" s="324">
        <v>4</v>
      </c>
      <c r="H13" s="196">
        <f t="shared" si="1"/>
        <v>4</v>
      </c>
      <c r="I13" s="325">
        <v>90</v>
      </c>
      <c r="J13" s="327">
        <f>'أخذ التمام الصباحي'!F10</f>
        <v>50</v>
      </c>
      <c r="K13" s="213">
        <f t="shared" si="2"/>
        <v>40</v>
      </c>
      <c r="L13" s="344">
        <f>'أخذ التمام الصباحي'!G10</f>
        <v>34</v>
      </c>
      <c r="M13" s="324">
        <v>27</v>
      </c>
      <c r="N13" s="195">
        <f t="shared" si="3"/>
        <v>1.8518518518518519</v>
      </c>
      <c r="O13" s="326"/>
      <c r="P13" s="326"/>
      <c r="Q13" s="326"/>
      <c r="R13" s="326"/>
      <c r="S13" s="326"/>
      <c r="T13" s="197"/>
      <c r="U13" s="325">
        <v>180</v>
      </c>
      <c r="V13" s="324">
        <f>'أخذ التمام الصباحي'!L10</f>
        <v>152</v>
      </c>
      <c r="W13" s="213">
        <f t="shared" si="6"/>
        <v>28</v>
      </c>
      <c r="X13" s="324">
        <f>'أخذ التمام الصباحي'!M10</f>
        <v>17</v>
      </c>
      <c r="Y13" s="324">
        <v>8</v>
      </c>
      <c r="Z13" s="195">
        <f t="shared" ref="Z13:Z29" si="7">V13/Y13</f>
        <v>19</v>
      </c>
    </row>
    <row r="14" spans="1:26" ht="20.100000000000001" customHeight="1" thickBot="1" x14ac:dyDescent="0.25">
      <c r="A14" s="325">
        <v>7</v>
      </c>
      <c r="B14" s="194" t="s">
        <v>19</v>
      </c>
      <c r="C14" s="324">
        <v>30</v>
      </c>
      <c r="D14" s="327">
        <f>'أخذ التمام الصباحي'!C11</f>
        <v>8</v>
      </c>
      <c r="E14" s="213">
        <f t="shared" si="0"/>
        <v>22</v>
      </c>
      <c r="F14" s="327">
        <f>'أخذ التمام الصباحي'!D11</f>
        <v>17</v>
      </c>
      <c r="G14" s="324">
        <v>7</v>
      </c>
      <c r="H14" s="196">
        <f t="shared" si="1"/>
        <v>1.1428571428571428</v>
      </c>
      <c r="I14" s="325">
        <v>90</v>
      </c>
      <c r="J14" s="327">
        <f>'أخذ التمام الصباحي'!F11</f>
        <v>74</v>
      </c>
      <c r="K14" s="213">
        <f t="shared" si="2"/>
        <v>16</v>
      </c>
      <c r="L14" s="344">
        <f>'أخذ التمام الصباحي'!G11</f>
        <v>17</v>
      </c>
      <c r="M14" s="324">
        <v>22</v>
      </c>
      <c r="N14" s="195">
        <f t="shared" si="3"/>
        <v>3.3636363636363638</v>
      </c>
      <c r="O14" s="326"/>
      <c r="P14" s="326"/>
      <c r="Q14" s="326"/>
      <c r="R14" s="326"/>
      <c r="S14" s="326"/>
      <c r="T14" s="197"/>
      <c r="U14" s="325">
        <v>180</v>
      </c>
      <c r="V14" s="327">
        <f>'أخذ التمام الصباحي'!L11</f>
        <v>158</v>
      </c>
      <c r="W14" s="213">
        <f t="shared" si="6"/>
        <v>22</v>
      </c>
      <c r="X14" s="327">
        <f>'أخذ التمام الصباحي'!M11</f>
        <v>17</v>
      </c>
      <c r="Y14" s="324">
        <v>20</v>
      </c>
      <c r="Z14" s="195">
        <f t="shared" si="7"/>
        <v>7.9</v>
      </c>
    </row>
    <row r="15" spans="1:26" ht="20.100000000000001" customHeight="1" thickBot="1" x14ac:dyDescent="0.25">
      <c r="A15" s="325">
        <v>8</v>
      </c>
      <c r="B15" s="194" t="s">
        <v>20</v>
      </c>
      <c r="C15" s="326"/>
      <c r="D15" s="326"/>
      <c r="E15" s="326"/>
      <c r="F15" s="326"/>
      <c r="G15" s="326"/>
      <c r="H15" s="326"/>
      <c r="I15" s="325">
        <v>180</v>
      </c>
      <c r="J15" s="327">
        <f>'أخذ التمام الصباحي'!F12</f>
        <v>168</v>
      </c>
      <c r="K15" s="213">
        <f t="shared" si="2"/>
        <v>12</v>
      </c>
      <c r="L15" s="344">
        <f>'أخذ التمام الصباحي'!G12</f>
        <v>34</v>
      </c>
      <c r="M15" s="324">
        <v>52</v>
      </c>
      <c r="N15" s="195">
        <f t="shared" si="3"/>
        <v>3.2307692307692308</v>
      </c>
      <c r="O15" s="325">
        <v>60</v>
      </c>
      <c r="P15" s="324">
        <f>'أخذ التمام الصباحي'!I12</f>
        <v>56</v>
      </c>
      <c r="Q15" s="213">
        <f t="shared" si="4"/>
        <v>4</v>
      </c>
      <c r="R15" s="324">
        <f>'أخذ التمام الصباحي'!J12</f>
        <v>17</v>
      </c>
      <c r="S15" s="324">
        <v>15</v>
      </c>
      <c r="T15" s="195">
        <f t="shared" si="5"/>
        <v>3.7333333333333334</v>
      </c>
      <c r="U15" s="326"/>
      <c r="V15" s="326"/>
      <c r="W15" s="326"/>
      <c r="X15" s="326"/>
      <c r="Y15" s="326"/>
      <c r="Z15" s="326"/>
    </row>
    <row r="16" spans="1:26" ht="20.100000000000001" customHeight="1" thickBot="1" x14ac:dyDescent="0.25">
      <c r="A16" s="325">
        <v>9</v>
      </c>
      <c r="B16" s="194" t="s">
        <v>21</v>
      </c>
      <c r="C16" s="326"/>
      <c r="D16" s="326"/>
      <c r="E16" s="326"/>
      <c r="F16" s="326"/>
      <c r="G16" s="326"/>
      <c r="H16" s="326"/>
      <c r="I16" s="325">
        <v>180</v>
      </c>
      <c r="J16" s="327">
        <f>'أخذ التمام الصباحي'!F13</f>
        <v>170</v>
      </c>
      <c r="K16" s="213">
        <f t="shared" si="2"/>
        <v>10</v>
      </c>
      <c r="L16" s="344">
        <f>'أخذ التمام الصباحي'!G13</f>
        <v>85</v>
      </c>
      <c r="M16" s="324">
        <v>35</v>
      </c>
      <c r="N16" s="195">
        <f t="shared" si="3"/>
        <v>4.8571428571428568</v>
      </c>
      <c r="O16" s="325">
        <v>45</v>
      </c>
      <c r="P16" s="327">
        <f>'أخذ التمام الصباحي'!I13</f>
        <v>32</v>
      </c>
      <c r="Q16" s="213">
        <f t="shared" si="4"/>
        <v>13</v>
      </c>
      <c r="R16" s="327">
        <f>'أخذ التمام الصباحي'!J13</f>
        <v>17</v>
      </c>
      <c r="S16" s="324">
        <v>11</v>
      </c>
      <c r="T16" s="195">
        <f t="shared" si="5"/>
        <v>2.9090909090909092</v>
      </c>
      <c r="U16" s="325">
        <v>120</v>
      </c>
      <c r="V16" s="324">
        <f>'أخذ التمام الصباحي'!L13</f>
        <v>75</v>
      </c>
      <c r="W16" s="213">
        <f t="shared" si="6"/>
        <v>45</v>
      </c>
      <c r="X16" s="324">
        <f>'أخذ التمام الصباحي'!M13</f>
        <v>51</v>
      </c>
      <c r="Y16" s="324">
        <v>25</v>
      </c>
      <c r="Z16" s="195">
        <f t="shared" si="7"/>
        <v>3</v>
      </c>
    </row>
    <row r="17" spans="1:26" ht="20.100000000000001" customHeight="1" thickBot="1" x14ac:dyDescent="0.25">
      <c r="A17" s="325">
        <v>10</v>
      </c>
      <c r="B17" s="194" t="s">
        <v>22</v>
      </c>
      <c r="C17" s="326"/>
      <c r="D17" s="326"/>
      <c r="E17" s="326"/>
      <c r="F17" s="326"/>
      <c r="G17" s="326"/>
      <c r="H17" s="326"/>
      <c r="I17" s="325">
        <v>90</v>
      </c>
      <c r="J17" s="327">
        <f>'أخذ التمام الصباحي'!F14</f>
        <v>77</v>
      </c>
      <c r="K17" s="213">
        <f t="shared" si="2"/>
        <v>13</v>
      </c>
      <c r="L17" s="344">
        <f>'أخذ التمام الصباحي'!G14</f>
        <v>0</v>
      </c>
      <c r="M17" s="324">
        <v>12</v>
      </c>
      <c r="N17" s="195">
        <f t="shared" si="3"/>
        <v>6.416666666666667</v>
      </c>
      <c r="O17" s="325">
        <v>30</v>
      </c>
      <c r="P17" s="327">
        <f>'أخذ التمام الصباحي'!I14</f>
        <v>17.5</v>
      </c>
      <c r="Q17" s="213">
        <f t="shared" si="4"/>
        <v>12.5</v>
      </c>
      <c r="R17" s="327">
        <f>'أخذ التمام الصباحي'!J14</f>
        <v>0</v>
      </c>
      <c r="S17" s="324">
        <v>6</v>
      </c>
      <c r="T17" s="195">
        <f>P17/S17</f>
        <v>2.9166666666666665</v>
      </c>
      <c r="U17" s="325">
        <v>180</v>
      </c>
      <c r="V17" s="327">
        <f>'أخذ التمام الصباحي'!L14</f>
        <v>138</v>
      </c>
      <c r="W17" s="213">
        <f t="shared" si="6"/>
        <v>42</v>
      </c>
      <c r="X17" s="327">
        <f>'أخذ التمام الصباحي'!M14</f>
        <v>51</v>
      </c>
      <c r="Y17" s="324">
        <v>31</v>
      </c>
      <c r="Z17" s="195">
        <f t="shared" si="7"/>
        <v>4.4516129032258061</v>
      </c>
    </row>
    <row r="18" spans="1:26" ht="20.100000000000001" customHeight="1" thickBot="1" x14ac:dyDescent="0.25">
      <c r="A18" s="325">
        <v>11</v>
      </c>
      <c r="B18" s="194" t="s">
        <v>23</v>
      </c>
      <c r="C18" s="326"/>
      <c r="D18" s="326"/>
      <c r="E18" s="326"/>
      <c r="F18" s="326"/>
      <c r="G18" s="326"/>
      <c r="H18" s="326"/>
      <c r="I18" s="325">
        <v>90</v>
      </c>
      <c r="J18" s="327">
        <f>'أخذ التمام الصباحي'!F15</f>
        <v>83</v>
      </c>
      <c r="K18" s="213">
        <f t="shared" si="2"/>
        <v>7</v>
      </c>
      <c r="L18" s="344">
        <f>'أخذ التمام الصباحي'!G15</f>
        <v>0</v>
      </c>
      <c r="M18" s="324">
        <v>12</v>
      </c>
      <c r="N18" s="195">
        <f t="shared" si="3"/>
        <v>6.916666666666667</v>
      </c>
      <c r="O18" s="325">
        <v>30</v>
      </c>
      <c r="P18" s="327">
        <f>'أخذ التمام الصباحي'!I15</f>
        <v>14</v>
      </c>
      <c r="Q18" s="213">
        <f t="shared" si="4"/>
        <v>16</v>
      </c>
      <c r="R18" s="327">
        <f>'أخذ التمام الصباحي'!J15</f>
        <v>0</v>
      </c>
      <c r="S18" s="324">
        <v>4</v>
      </c>
      <c r="T18" s="195">
        <f t="shared" si="5"/>
        <v>3.5</v>
      </c>
      <c r="U18" s="325">
        <v>60</v>
      </c>
      <c r="V18" s="327">
        <f>'أخذ التمام الصباحي'!L15</f>
        <v>53</v>
      </c>
      <c r="W18" s="186">
        <f t="shared" si="6"/>
        <v>7</v>
      </c>
      <c r="X18" s="327">
        <f>'أخذ التمام الصباحي'!M15</f>
        <v>0</v>
      </c>
      <c r="Y18" s="324">
        <v>5</v>
      </c>
      <c r="Z18" s="324">
        <f t="shared" si="7"/>
        <v>10.6</v>
      </c>
    </row>
    <row r="19" spans="1:26" ht="20.100000000000001" customHeight="1" thickBot="1" x14ac:dyDescent="0.25">
      <c r="A19" s="325">
        <v>12</v>
      </c>
      <c r="B19" s="194" t="s">
        <v>24</v>
      </c>
      <c r="C19" s="326"/>
      <c r="D19" s="326"/>
      <c r="E19" s="326"/>
      <c r="F19" s="326"/>
      <c r="G19" s="326"/>
      <c r="H19" s="326"/>
      <c r="I19" s="325">
        <v>60</v>
      </c>
      <c r="J19" s="327">
        <f>'أخذ التمام الصباحي'!F16</f>
        <v>36</v>
      </c>
      <c r="K19" s="213">
        <f t="shared" si="2"/>
        <v>24</v>
      </c>
      <c r="L19" s="344">
        <f>'أخذ التمام الصباحي'!G16</f>
        <v>0</v>
      </c>
      <c r="M19" s="324">
        <v>5</v>
      </c>
      <c r="N19" s="195">
        <f t="shared" si="3"/>
        <v>7.2</v>
      </c>
      <c r="O19" s="325">
        <v>30</v>
      </c>
      <c r="P19" s="327">
        <f>'أخذ التمام الصباحي'!I16</f>
        <v>19</v>
      </c>
      <c r="Q19" s="213">
        <f t="shared" si="4"/>
        <v>11</v>
      </c>
      <c r="R19" s="327">
        <f>'أخذ التمام الصباحي'!J16</f>
        <v>0</v>
      </c>
      <c r="S19" s="324">
        <v>2</v>
      </c>
      <c r="T19" s="195">
        <f t="shared" si="5"/>
        <v>9.5</v>
      </c>
      <c r="U19" s="326"/>
      <c r="V19" s="326"/>
      <c r="W19" s="326"/>
      <c r="X19" s="326"/>
      <c r="Y19" s="326"/>
      <c r="Z19" s="326"/>
    </row>
    <row r="20" spans="1:26" ht="20.100000000000001" customHeight="1" thickBot="1" x14ac:dyDescent="0.25">
      <c r="A20" s="325">
        <v>13</v>
      </c>
      <c r="B20" s="194" t="s">
        <v>26</v>
      </c>
      <c r="C20" s="326"/>
      <c r="D20" s="326"/>
      <c r="E20" s="326"/>
      <c r="F20" s="326"/>
      <c r="G20" s="326"/>
      <c r="H20" s="326"/>
      <c r="I20" s="325">
        <v>90</v>
      </c>
      <c r="J20" s="327">
        <f>'أخذ التمام الصباحي'!F17</f>
        <v>68</v>
      </c>
      <c r="K20" s="213">
        <f t="shared" si="2"/>
        <v>22</v>
      </c>
      <c r="L20" s="344">
        <f>'أخذ التمام الصباحي'!G17</f>
        <v>0</v>
      </c>
      <c r="M20" s="324">
        <v>4</v>
      </c>
      <c r="N20" s="195">
        <f t="shared" si="3"/>
        <v>17</v>
      </c>
      <c r="O20" s="325">
        <v>30</v>
      </c>
      <c r="P20" s="327">
        <f>'أخذ التمام الصباحي'!I17</f>
        <v>17</v>
      </c>
      <c r="Q20" s="213">
        <f t="shared" si="4"/>
        <v>13</v>
      </c>
      <c r="R20" s="327">
        <f>'أخذ التمام الصباحي'!J17</f>
        <v>0</v>
      </c>
      <c r="S20" s="324">
        <v>2</v>
      </c>
      <c r="T20" s="195">
        <f t="shared" si="5"/>
        <v>8.5</v>
      </c>
      <c r="U20" s="325">
        <v>180</v>
      </c>
      <c r="V20" s="324">
        <f>'أخذ التمام الصباحي'!L17</f>
        <v>155</v>
      </c>
      <c r="W20" s="213">
        <f t="shared" si="6"/>
        <v>25</v>
      </c>
      <c r="X20" s="324">
        <f>'أخذ التمام الصباحي'!M17</f>
        <v>0</v>
      </c>
      <c r="Y20" s="324">
        <v>7</v>
      </c>
      <c r="Z20" s="195">
        <f t="shared" si="7"/>
        <v>22.142857142857142</v>
      </c>
    </row>
    <row r="21" spans="1:26" ht="20.100000000000001" customHeight="1" thickBot="1" x14ac:dyDescent="0.25">
      <c r="A21" s="325">
        <v>14</v>
      </c>
      <c r="B21" s="194" t="s">
        <v>25</v>
      </c>
      <c r="C21" s="326"/>
      <c r="D21" s="326"/>
      <c r="E21" s="326"/>
      <c r="F21" s="326"/>
      <c r="G21" s="326"/>
      <c r="H21" s="326"/>
      <c r="I21" s="325">
        <v>90</v>
      </c>
      <c r="J21" s="327">
        <f>'أخذ التمام الصباحي'!F18</f>
        <v>75</v>
      </c>
      <c r="K21" s="213">
        <f t="shared" si="2"/>
        <v>15</v>
      </c>
      <c r="L21" s="344">
        <f>'أخذ التمام الصباحي'!G18</f>
        <v>17</v>
      </c>
      <c r="M21" s="324">
        <v>34</v>
      </c>
      <c r="N21" s="195">
        <f t="shared" si="3"/>
        <v>2.2058823529411766</v>
      </c>
      <c r="O21" s="325">
        <v>30</v>
      </c>
      <c r="P21" s="327">
        <f>'أخذ التمام الصباحي'!I18</f>
        <v>24</v>
      </c>
      <c r="Q21" s="213">
        <f t="shared" si="4"/>
        <v>6</v>
      </c>
      <c r="R21" s="327">
        <f>'أخذ التمام الصباحي'!J18</f>
        <v>0</v>
      </c>
      <c r="S21" s="324">
        <v>13</v>
      </c>
      <c r="T21" s="195">
        <f t="shared" si="5"/>
        <v>1.8461538461538463</v>
      </c>
      <c r="U21" s="325">
        <v>180</v>
      </c>
      <c r="V21" s="327">
        <f>'أخذ التمام الصباحي'!L18</f>
        <v>160</v>
      </c>
      <c r="W21" s="213">
        <f t="shared" si="6"/>
        <v>20</v>
      </c>
      <c r="X21" s="327">
        <f>'أخذ التمام الصباحي'!M18</f>
        <v>34</v>
      </c>
      <c r="Y21" s="324">
        <v>22</v>
      </c>
      <c r="Z21" s="195">
        <f t="shared" si="7"/>
        <v>7.2727272727272725</v>
      </c>
    </row>
    <row r="22" spans="1:26" ht="20.100000000000001" customHeight="1" thickBot="1" x14ac:dyDescent="0.25">
      <c r="A22" s="325">
        <v>15</v>
      </c>
      <c r="B22" s="194" t="s">
        <v>27</v>
      </c>
      <c r="C22" s="326"/>
      <c r="D22" s="326"/>
      <c r="E22" s="326"/>
      <c r="F22" s="326"/>
      <c r="G22" s="326"/>
      <c r="H22" s="326"/>
      <c r="I22" s="325">
        <v>90</v>
      </c>
      <c r="J22" s="327">
        <f>'أخذ التمام الصباحي'!F19</f>
        <v>56</v>
      </c>
      <c r="K22" s="213">
        <f t="shared" si="2"/>
        <v>34</v>
      </c>
      <c r="L22" s="344">
        <f>'أخذ التمام الصباحي'!G19</f>
        <v>0</v>
      </c>
      <c r="M22" s="324">
        <v>8</v>
      </c>
      <c r="N22" s="195">
        <f t="shared" si="3"/>
        <v>7</v>
      </c>
      <c r="O22" s="325">
        <v>30</v>
      </c>
      <c r="P22" s="327">
        <f>'أخذ التمام الصباحي'!I19</f>
        <v>17</v>
      </c>
      <c r="Q22" s="213">
        <f t="shared" si="4"/>
        <v>13</v>
      </c>
      <c r="R22" s="327">
        <f>'أخذ التمام الصباحي'!J19</f>
        <v>0</v>
      </c>
      <c r="S22" s="324">
        <v>2</v>
      </c>
      <c r="T22" s="195">
        <f t="shared" si="5"/>
        <v>8.5</v>
      </c>
      <c r="U22" s="326"/>
      <c r="V22" s="326"/>
      <c r="W22" s="326"/>
      <c r="X22" s="326"/>
      <c r="Y22" s="326"/>
      <c r="Z22" s="326"/>
    </row>
    <row r="23" spans="1:26" ht="20.100000000000001" customHeight="1" thickBot="1" x14ac:dyDescent="0.25">
      <c r="A23" s="325">
        <v>16</v>
      </c>
      <c r="B23" s="194" t="s">
        <v>28</v>
      </c>
      <c r="C23" s="324">
        <v>30</v>
      </c>
      <c r="D23" s="186">
        <f>'أخذ التمام الصباحي'!C20</f>
        <v>20</v>
      </c>
      <c r="E23" s="186">
        <f t="shared" si="0"/>
        <v>10</v>
      </c>
      <c r="F23" s="186">
        <f>'أخذ التمام الصباحي'!D20</f>
        <v>0</v>
      </c>
      <c r="G23" s="186">
        <v>0.6</v>
      </c>
      <c r="H23" s="186">
        <f t="shared" si="1"/>
        <v>33.333333333333336</v>
      </c>
      <c r="I23" s="325">
        <v>60</v>
      </c>
      <c r="J23" s="327">
        <f>'أخذ التمام الصباحي'!F20</f>
        <v>44</v>
      </c>
      <c r="K23" s="213">
        <f t="shared" si="2"/>
        <v>16</v>
      </c>
      <c r="L23" s="344">
        <f>'أخذ التمام الصباحي'!G20</f>
        <v>0</v>
      </c>
      <c r="M23" s="324">
        <v>3</v>
      </c>
      <c r="N23" s="195">
        <f t="shared" si="3"/>
        <v>14.666666666666666</v>
      </c>
      <c r="O23" s="326"/>
      <c r="P23" s="326"/>
      <c r="Q23" s="326"/>
      <c r="R23" s="326"/>
      <c r="S23" s="326"/>
      <c r="T23" s="197"/>
      <c r="U23" s="325">
        <v>120</v>
      </c>
      <c r="V23" s="324">
        <f>'أخذ التمام الصباحي'!L20</f>
        <v>91</v>
      </c>
      <c r="W23" s="213">
        <f t="shared" si="6"/>
        <v>29</v>
      </c>
      <c r="X23" s="324">
        <f>'أخذ التمام الصباحي'!M20</f>
        <v>0</v>
      </c>
      <c r="Y23" s="324">
        <v>7</v>
      </c>
      <c r="Z23" s="195">
        <f t="shared" si="7"/>
        <v>13</v>
      </c>
    </row>
    <row r="24" spans="1:26" ht="20.100000000000001" customHeight="1" thickBot="1" x14ac:dyDescent="0.25">
      <c r="A24" s="325">
        <v>17</v>
      </c>
      <c r="B24" s="194" t="s">
        <v>29</v>
      </c>
      <c r="C24" s="326"/>
      <c r="D24" s="326"/>
      <c r="E24" s="326"/>
      <c r="F24" s="326"/>
      <c r="G24" s="326"/>
      <c r="H24" s="326"/>
      <c r="I24" s="325">
        <v>60</v>
      </c>
      <c r="J24" s="327">
        <f>'أخذ التمام الصباحي'!F21</f>
        <v>34</v>
      </c>
      <c r="K24" s="213">
        <f t="shared" si="2"/>
        <v>26</v>
      </c>
      <c r="L24" s="344">
        <f>'أخذ التمام الصباحي'!G21</f>
        <v>0</v>
      </c>
      <c r="M24" s="324">
        <v>6</v>
      </c>
      <c r="N24" s="195">
        <f t="shared" si="3"/>
        <v>5.666666666666667</v>
      </c>
      <c r="O24" s="326"/>
      <c r="P24" s="326"/>
      <c r="Q24" s="326"/>
      <c r="R24" s="326"/>
      <c r="S24" s="326"/>
      <c r="T24" s="197"/>
      <c r="U24" s="325">
        <v>120</v>
      </c>
      <c r="V24" s="327">
        <f>'أخذ التمام الصباحي'!L21</f>
        <v>104</v>
      </c>
      <c r="W24" s="213">
        <f t="shared" si="6"/>
        <v>16</v>
      </c>
      <c r="X24" s="327">
        <f>'أخذ التمام الصباحي'!M21</f>
        <v>0</v>
      </c>
      <c r="Y24" s="324">
        <v>5</v>
      </c>
      <c r="Z24" s="195">
        <f t="shared" si="7"/>
        <v>20.8</v>
      </c>
    </row>
    <row r="25" spans="1:26" ht="20.100000000000001" customHeight="1" thickBot="1" x14ac:dyDescent="0.25">
      <c r="A25" s="325">
        <v>18</v>
      </c>
      <c r="B25" s="194" t="s">
        <v>30</v>
      </c>
      <c r="C25" s="326"/>
      <c r="D25" s="326"/>
      <c r="E25" s="326"/>
      <c r="F25" s="326"/>
      <c r="G25" s="326"/>
      <c r="H25" s="326"/>
      <c r="I25" s="325">
        <v>90</v>
      </c>
      <c r="J25" s="327">
        <f>'أخذ التمام الصباحي'!F22</f>
        <v>79</v>
      </c>
      <c r="K25" s="213">
        <f t="shared" si="2"/>
        <v>11</v>
      </c>
      <c r="L25" s="344">
        <f>'أخذ التمام الصباحي'!G22</f>
        <v>0</v>
      </c>
      <c r="M25" s="324">
        <v>15</v>
      </c>
      <c r="N25" s="195">
        <f t="shared" si="3"/>
        <v>5.2666666666666666</v>
      </c>
      <c r="O25" s="325">
        <v>30</v>
      </c>
      <c r="P25" s="324">
        <f>'أخذ التمام الصباحي'!I22</f>
        <v>23</v>
      </c>
      <c r="Q25" s="213">
        <f t="shared" si="4"/>
        <v>7</v>
      </c>
      <c r="R25" s="324">
        <f>'أخذ التمام الصباحي'!J22</f>
        <v>0</v>
      </c>
      <c r="S25" s="324">
        <v>3</v>
      </c>
      <c r="T25" s="195">
        <f t="shared" si="5"/>
        <v>7.666666666666667</v>
      </c>
      <c r="U25" s="325">
        <v>180</v>
      </c>
      <c r="V25" s="327">
        <f>'أخذ التمام الصباحي'!L22</f>
        <v>144</v>
      </c>
      <c r="W25" s="213">
        <f t="shared" si="6"/>
        <v>36</v>
      </c>
      <c r="X25" s="327">
        <f>'أخذ التمام الصباحي'!M22</f>
        <v>17</v>
      </c>
      <c r="Y25" s="324">
        <v>43</v>
      </c>
      <c r="Z25" s="195">
        <f t="shared" si="7"/>
        <v>3.3488372093023258</v>
      </c>
    </row>
    <row r="26" spans="1:26" ht="20.100000000000001" customHeight="1" thickBot="1" x14ac:dyDescent="0.25">
      <c r="A26" s="325">
        <v>19</v>
      </c>
      <c r="B26" s="194" t="s">
        <v>31</v>
      </c>
      <c r="C26" s="326"/>
      <c r="D26" s="326"/>
      <c r="E26" s="326"/>
      <c r="F26" s="326"/>
      <c r="G26" s="326"/>
      <c r="H26" s="326"/>
      <c r="I26" s="325">
        <v>90</v>
      </c>
      <c r="J26" s="327">
        <f>'أخذ التمام الصباحي'!F23</f>
        <v>50</v>
      </c>
      <c r="K26" s="213">
        <f t="shared" si="2"/>
        <v>40</v>
      </c>
      <c r="L26" s="344">
        <f>'أخذ التمام الصباحي'!G23</f>
        <v>34</v>
      </c>
      <c r="M26" s="324">
        <v>17</v>
      </c>
      <c r="N26" s="195">
        <f t="shared" si="3"/>
        <v>2.9411764705882355</v>
      </c>
      <c r="O26" s="325">
        <v>30</v>
      </c>
      <c r="P26" s="327">
        <f>'أخذ التمام الصباحي'!I23</f>
        <v>18</v>
      </c>
      <c r="Q26" s="213">
        <f t="shared" si="4"/>
        <v>12</v>
      </c>
      <c r="R26" s="327">
        <f>'أخذ التمام الصباحي'!J23</f>
        <v>0</v>
      </c>
      <c r="S26" s="324">
        <v>4</v>
      </c>
      <c r="T26" s="195">
        <f t="shared" si="5"/>
        <v>4.5</v>
      </c>
      <c r="U26" s="325">
        <v>180</v>
      </c>
      <c r="V26" s="327">
        <f>'أخذ التمام الصباحي'!L23</f>
        <v>120</v>
      </c>
      <c r="W26" s="213">
        <f t="shared" si="6"/>
        <v>60</v>
      </c>
      <c r="X26" s="327">
        <f>'أخذ التمام الصباحي'!M23</f>
        <v>51</v>
      </c>
      <c r="Y26" s="324">
        <v>40</v>
      </c>
      <c r="Z26" s="195">
        <f t="shared" si="7"/>
        <v>3</v>
      </c>
    </row>
    <row r="27" spans="1:26" ht="20.100000000000001" customHeight="1" thickBot="1" x14ac:dyDescent="0.25">
      <c r="A27" s="325">
        <v>20</v>
      </c>
      <c r="B27" s="194" t="s">
        <v>32</v>
      </c>
      <c r="C27" s="326"/>
      <c r="D27" s="326"/>
      <c r="E27" s="326"/>
      <c r="F27" s="326"/>
      <c r="G27" s="326"/>
      <c r="H27" s="326"/>
      <c r="I27" s="325">
        <v>90</v>
      </c>
      <c r="J27" s="327">
        <f>'أخذ التمام الصباحي'!F24</f>
        <v>52</v>
      </c>
      <c r="K27" s="213">
        <f t="shared" si="2"/>
        <v>38</v>
      </c>
      <c r="L27" s="344">
        <f>'أخذ التمام الصباحي'!G24</f>
        <v>34</v>
      </c>
      <c r="M27" s="324">
        <v>12</v>
      </c>
      <c r="N27" s="195">
        <f t="shared" si="3"/>
        <v>4.333333333333333</v>
      </c>
      <c r="O27" s="325">
        <v>30</v>
      </c>
      <c r="P27" s="327">
        <f>'أخذ التمام الصباحي'!I24</f>
        <v>24</v>
      </c>
      <c r="Q27" s="213">
        <f t="shared" si="4"/>
        <v>6</v>
      </c>
      <c r="R27" s="327">
        <f>'أخذ التمام الصباحي'!J24</f>
        <v>0</v>
      </c>
      <c r="S27" s="324">
        <v>2</v>
      </c>
      <c r="T27" s="195">
        <f t="shared" si="5"/>
        <v>12</v>
      </c>
      <c r="U27" s="325">
        <v>180</v>
      </c>
      <c r="V27" s="327">
        <f>'أخذ التمام الصباحي'!L24</f>
        <v>162</v>
      </c>
      <c r="W27" s="213">
        <f t="shared" si="6"/>
        <v>18</v>
      </c>
      <c r="X27" s="327">
        <f>'أخذ التمام الصباحي'!M24</f>
        <v>17</v>
      </c>
      <c r="Y27" s="324">
        <v>22</v>
      </c>
      <c r="Z27" s="195">
        <f t="shared" si="7"/>
        <v>7.3636363636363633</v>
      </c>
    </row>
    <row r="28" spans="1:26" ht="18.75" customHeight="1" thickBot="1" x14ac:dyDescent="0.25">
      <c r="A28" s="325">
        <v>21</v>
      </c>
      <c r="B28" s="194" t="s">
        <v>33</v>
      </c>
      <c r="C28" s="326"/>
      <c r="D28" s="326"/>
      <c r="E28" s="326"/>
      <c r="F28" s="326"/>
      <c r="G28" s="326"/>
      <c r="H28" s="326"/>
      <c r="I28" s="325">
        <v>90</v>
      </c>
      <c r="J28" s="327">
        <f>'أخذ التمام الصباحي'!F25</f>
        <v>58</v>
      </c>
      <c r="K28" s="213">
        <f t="shared" si="2"/>
        <v>32</v>
      </c>
      <c r="L28" s="344">
        <f>'أخذ التمام الصباحي'!G25</f>
        <v>34</v>
      </c>
      <c r="M28" s="324">
        <v>9</v>
      </c>
      <c r="N28" s="195">
        <f t="shared" si="3"/>
        <v>6.4444444444444446</v>
      </c>
      <c r="O28" s="325">
        <v>30</v>
      </c>
      <c r="P28" s="327">
        <f>'أخذ التمام الصباحي'!I25</f>
        <v>25</v>
      </c>
      <c r="Q28" s="213">
        <f t="shared" si="4"/>
        <v>5</v>
      </c>
      <c r="R28" s="327">
        <f>'أخذ التمام الصباحي'!J25</f>
        <v>0</v>
      </c>
      <c r="S28" s="324">
        <v>2</v>
      </c>
      <c r="T28" s="195">
        <f t="shared" si="5"/>
        <v>12.5</v>
      </c>
      <c r="U28" s="325">
        <v>180</v>
      </c>
      <c r="V28" s="327">
        <f>'أخذ التمام الصباحي'!L25</f>
        <v>160</v>
      </c>
      <c r="W28" s="213">
        <f t="shared" si="6"/>
        <v>20</v>
      </c>
      <c r="X28" s="327">
        <f>'أخذ التمام الصباحي'!M25</f>
        <v>17</v>
      </c>
      <c r="Y28" s="324">
        <v>19</v>
      </c>
      <c r="Z28" s="195">
        <f t="shared" si="7"/>
        <v>8.4210526315789469</v>
      </c>
    </row>
    <row r="29" spans="1:26" ht="18.75" customHeight="1" thickBot="1" x14ac:dyDescent="0.25">
      <c r="A29" s="325">
        <v>22</v>
      </c>
      <c r="B29" s="194" t="s">
        <v>112</v>
      </c>
      <c r="C29" s="325">
        <v>90</v>
      </c>
      <c r="D29" s="186">
        <f>'أخذ التمام الصباحي'!C26</f>
        <v>79</v>
      </c>
      <c r="E29" s="186">
        <f t="shared" ref="E29" si="8">C29-D29</f>
        <v>11</v>
      </c>
      <c r="F29" s="186">
        <f>'أخذ التمام الصباحي'!D26</f>
        <v>0</v>
      </c>
      <c r="G29" s="186">
        <v>5</v>
      </c>
      <c r="H29" s="186">
        <f t="shared" ref="H29" si="9">D29/G29</f>
        <v>15.8</v>
      </c>
      <c r="I29" s="325">
        <v>45</v>
      </c>
      <c r="J29" s="327">
        <f>'أخذ التمام الصباحي'!F26</f>
        <v>33</v>
      </c>
      <c r="K29" s="213">
        <f t="shared" si="2"/>
        <v>12</v>
      </c>
      <c r="L29" s="344">
        <f>'أخذ التمام الصباحي'!G26</f>
        <v>0</v>
      </c>
      <c r="M29" s="324">
        <v>9</v>
      </c>
      <c r="N29" s="195">
        <f t="shared" si="3"/>
        <v>3.6666666666666665</v>
      </c>
      <c r="O29" s="325">
        <v>45</v>
      </c>
      <c r="P29" s="327">
        <f>'أخذ التمام الصباحي'!I26</f>
        <v>37</v>
      </c>
      <c r="Q29" s="213">
        <f t="shared" si="4"/>
        <v>8</v>
      </c>
      <c r="R29" s="327">
        <f>'أخذ التمام الصباحي'!J26</f>
        <v>0</v>
      </c>
      <c r="S29" s="324">
        <v>2</v>
      </c>
      <c r="T29" s="195">
        <f t="shared" si="5"/>
        <v>18.5</v>
      </c>
      <c r="U29" s="325">
        <v>180</v>
      </c>
      <c r="V29" s="327">
        <f>'أخذ التمام الصباحي'!L26</f>
        <v>160</v>
      </c>
      <c r="W29" s="213">
        <f t="shared" si="6"/>
        <v>20</v>
      </c>
      <c r="X29" s="327">
        <f>'أخذ التمام الصباحي'!M26</f>
        <v>0</v>
      </c>
      <c r="Y29" s="324">
        <v>16</v>
      </c>
      <c r="Z29" s="195">
        <f t="shared" si="7"/>
        <v>10</v>
      </c>
    </row>
    <row r="30" spans="1:26" ht="18.75" customHeight="1" thickBot="1" x14ac:dyDescent="0.25">
      <c r="A30" s="325">
        <v>23</v>
      </c>
      <c r="B30" s="194" t="s">
        <v>121</v>
      </c>
      <c r="C30" s="326"/>
      <c r="D30" s="326"/>
      <c r="E30" s="326"/>
      <c r="F30" s="326"/>
      <c r="G30" s="326"/>
      <c r="H30" s="326"/>
      <c r="I30" s="325">
        <v>135</v>
      </c>
      <c r="J30" s="327">
        <f>'أخذ التمام الصباحي'!F27</f>
        <v>108</v>
      </c>
      <c r="K30" s="213">
        <f t="shared" si="2"/>
        <v>27</v>
      </c>
      <c r="L30" s="344">
        <f>'أخذ التمام الصباحي'!G27</f>
        <v>17</v>
      </c>
      <c r="M30" s="324">
        <v>6</v>
      </c>
      <c r="N30" s="195">
        <f t="shared" si="3"/>
        <v>18</v>
      </c>
      <c r="O30" s="325">
        <v>45</v>
      </c>
      <c r="P30" s="327">
        <f>'أخذ التمام الصباحي'!I27</f>
        <v>38</v>
      </c>
      <c r="Q30" s="213">
        <f t="shared" si="4"/>
        <v>7</v>
      </c>
      <c r="R30" s="327">
        <f>'أخذ التمام الصباحي'!J27</f>
        <v>0</v>
      </c>
      <c r="S30" s="324">
        <v>2</v>
      </c>
      <c r="T30" s="195">
        <f t="shared" si="5"/>
        <v>19</v>
      </c>
      <c r="U30" s="348"/>
      <c r="V30" s="348"/>
      <c r="W30" s="348"/>
      <c r="X30" s="348"/>
      <c r="Y30" s="348"/>
      <c r="Z30" s="197"/>
    </row>
    <row r="31" spans="1:26" ht="18.75" customHeight="1" thickBot="1" x14ac:dyDescent="0.25">
      <c r="A31" s="325">
        <v>24</v>
      </c>
      <c r="B31" s="194" t="s">
        <v>168</v>
      </c>
      <c r="C31" s="326"/>
      <c r="D31" s="326"/>
      <c r="E31" s="326"/>
      <c r="F31" s="326"/>
      <c r="G31" s="326"/>
      <c r="H31" s="326"/>
      <c r="I31" s="325">
        <v>180</v>
      </c>
      <c r="J31" s="327">
        <f>'أخذ التمام الصباحي'!F28</f>
        <v>170</v>
      </c>
      <c r="K31" s="213">
        <f t="shared" si="2"/>
        <v>10</v>
      </c>
      <c r="L31" s="344">
        <f>'أخذ التمام الصباحي'!G28</f>
        <v>34</v>
      </c>
      <c r="M31" s="328">
        <v>27</v>
      </c>
      <c r="N31" s="195">
        <f t="shared" si="3"/>
        <v>6.2962962962962967</v>
      </c>
      <c r="O31" s="325">
        <v>90</v>
      </c>
      <c r="P31" s="327">
        <f>'أخذ التمام الصباحي'!I28</f>
        <v>79</v>
      </c>
      <c r="Q31" s="213">
        <f t="shared" si="4"/>
        <v>11</v>
      </c>
      <c r="R31" s="327">
        <f>'أخذ التمام الصباحي'!J28</f>
        <v>17</v>
      </c>
      <c r="S31" s="328">
        <v>10</v>
      </c>
      <c r="T31" s="195">
        <f t="shared" si="5"/>
        <v>7.9</v>
      </c>
      <c r="U31" s="348"/>
      <c r="V31" s="348"/>
      <c r="W31" s="348"/>
      <c r="X31" s="348"/>
      <c r="Y31" s="348"/>
      <c r="Z31" s="197"/>
    </row>
    <row r="32" spans="1:26" ht="18.75" customHeight="1" thickBot="1" x14ac:dyDescent="0.25">
      <c r="A32" s="325">
        <v>25</v>
      </c>
      <c r="B32" s="194" t="s">
        <v>169</v>
      </c>
      <c r="C32" s="326"/>
      <c r="D32" s="326"/>
      <c r="E32" s="326"/>
      <c r="F32" s="326"/>
      <c r="G32" s="326"/>
      <c r="H32" s="326"/>
      <c r="I32" s="325">
        <v>180</v>
      </c>
      <c r="J32" s="327">
        <f>'أخذ التمام الصباحي'!F29</f>
        <v>119</v>
      </c>
      <c r="K32" s="213">
        <f t="shared" si="2"/>
        <v>61</v>
      </c>
      <c r="L32" s="344">
        <f>'أخذ التمام الصباحي'!G29</f>
        <v>51</v>
      </c>
      <c r="M32" s="328">
        <v>27</v>
      </c>
      <c r="N32" s="195">
        <f t="shared" si="3"/>
        <v>4.4074074074074074</v>
      </c>
      <c r="O32" s="325">
        <v>90</v>
      </c>
      <c r="P32" s="327">
        <f>'أخذ التمام الصباحي'!I29</f>
        <v>73</v>
      </c>
      <c r="Q32" s="213">
        <f t="shared" si="4"/>
        <v>17</v>
      </c>
      <c r="R32" s="327">
        <f>'أخذ التمام الصباحي'!J29</f>
        <v>0</v>
      </c>
      <c r="S32" s="328">
        <v>9</v>
      </c>
      <c r="T32" s="195">
        <f t="shared" si="5"/>
        <v>8.1111111111111107</v>
      </c>
      <c r="U32" s="348"/>
      <c r="V32" s="348"/>
      <c r="W32" s="348"/>
      <c r="X32" s="348"/>
      <c r="Y32" s="348"/>
      <c r="Z32" s="197"/>
    </row>
    <row r="33" spans="1:26" ht="18.75" customHeight="1" thickBot="1" x14ac:dyDescent="0.25">
      <c r="A33" s="325">
        <v>26</v>
      </c>
      <c r="B33" s="310" t="s">
        <v>170</v>
      </c>
      <c r="C33" s="326"/>
      <c r="D33" s="326"/>
      <c r="E33" s="326"/>
      <c r="F33" s="326"/>
      <c r="G33" s="326"/>
      <c r="H33" s="326"/>
      <c r="I33" s="325">
        <v>180</v>
      </c>
      <c r="J33" s="327">
        <f>'أخذ التمام الصباحي'!F30</f>
        <v>150</v>
      </c>
      <c r="K33" s="213">
        <f t="shared" si="2"/>
        <v>30</v>
      </c>
      <c r="L33" s="344">
        <f>'أخذ التمام الصباحي'!G30</f>
        <v>51</v>
      </c>
      <c r="M33" s="328">
        <v>33</v>
      </c>
      <c r="N33" s="195">
        <f t="shared" si="3"/>
        <v>4.5454545454545459</v>
      </c>
      <c r="O33" s="325">
        <v>90</v>
      </c>
      <c r="P33" s="327">
        <f>'أخذ التمام الصباحي'!I30</f>
        <v>79</v>
      </c>
      <c r="Q33" s="213">
        <f t="shared" si="4"/>
        <v>11</v>
      </c>
      <c r="R33" s="327">
        <f>'أخذ التمام الصباحي'!J30</f>
        <v>0</v>
      </c>
      <c r="S33" s="328">
        <v>8</v>
      </c>
      <c r="T33" s="195">
        <f t="shared" si="5"/>
        <v>9.875</v>
      </c>
      <c r="U33" s="348"/>
      <c r="V33" s="348"/>
      <c r="W33" s="348"/>
      <c r="X33" s="348"/>
      <c r="Y33" s="348"/>
      <c r="Z33" s="197"/>
    </row>
    <row r="34" spans="1:26" ht="18.75" customHeight="1" thickBot="1" x14ac:dyDescent="0.25">
      <c r="A34" s="325">
        <v>27</v>
      </c>
      <c r="B34" s="310" t="s">
        <v>171</v>
      </c>
      <c r="C34" s="326"/>
      <c r="D34" s="326"/>
      <c r="E34" s="326"/>
      <c r="F34" s="326"/>
      <c r="G34" s="326"/>
      <c r="H34" s="326"/>
      <c r="I34" s="325">
        <v>180</v>
      </c>
      <c r="J34" s="327">
        <f>'أخذ التمام الصباحي'!F31</f>
        <v>144</v>
      </c>
      <c r="K34" s="213">
        <f t="shared" si="2"/>
        <v>36</v>
      </c>
      <c r="L34" s="344">
        <f>'أخذ التمام الصباحي'!G31</f>
        <v>51</v>
      </c>
      <c r="M34" s="328">
        <v>52</v>
      </c>
      <c r="N34" s="195">
        <f t="shared" si="3"/>
        <v>2.7692307692307692</v>
      </c>
      <c r="O34" s="325">
        <v>90</v>
      </c>
      <c r="P34" s="327">
        <f>'أخذ التمام الصباحي'!I31</f>
        <v>71</v>
      </c>
      <c r="Q34" s="213">
        <f t="shared" si="4"/>
        <v>19</v>
      </c>
      <c r="R34" s="327">
        <f>'أخذ التمام الصباحي'!J31</f>
        <v>0</v>
      </c>
      <c r="S34" s="328">
        <v>11</v>
      </c>
      <c r="T34" s="195">
        <f t="shared" si="5"/>
        <v>6.4545454545454541</v>
      </c>
      <c r="U34" s="348"/>
      <c r="V34" s="348"/>
      <c r="W34" s="348"/>
      <c r="X34" s="348"/>
      <c r="Y34" s="348"/>
      <c r="Z34" s="197"/>
    </row>
    <row r="35" spans="1:26" ht="18.75" customHeight="1" thickBot="1" x14ac:dyDescent="0.25">
      <c r="A35" s="346">
        <v>28</v>
      </c>
      <c r="B35" s="310" t="s">
        <v>196</v>
      </c>
      <c r="C35" s="348"/>
      <c r="D35" s="348"/>
      <c r="E35" s="348"/>
      <c r="F35" s="348"/>
      <c r="G35" s="348"/>
      <c r="H35" s="348"/>
      <c r="I35" s="346">
        <v>180</v>
      </c>
      <c r="J35" s="345">
        <f>'أخذ التمام الصباحي'!F32</f>
        <v>0</v>
      </c>
      <c r="K35" s="213">
        <f t="shared" ref="K35:K38" si="10">I35-J35</f>
        <v>180</v>
      </c>
      <c r="L35" s="345">
        <f>'أخذ التمام الصباحي'!G32</f>
        <v>0</v>
      </c>
      <c r="M35" s="345">
        <v>27</v>
      </c>
      <c r="N35" s="195">
        <f t="shared" ref="N35:N38" si="11">J35/M35</f>
        <v>0</v>
      </c>
      <c r="O35" s="346">
        <v>90</v>
      </c>
      <c r="P35" s="345">
        <f>'أخذ التمام الصباحي'!I32</f>
        <v>0</v>
      </c>
      <c r="Q35" s="213">
        <f t="shared" ref="Q35:Q38" si="12">O35-P35</f>
        <v>90</v>
      </c>
      <c r="R35" s="345">
        <f>'أخذ التمام الصباحي'!J32</f>
        <v>0</v>
      </c>
      <c r="S35" s="345">
        <v>7</v>
      </c>
      <c r="T35" s="195">
        <f t="shared" ref="T35:T38" si="13">P35/S35</f>
        <v>0</v>
      </c>
      <c r="U35" s="348"/>
      <c r="V35" s="348"/>
      <c r="W35" s="348"/>
      <c r="X35" s="348"/>
      <c r="Y35" s="348"/>
      <c r="Z35" s="197"/>
    </row>
    <row r="36" spans="1:26" ht="18.75" customHeight="1" thickBot="1" x14ac:dyDescent="0.25">
      <c r="A36" s="346">
        <v>29</v>
      </c>
      <c r="B36" s="310" t="s">
        <v>197</v>
      </c>
      <c r="C36" s="348"/>
      <c r="D36" s="348"/>
      <c r="E36" s="348"/>
      <c r="F36" s="348"/>
      <c r="G36" s="348"/>
      <c r="H36" s="348"/>
      <c r="I36" s="346">
        <v>180</v>
      </c>
      <c r="J36" s="345">
        <f>'أخذ التمام الصباحي'!F33</f>
        <v>0</v>
      </c>
      <c r="K36" s="213">
        <f t="shared" si="10"/>
        <v>180</v>
      </c>
      <c r="L36" s="345">
        <f>'أخذ التمام الصباحي'!G33</f>
        <v>0</v>
      </c>
      <c r="M36" s="345">
        <v>38</v>
      </c>
      <c r="N36" s="195">
        <f t="shared" si="11"/>
        <v>0</v>
      </c>
      <c r="O36" s="346">
        <v>90</v>
      </c>
      <c r="P36" s="345">
        <f>'أخذ التمام الصباحي'!I33</f>
        <v>0</v>
      </c>
      <c r="Q36" s="213">
        <f t="shared" si="12"/>
        <v>90</v>
      </c>
      <c r="R36" s="345">
        <f>'أخذ التمام الصباحي'!J33</f>
        <v>0</v>
      </c>
      <c r="S36" s="345">
        <v>8</v>
      </c>
      <c r="T36" s="195">
        <f t="shared" si="13"/>
        <v>0</v>
      </c>
      <c r="U36" s="348"/>
      <c r="V36" s="348"/>
      <c r="W36" s="348"/>
      <c r="X36" s="348"/>
      <c r="Y36" s="348"/>
      <c r="Z36" s="197"/>
    </row>
    <row r="37" spans="1:26" ht="18.75" customHeight="1" thickBot="1" x14ac:dyDescent="0.25">
      <c r="A37" s="346">
        <v>30</v>
      </c>
      <c r="B37" s="310" t="s">
        <v>198</v>
      </c>
      <c r="C37" s="348"/>
      <c r="D37" s="348"/>
      <c r="E37" s="348"/>
      <c r="F37" s="348"/>
      <c r="G37" s="348"/>
      <c r="H37" s="348"/>
      <c r="I37" s="346">
        <v>180</v>
      </c>
      <c r="J37" s="345">
        <f>'أخذ التمام الصباحي'!F34</f>
        <v>0</v>
      </c>
      <c r="K37" s="213">
        <f t="shared" si="10"/>
        <v>180</v>
      </c>
      <c r="L37" s="345">
        <f>'أخذ التمام الصباحي'!G34</f>
        <v>0</v>
      </c>
      <c r="M37" s="345">
        <v>38</v>
      </c>
      <c r="N37" s="195">
        <f t="shared" si="11"/>
        <v>0</v>
      </c>
      <c r="O37" s="346">
        <v>90</v>
      </c>
      <c r="P37" s="345">
        <f>'أخذ التمام الصباحي'!I34</f>
        <v>0</v>
      </c>
      <c r="Q37" s="213">
        <f t="shared" si="12"/>
        <v>90</v>
      </c>
      <c r="R37" s="345">
        <f>'أخذ التمام الصباحي'!J34</f>
        <v>0</v>
      </c>
      <c r="S37" s="345">
        <v>8</v>
      </c>
      <c r="T37" s="195">
        <f t="shared" si="13"/>
        <v>0</v>
      </c>
      <c r="U37" s="348"/>
      <c r="V37" s="348"/>
      <c r="W37" s="348"/>
      <c r="X37" s="348"/>
      <c r="Y37" s="348"/>
      <c r="Z37" s="197"/>
    </row>
    <row r="38" spans="1:26" ht="18.75" customHeight="1" thickBot="1" x14ac:dyDescent="0.25">
      <c r="A38" s="346">
        <v>31</v>
      </c>
      <c r="B38" s="310" t="s">
        <v>199</v>
      </c>
      <c r="C38" s="348"/>
      <c r="D38" s="348"/>
      <c r="E38" s="348"/>
      <c r="F38" s="348"/>
      <c r="G38" s="348"/>
      <c r="H38" s="348"/>
      <c r="I38" s="346">
        <v>180</v>
      </c>
      <c r="J38" s="345">
        <f>'أخذ التمام الصباحي'!F35</f>
        <v>0</v>
      </c>
      <c r="K38" s="213">
        <f t="shared" si="10"/>
        <v>180</v>
      </c>
      <c r="L38" s="345">
        <f>'أخذ التمام الصباحي'!G35</f>
        <v>0</v>
      </c>
      <c r="M38" s="345">
        <v>9</v>
      </c>
      <c r="N38" s="195">
        <f t="shared" si="11"/>
        <v>0</v>
      </c>
      <c r="O38" s="346">
        <v>90</v>
      </c>
      <c r="P38" s="345">
        <f>'أخذ التمام الصباحي'!I35</f>
        <v>0</v>
      </c>
      <c r="Q38" s="213">
        <f t="shared" si="12"/>
        <v>90</v>
      </c>
      <c r="R38" s="345">
        <f>'أخذ التمام الصباحي'!J35</f>
        <v>0</v>
      </c>
      <c r="S38" s="345">
        <v>2</v>
      </c>
      <c r="T38" s="195">
        <f t="shared" si="13"/>
        <v>0</v>
      </c>
      <c r="U38" s="346">
        <v>180</v>
      </c>
      <c r="V38" s="345">
        <f>'أخذ التمام الصباحي'!L35</f>
        <v>0</v>
      </c>
      <c r="W38" s="213">
        <f t="shared" ref="W38" si="14">U38-V38</f>
        <v>180</v>
      </c>
      <c r="X38" s="345">
        <f>'أخذ التمام الصباحي'!M35</f>
        <v>0</v>
      </c>
      <c r="Y38" s="345">
        <v>30</v>
      </c>
      <c r="Z38" s="195">
        <f t="shared" ref="Z38" si="15">V38/Y38</f>
        <v>0</v>
      </c>
    </row>
    <row r="39" spans="1:26" ht="20.100000000000001" customHeight="1" thickBot="1" x14ac:dyDescent="0.25">
      <c r="A39" s="392" t="s">
        <v>34</v>
      </c>
      <c r="B39" s="392"/>
      <c r="C39" s="198">
        <f>SUM(C8:C38)</f>
        <v>300</v>
      </c>
      <c r="D39" s="198">
        <f t="shared" ref="D39:Z39" si="16">SUM(D8:D38)</f>
        <v>225</v>
      </c>
      <c r="E39" s="198">
        <f t="shared" si="16"/>
        <v>75</v>
      </c>
      <c r="F39" s="198">
        <f t="shared" si="16"/>
        <v>51</v>
      </c>
      <c r="G39" s="198">
        <f t="shared" si="16"/>
        <v>57.6</v>
      </c>
      <c r="H39" s="198">
        <f t="shared" si="16"/>
        <v>60.209523809523816</v>
      </c>
      <c r="I39" s="198">
        <f t="shared" si="16"/>
        <v>3525</v>
      </c>
      <c r="J39" s="198">
        <f t="shared" si="16"/>
        <v>2153</v>
      </c>
      <c r="K39" s="198">
        <f t="shared" si="16"/>
        <v>1372</v>
      </c>
      <c r="L39" s="198">
        <f t="shared" si="16"/>
        <v>629</v>
      </c>
      <c r="M39" s="198">
        <f t="shared" si="16"/>
        <v>684</v>
      </c>
      <c r="N39" s="198">
        <f t="shared" si="16"/>
        <v>147.9455503894348</v>
      </c>
      <c r="O39" s="198">
        <f t="shared" si="16"/>
        <v>1380</v>
      </c>
      <c r="P39" s="198">
        <f t="shared" si="16"/>
        <v>765.5</v>
      </c>
      <c r="Q39" s="198">
        <f t="shared" si="16"/>
        <v>614.5</v>
      </c>
      <c r="R39" s="198">
        <f t="shared" si="16"/>
        <v>68</v>
      </c>
      <c r="S39" s="198">
        <f t="shared" si="16"/>
        <v>174</v>
      </c>
      <c r="T39" s="198">
        <f t="shared" si="16"/>
        <v>162.95423465423468</v>
      </c>
      <c r="U39" s="198">
        <f t="shared" si="16"/>
        <v>2580</v>
      </c>
      <c r="V39" s="198">
        <f t="shared" si="16"/>
        <v>1997</v>
      </c>
      <c r="W39" s="198">
        <f t="shared" si="16"/>
        <v>583</v>
      </c>
      <c r="X39" s="198">
        <f t="shared" si="16"/>
        <v>272</v>
      </c>
      <c r="Y39" s="198">
        <f t="shared" si="16"/>
        <v>306</v>
      </c>
      <c r="Z39" s="198">
        <f t="shared" si="16"/>
        <v>167.80072352332789</v>
      </c>
    </row>
    <row r="40" spans="1:26" ht="20.100000000000001" customHeight="1" thickBot="1" x14ac:dyDescent="0.25">
      <c r="A40" s="379" t="s">
        <v>35</v>
      </c>
      <c r="B40" s="379"/>
      <c r="C40" s="383">
        <f>C39+I39+O39+U39</f>
        <v>7785</v>
      </c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85"/>
    </row>
    <row r="41" spans="1:26" ht="20.100000000000001" customHeight="1" thickBot="1" x14ac:dyDescent="0.25">
      <c r="A41" s="379" t="s">
        <v>36</v>
      </c>
      <c r="B41" s="379"/>
      <c r="C41" s="383">
        <f>D39+J39+P39+V39</f>
        <v>5140.5</v>
      </c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4"/>
      <c r="P41" s="384"/>
      <c r="Q41" s="384"/>
      <c r="R41" s="384"/>
      <c r="S41" s="384"/>
      <c r="T41" s="384"/>
      <c r="U41" s="384"/>
      <c r="V41" s="384"/>
      <c r="W41" s="384"/>
      <c r="X41" s="384"/>
      <c r="Y41" s="384"/>
      <c r="Z41" s="385"/>
    </row>
    <row r="42" spans="1:26" ht="20.100000000000001" customHeight="1" thickBot="1" x14ac:dyDescent="0.25">
      <c r="A42" s="379" t="s">
        <v>37</v>
      </c>
      <c r="B42" s="379"/>
      <c r="C42" s="383">
        <f>E39+K39+Q39+W39</f>
        <v>2644.5</v>
      </c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84"/>
      <c r="O42" s="384"/>
      <c r="P42" s="384"/>
      <c r="Q42" s="384"/>
      <c r="R42" s="384"/>
      <c r="S42" s="384"/>
      <c r="T42" s="384"/>
      <c r="U42" s="384"/>
      <c r="V42" s="384"/>
      <c r="W42" s="384"/>
      <c r="X42" s="384"/>
      <c r="Y42" s="384"/>
      <c r="Z42" s="385"/>
    </row>
    <row r="43" spans="1:26" ht="20.100000000000001" customHeight="1" thickBot="1" x14ac:dyDescent="0.25">
      <c r="A43" s="379" t="s">
        <v>38</v>
      </c>
      <c r="B43" s="379"/>
      <c r="C43" s="386">
        <f>C41/C40</f>
        <v>0.66030828516377649</v>
      </c>
      <c r="D43" s="387"/>
      <c r="E43" s="387"/>
      <c r="F43" s="387"/>
      <c r="G43" s="387"/>
      <c r="H43" s="387"/>
      <c r="I43" s="387"/>
      <c r="J43" s="387"/>
      <c r="K43" s="387"/>
      <c r="L43" s="387"/>
      <c r="M43" s="387"/>
      <c r="N43" s="387"/>
      <c r="O43" s="387"/>
      <c r="P43" s="387"/>
      <c r="Q43" s="387"/>
      <c r="R43" s="387"/>
      <c r="S43" s="387"/>
      <c r="T43" s="387"/>
      <c r="U43" s="387"/>
      <c r="V43" s="387"/>
      <c r="W43" s="387"/>
      <c r="X43" s="387"/>
      <c r="Y43" s="387"/>
      <c r="Z43" s="388"/>
    </row>
    <row r="44" spans="1:26" ht="20.100000000000001" customHeight="1" thickBot="1" x14ac:dyDescent="0.25">
      <c r="A44" s="379" t="s">
        <v>39</v>
      </c>
      <c r="B44" s="379"/>
      <c r="C44" s="383">
        <f>F39+L39+R39+X39</f>
        <v>1020</v>
      </c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85"/>
    </row>
    <row r="45" spans="1:26" ht="15.75" thickBot="1" x14ac:dyDescent="0.25">
      <c r="A45" s="379" t="s">
        <v>40</v>
      </c>
      <c r="B45" s="379"/>
      <c r="C45" s="389">
        <f>C44/'التمام الصباحي'!$C$41:$Z$41</f>
        <v>0.19842427779398891</v>
      </c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390"/>
      <c r="O45" s="390"/>
      <c r="P45" s="390"/>
      <c r="Q45" s="390"/>
      <c r="R45" s="390"/>
      <c r="S45" s="390"/>
      <c r="T45" s="390"/>
      <c r="U45" s="390"/>
      <c r="V45" s="390"/>
      <c r="W45" s="390"/>
      <c r="X45" s="390"/>
      <c r="Y45" s="390"/>
      <c r="Z45" s="391"/>
    </row>
    <row r="46" spans="1:26" x14ac:dyDescent="0.2">
      <c r="A46" s="200"/>
      <c r="B46" s="200"/>
      <c r="C46" s="214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</row>
  </sheetData>
  <sheetProtection selectLockedCells="1"/>
  <customSheetViews>
    <customSheetView guid="{18C0F7AC-4BB1-46DE-8A01-8E31FE0585FC}" scale="70" fitToPage="1">
      <pane xSplit="2" ySplit="7" topLeftCell="C12" activePane="bottomRight" state="frozen"/>
      <selection pane="bottomRight" activeCell="M38" sqref="M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0" customWidth="1"/>
    <col min="2" max="2" width="9.125" style="190" customWidth="1"/>
    <col min="3" max="3" width="5.25" style="190" customWidth="1"/>
    <col min="4" max="4" width="6.75" style="190" customWidth="1"/>
    <col min="5" max="5" width="7.375" style="190" customWidth="1"/>
    <col min="6" max="6" width="6.75" style="190" bestFit="1" customWidth="1"/>
    <col min="7" max="7" width="6.875" style="190" customWidth="1"/>
    <col min="8" max="8" width="7" style="190" customWidth="1"/>
    <col min="9" max="9" width="6.375" style="190" customWidth="1"/>
    <col min="10" max="10" width="6.875" style="190" customWidth="1"/>
    <col min="11" max="11" width="6.75" style="190" bestFit="1" customWidth="1"/>
    <col min="12" max="12" width="6.875" style="190" bestFit="1" customWidth="1"/>
    <col min="13" max="13" width="6.375" style="190" customWidth="1"/>
    <col min="14" max="15" width="6.75" style="190" customWidth="1"/>
    <col min="16" max="16" width="6.75" style="190" bestFit="1" customWidth="1"/>
    <col min="17" max="17" width="6.875" style="190" bestFit="1" customWidth="1"/>
    <col min="18" max="18" width="5.125" style="190" customWidth="1"/>
    <col min="19" max="19" width="6.375" style="190" customWidth="1"/>
    <col min="20" max="20" width="6.75" style="190" customWidth="1"/>
    <col min="21" max="21" width="6.75" style="190" bestFit="1" customWidth="1"/>
    <col min="22" max="22" width="6.625" style="190" customWidth="1"/>
    <col min="23" max="23" width="5.375" style="190" customWidth="1"/>
    <col min="24" max="24" width="4.75" style="190" customWidth="1"/>
    <col min="25" max="25" width="7.25" style="190" customWidth="1"/>
    <col min="26" max="26" width="7.375" style="190" customWidth="1"/>
    <col min="27" max="16384" width="9" style="190"/>
  </cols>
  <sheetData>
    <row r="1" spans="1:25" ht="18" x14ac:dyDescent="0.25">
      <c r="A1" s="382" t="s">
        <v>0</v>
      </c>
      <c r="B1" s="382"/>
      <c r="C1" s="382"/>
      <c r="D1" s="382"/>
      <c r="E1" s="382"/>
      <c r="X1" s="378"/>
      <c r="Y1" s="378"/>
    </row>
    <row r="2" spans="1:25" ht="15.75" x14ac:dyDescent="0.25">
      <c r="A2" s="382" t="s">
        <v>1</v>
      </c>
      <c r="B2" s="382"/>
      <c r="C2" s="382"/>
      <c r="D2" s="382"/>
      <c r="E2" s="382"/>
    </row>
    <row r="3" spans="1:25" ht="15.75" x14ac:dyDescent="0.25">
      <c r="A3" s="382" t="s">
        <v>2</v>
      </c>
      <c r="B3" s="382"/>
      <c r="C3" s="382"/>
      <c r="D3" s="382"/>
      <c r="E3" s="382"/>
    </row>
    <row r="5" spans="1:25" ht="36.75" customHeight="1" thickBot="1" x14ac:dyDescent="0.3">
      <c r="G5" s="191"/>
      <c r="H5" s="381" t="s">
        <v>161</v>
      </c>
      <c r="I5" s="381"/>
      <c r="J5" s="381"/>
      <c r="K5" s="381"/>
      <c r="L5" s="381"/>
      <c r="M5" s="381"/>
      <c r="N5" s="381"/>
      <c r="O5" s="381"/>
      <c r="T5" s="192" t="s">
        <v>41</v>
      </c>
    </row>
    <row r="6" spans="1:25" ht="20.100000000000001" customHeight="1" thickBot="1" x14ac:dyDescent="0.25">
      <c r="A6" s="380" t="s">
        <v>14</v>
      </c>
      <c r="B6" s="380" t="s">
        <v>3</v>
      </c>
      <c r="C6" s="380" t="s">
        <v>4</v>
      </c>
      <c r="D6" s="527" t="s">
        <v>5</v>
      </c>
      <c r="E6" s="528"/>
      <c r="F6" s="528"/>
      <c r="G6" s="529"/>
      <c r="H6" s="380" t="s">
        <v>4</v>
      </c>
      <c r="I6" s="527" t="s">
        <v>11</v>
      </c>
      <c r="J6" s="528"/>
      <c r="K6" s="528"/>
      <c r="L6" s="529"/>
      <c r="M6" s="380" t="s">
        <v>4</v>
      </c>
      <c r="N6" s="527" t="s">
        <v>12</v>
      </c>
      <c r="O6" s="528"/>
      <c r="P6" s="528"/>
      <c r="Q6" s="529"/>
      <c r="R6" s="380" t="s">
        <v>4</v>
      </c>
      <c r="S6" s="527" t="s">
        <v>13</v>
      </c>
      <c r="T6" s="528"/>
      <c r="U6" s="528"/>
      <c r="V6" s="529"/>
    </row>
    <row r="7" spans="1:25" ht="20.100000000000001" customHeight="1" thickBot="1" x14ac:dyDescent="0.25">
      <c r="A7" s="380"/>
      <c r="B7" s="380"/>
      <c r="C7" s="380"/>
      <c r="D7" s="193" t="s">
        <v>6</v>
      </c>
      <c r="E7" s="193" t="s">
        <v>7</v>
      </c>
      <c r="F7" s="193" t="s">
        <v>9</v>
      </c>
      <c r="G7" s="193" t="s">
        <v>10</v>
      </c>
      <c r="H7" s="380"/>
      <c r="I7" s="193" t="s">
        <v>6</v>
      </c>
      <c r="J7" s="193" t="s">
        <v>7</v>
      </c>
      <c r="K7" s="193" t="s">
        <v>9</v>
      </c>
      <c r="L7" s="193" t="s">
        <v>10</v>
      </c>
      <c r="M7" s="380"/>
      <c r="N7" s="193" t="s">
        <v>6</v>
      </c>
      <c r="O7" s="193" t="s">
        <v>7</v>
      </c>
      <c r="P7" s="193" t="s">
        <v>9</v>
      </c>
      <c r="Q7" s="193" t="s">
        <v>10</v>
      </c>
      <c r="R7" s="380"/>
      <c r="S7" s="193" t="s">
        <v>6</v>
      </c>
      <c r="T7" s="193" t="s">
        <v>7</v>
      </c>
      <c r="U7" s="193" t="s">
        <v>9</v>
      </c>
      <c r="V7" s="193" t="s">
        <v>10</v>
      </c>
    </row>
    <row r="8" spans="1:25" ht="20.100000000000001" customHeight="1" thickBot="1" x14ac:dyDescent="0.25">
      <c r="A8" s="254">
        <v>1</v>
      </c>
      <c r="B8" s="194" t="s">
        <v>15</v>
      </c>
      <c r="C8" s="255"/>
      <c r="D8" s="255"/>
      <c r="E8" s="255"/>
      <c r="F8" s="255"/>
      <c r="G8" s="255"/>
      <c r="H8" s="254">
        <v>90</v>
      </c>
      <c r="I8" s="253">
        <f>H8-J8</f>
        <v>90</v>
      </c>
      <c r="J8" s="213">
        <f>'خطة الإمداد'!F8</f>
        <v>0</v>
      </c>
      <c r="K8" s="253">
        <v>19</v>
      </c>
      <c r="L8" s="195">
        <f>I8/K8</f>
        <v>4.7368421052631575</v>
      </c>
      <c r="M8" s="254">
        <v>30</v>
      </c>
      <c r="N8" s="253">
        <f>M8-O8</f>
        <v>30</v>
      </c>
      <c r="O8" s="213">
        <f>'خطة الإمداد'!G8</f>
        <v>0</v>
      </c>
      <c r="P8" s="253">
        <v>5</v>
      </c>
      <c r="Q8" s="195">
        <f>N8/P8</f>
        <v>6</v>
      </c>
      <c r="R8" s="255"/>
      <c r="S8" s="255"/>
      <c r="T8" s="255"/>
      <c r="U8" s="255"/>
      <c r="V8" s="255"/>
    </row>
    <row r="9" spans="1:25" ht="20.100000000000001" customHeight="1" thickBot="1" x14ac:dyDescent="0.25">
      <c r="A9" s="273">
        <v>2</v>
      </c>
      <c r="B9" s="194" t="s">
        <v>163</v>
      </c>
      <c r="C9" s="278"/>
      <c r="D9" s="278"/>
      <c r="E9" s="278"/>
      <c r="F9" s="278"/>
      <c r="G9" s="278"/>
      <c r="H9" s="273"/>
      <c r="I9" s="272"/>
      <c r="J9" s="213"/>
      <c r="K9" s="272"/>
      <c r="L9" s="195"/>
      <c r="M9" s="273"/>
      <c r="N9" s="272"/>
      <c r="O9" s="213"/>
      <c r="P9" s="272"/>
      <c r="Q9" s="195"/>
      <c r="R9" s="278"/>
      <c r="S9" s="278"/>
      <c r="T9" s="278"/>
      <c r="U9" s="278"/>
      <c r="V9" s="278"/>
    </row>
    <row r="10" spans="1:25" ht="20.100000000000001" customHeight="1" thickBot="1" x14ac:dyDescent="0.25">
      <c r="A10" s="273">
        <v>3</v>
      </c>
      <c r="B10" s="194" t="s">
        <v>16</v>
      </c>
      <c r="C10" s="253">
        <v>30</v>
      </c>
      <c r="D10" s="253">
        <f t="shared" ref="D10:D22" si="0">C10-E10</f>
        <v>30</v>
      </c>
      <c r="E10" s="253">
        <f>'خطة الإمداد'!E10</f>
        <v>0</v>
      </c>
      <c r="F10" s="253">
        <v>4</v>
      </c>
      <c r="G10" s="196">
        <f>D10/F10</f>
        <v>7.5</v>
      </c>
      <c r="H10" s="254">
        <v>60</v>
      </c>
      <c r="I10" s="253">
        <f t="shared" ref="I10:I27" si="1">H10-J10</f>
        <v>60</v>
      </c>
      <c r="J10" s="213">
        <f>'خطة الإمداد'!F10</f>
        <v>0</v>
      </c>
      <c r="K10" s="253">
        <v>21</v>
      </c>
      <c r="L10" s="195">
        <f t="shared" ref="L10:L21" si="2">I10/K10</f>
        <v>2.8571428571428572</v>
      </c>
      <c r="M10" s="254">
        <v>30</v>
      </c>
      <c r="N10" s="253">
        <f t="shared" ref="N10:N27" si="3">M10-O10</f>
        <v>30</v>
      </c>
      <c r="O10" s="213">
        <f>'خطة الإمداد'!G10</f>
        <v>0</v>
      </c>
      <c r="P10" s="253">
        <v>5</v>
      </c>
      <c r="Q10" s="195">
        <f>N10/P10</f>
        <v>6</v>
      </c>
      <c r="R10" s="254">
        <v>180</v>
      </c>
      <c r="S10" s="213">
        <f t="shared" ref="S10:S27" si="4">R10-T10</f>
        <v>180</v>
      </c>
      <c r="T10" s="253">
        <f>'خطة الإمداد'!H10</f>
        <v>0</v>
      </c>
      <c r="U10" s="253">
        <v>3</v>
      </c>
      <c r="V10" s="195">
        <f>S10/U10</f>
        <v>60</v>
      </c>
    </row>
    <row r="11" spans="1:25" ht="20.100000000000001" customHeight="1" thickBot="1" x14ac:dyDescent="0.25">
      <c r="A11" s="273">
        <v>4</v>
      </c>
      <c r="B11" s="194" t="s">
        <v>17</v>
      </c>
      <c r="C11" s="253">
        <v>30</v>
      </c>
      <c r="D11" s="253">
        <f t="shared" si="0"/>
        <v>30</v>
      </c>
      <c r="E11" s="253">
        <f>'خطة الإمداد'!E11</f>
        <v>0</v>
      </c>
      <c r="F11" s="253">
        <v>9</v>
      </c>
      <c r="G11" s="196">
        <f>D11/F11</f>
        <v>3.3333333333333335</v>
      </c>
      <c r="H11" s="254">
        <v>60</v>
      </c>
      <c r="I11" s="253">
        <f t="shared" si="1"/>
        <v>60</v>
      </c>
      <c r="J11" s="213">
        <f>'خطة الإمداد'!F11</f>
        <v>0</v>
      </c>
      <c r="K11" s="253">
        <v>34</v>
      </c>
      <c r="L11" s="195">
        <f t="shared" si="2"/>
        <v>1.7647058823529411</v>
      </c>
      <c r="M11" s="254">
        <v>30</v>
      </c>
      <c r="N11" s="253">
        <f t="shared" si="3"/>
        <v>30</v>
      </c>
      <c r="O11" s="213">
        <f>'خطة الإمداد'!G11</f>
        <v>0</v>
      </c>
      <c r="P11" s="253">
        <v>8</v>
      </c>
      <c r="Q11" s="195">
        <f>N11/P11</f>
        <v>3.75</v>
      </c>
      <c r="R11" s="255"/>
      <c r="S11" s="255"/>
      <c r="T11" s="255"/>
      <c r="U11" s="255"/>
      <c r="V11" s="255"/>
    </row>
    <row r="12" spans="1:25" ht="20.100000000000001" customHeight="1" thickBot="1" x14ac:dyDescent="0.25">
      <c r="A12" s="273">
        <v>5</v>
      </c>
      <c r="B12" s="194" t="s">
        <v>18</v>
      </c>
      <c r="C12" s="253">
        <v>30</v>
      </c>
      <c r="D12" s="253">
        <f t="shared" si="0"/>
        <v>30</v>
      </c>
      <c r="E12" s="253">
        <f>'خطة الإمداد'!E12</f>
        <v>0</v>
      </c>
      <c r="F12" s="253">
        <v>4</v>
      </c>
      <c r="G12" s="196">
        <f>D12/F12</f>
        <v>7.5</v>
      </c>
      <c r="H12" s="254">
        <v>90</v>
      </c>
      <c r="I12" s="253">
        <f t="shared" si="1"/>
        <v>90</v>
      </c>
      <c r="J12" s="213">
        <f>'خطة الإمداد'!F12</f>
        <v>0</v>
      </c>
      <c r="K12" s="253">
        <v>19</v>
      </c>
      <c r="L12" s="195">
        <f t="shared" si="2"/>
        <v>4.7368421052631575</v>
      </c>
      <c r="M12" s="255"/>
      <c r="N12" s="255"/>
      <c r="O12" s="255"/>
      <c r="P12" s="255"/>
      <c r="Q12" s="197"/>
      <c r="R12" s="254">
        <v>180</v>
      </c>
      <c r="S12" s="213">
        <f t="shared" si="4"/>
        <v>180</v>
      </c>
      <c r="T12" s="253">
        <f>'خطة الإمداد'!H12</f>
        <v>0</v>
      </c>
      <c r="U12" s="253">
        <v>8</v>
      </c>
      <c r="V12" s="195">
        <f>S12/U12</f>
        <v>22.5</v>
      </c>
    </row>
    <row r="13" spans="1:25" ht="20.100000000000001" customHeight="1" thickBot="1" x14ac:dyDescent="0.25">
      <c r="A13" s="273">
        <v>6</v>
      </c>
      <c r="B13" s="194" t="s">
        <v>19</v>
      </c>
      <c r="C13" s="253">
        <v>30</v>
      </c>
      <c r="D13" s="253">
        <f t="shared" si="0"/>
        <v>30</v>
      </c>
      <c r="E13" s="253">
        <f>'خطة الإمداد'!E13</f>
        <v>0</v>
      </c>
      <c r="F13" s="253">
        <v>4</v>
      </c>
      <c r="G13" s="196">
        <f>D13/F13</f>
        <v>7.5</v>
      </c>
      <c r="H13" s="254">
        <v>90</v>
      </c>
      <c r="I13" s="253">
        <f t="shared" si="1"/>
        <v>90</v>
      </c>
      <c r="J13" s="213">
        <f>'خطة الإمداد'!F13</f>
        <v>0</v>
      </c>
      <c r="K13" s="253">
        <v>16</v>
      </c>
      <c r="L13" s="195">
        <f t="shared" si="2"/>
        <v>5.625</v>
      </c>
      <c r="M13" s="255"/>
      <c r="N13" s="255"/>
      <c r="O13" s="255"/>
      <c r="P13" s="255"/>
      <c r="Q13" s="197"/>
      <c r="R13" s="254">
        <v>180</v>
      </c>
      <c r="S13" s="213">
        <f t="shared" si="4"/>
        <v>180</v>
      </c>
      <c r="T13" s="253">
        <f>'خطة الإمداد'!H13</f>
        <v>0</v>
      </c>
      <c r="U13" s="253">
        <v>19</v>
      </c>
      <c r="V13" s="195">
        <f>S13/U13</f>
        <v>9.473684210526315</v>
      </c>
    </row>
    <row r="14" spans="1:25" ht="20.100000000000001" customHeight="1" thickBot="1" x14ac:dyDescent="0.25">
      <c r="A14" s="273">
        <v>7</v>
      </c>
      <c r="B14" s="194" t="s">
        <v>20</v>
      </c>
      <c r="C14" s="255"/>
      <c r="D14" s="255"/>
      <c r="E14" s="255"/>
      <c r="F14" s="255"/>
      <c r="G14" s="255"/>
      <c r="H14" s="254">
        <v>180</v>
      </c>
      <c r="I14" s="253">
        <f t="shared" si="1"/>
        <v>180</v>
      </c>
      <c r="J14" s="213">
        <f>'خطة الإمداد'!F14</f>
        <v>0</v>
      </c>
      <c r="K14" s="253">
        <v>39</v>
      </c>
      <c r="L14" s="195">
        <f t="shared" si="2"/>
        <v>4.615384615384615</v>
      </c>
      <c r="M14" s="254">
        <v>60</v>
      </c>
      <c r="N14" s="253">
        <f t="shared" si="3"/>
        <v>60</v>
      </c>
      <c r="O14" s="213">
        <f>'خطة الإمداد'!G14</f>
        <v>0</v>
      </c>
      <c r="P14" s="253">
        <v>7</v>
      </c>
      <c r="Q14" s="195">
        <f t="shared" ref="Q14:Q21" si="5">N14/P14</f>
        <v>8.5714285714285712</v>
      </c>
      <c r="R14" s="255"/>
      <c r="S14" s="255"/>
      <c r="T14" s="255"/>
      <c r="U14" s="255"/>
      <c r="V14" s="255"/>
    </row>
    <row r="15" spans="1:25" ht="20.100000000000001" customHeight="1" thickBot="1" x14ac:dyDescent="0.25">
      <c r="A15" s="273">
        <v>8</v>
      </c>
      <c r="B15" s="194" t="s">
        <v>21</v>
      </c>
      <c r="C15" s="255"/>
      <c r="D15" s="255"/>
      <c r="E15" s="255"/>
      <c r="F15" s="255"/>
      <c r="G15" s="255"/>
      <c r="H15" s="254">
        <v>180</v>
      </c>
      <c r="I15" s="253">
        <f t="shared" si="1"/>
        <v>180</v>
      </c>
      <c r="J15" s="213">
        <f>'خطة الإمداد'!F15</f>
        <v>0</v>
      </c>
      <c r="K15" s="253">
        <v>36</v>
      </c>
      <c r="L15" s="195">
        <f t="shared" si="2"/>
        <v>5</v>
      </c>
      <c r="M15" s="254">
        <v>45</v>
      </c>
      <c r="N15" s="253">
        <f t="shared" si="3"/>
        <v>45</v>
      </c>
      <c r="O15" s="213">
        <f>'خطة الإمداد'!G15</f>
        <v>0</v>
      </c>
      <c r="P15" s="253">
        <v>8</v>
      </c>
      <c r="Q15" s="195">
        <f t="shared" si="5"/>
        <v>5.625</v>
      </c>
      <c r="R15" s="254">
        <v>120</v>
      </c>
      <c r="S15" s="213">
        <f t="shared" si="4"/>
        <v>120</v>
      </c>
      <c r="T15" s="253">
        <f>'خطة الإمداد'!H15</f>
        <v>0</v>
      </c>
      <c r="U15" s="253">
        <v>26</v>
      </c>
      <c r="V15" s="195">
        <f>S15/U15</f>
        <v>4.615384615384615</v>
      </c>
    </row>
    <row r="16" spans="1:25" ht="20.100000000000001" customHeight="1" thickBot="1" x14ac:dyDescent="0.25">
      <c r="A16" s="273">
        <v>9</v>
      </c>
      <c r="B16" s="194" t="s">
        <v>22</v>
      </c>
      <c r="C16" s="255"/>
      <c r="D16" s="255"/>
      <c r="E16" s="255"/>
      <c r="F16" s="255"/>
      <c r="G16" s="255"/>
      <c r="H16" s="254">
        <v>90</v>
      </c>
      <c r="I16" s="253">
        <f t="shared" si="1"/>
        <v>90</v>
      </c>
      <c r="J16" s="213">
        <f>'خطة الإمداد'!F16</f>
        <v>0</v>
      </c>
      <c r="K16" s="253">
        <v>6</v>
      </c>
      <c r="L16" s="195">
        <f t="shared" si="2"/>
        <v>15</v>
      </c>
      <c r="M16" s="254">
        <v>30</v>
      </c>
      <c r="N16" s="253">
        <f t="shared" si="3"/>
        <v>30</v>
      </c>
      <c r="O16" s="213">
        <f>'خطة الإمداد'!G16</f>
        <v>0</v>
      </c>
      <c r="P16" s="253">
        <v>2</v>
      </c>
      <c r="Q16" s="195">
        <f t="shared" si="5"/>
        <v>15</v>
      </c>
      <c r="R16" s="254">
        <v>180</v>
      </c>
      <c r="S16" s="213">
        <f t="shared" si="4"/>
        <v>180</v>
      </c>
      <c r="T16" s="253">
        <f>'خطة الإمداد'!H16</f>
        <v>0</v>
      </c>
      <c r="U16" s="253">
        <v>56</v>
      </c>
      <c r="V16" s="195">
        <f>S16/U16</f>
        <v>3.2142857142857144</v>
      </c>
    </row>
    <row r="17" spans="1:26" ht="20.100000000000001" customHeight="1" thickBot="1" x14ac:dyDescent="0.25">
      <c r="A17" s="273">
        <v>10</v>
      </c>
      <c r="B17" s="194" t="s">
        <v>23</v>
      </c>
      <c r="C17" s="255"/>
      <c r="D17" s="255"/>
      <c r="E17" s="255"/>
      <c r="F17" s="255"/>
      <c r="G17" s="255"/>
      <c r="H17" s="254">
        <v>90</v>
      </c>
      <c r="I17" s="253">
        <f t="shared" si="1"/>
        <v>90</v>
      </c>
      <c r="J17" s="213">
        <f>'خطة الإمداد'!F17</f>
        <v>0</v>
      </c>
      <c r="K17" s="253">
        <v>5</v>
      </c>
      <c r="L17" s="195">
        <f t="shared" si="2"/>
        <v>18</v>
      </c>
      <c r="M17" s="254">
        <v>30</v>
      </c>
      <c r="N17" s="253">
        <f t="shared" si="3"/>
        <v>30</v>
      </c>
      <c r="O17" s="213">
        <f>'خطة الإمداد'!G17</f>
        <v>0</v>
      </c>
      <c r="P17" s="253">
        <v>1</v>
      </c>
      <c r="Q17" s="195">
        <f t="shared" si="5"/>
        <v>30</v>
      </c>
      <c r="R17" s="254">
        <v>60</v>
      </c>
      <c r="S17" s="186">
        <f t="shared" si="4"/>
        <v>60</v>
      </c>
      <c r="T17" s="253">
        <f>'خطة الإمداد'!H17</f>
        <v>0</v>
      </c>
      <c r="U17" s="253">
        <v>2</v>
      </c>
      <c r="V17" s="253">
        <f>S17/U17</f>
        <v>30</v>
      </c>
    </row>
    <row r="18" spans="1:26" ht="20.100000000000001" customHeight="1" thickBot="1" x14ac:dyDescent="0.25">
      <c r="A18" s="273">
        <v>11</v>
      </c>
      <c r="B18" s="194" t="s">
        <v>24</v>
      </c>
      <c r="C18" s="255"/>
      <c r="D18" s="255"/>
      <c r="E18" s="255"/>
      <c r="F18" s="255"/>
      <c r="G18" s="255"/>
      <c r="H18" s="254">
        <v>60</v>
      </c>
      <c r="I18" s="253">
        <f t="shared" si="1"/>
        <v>60</v>
      </c>
      <c r="J18" s="213">
        <f>'خطة الإمداد'!F18</f>
        <v>0</v>
      </c>
      <c r="K18" s="253">
        <v>2</v>
      </c>
      <c r="L18" s="195">
        <f t="shared" si="2"/>
        <v>30</v>
      </c>
      <c r="M18" s="254">
        <v>30</v>
      </c>
      <c r="N18" s="253">
        <f t="shared" si="3"/>
        <v>30</v>
      </c>
      <c r="O18" s="213">
        <f>'خطة الإمداد'!G18</f>
        <v>0</v>
      </c>
      <c r="P18" s="253">
        <v>1</v>
      </c>
      <c r="Q18" s="195">
        <f t="shared" si="5"/>
        <v>30</v>
      </c>
      <c r="R18" s="255"/>
      <c r="S18" s="255"/>
      <c r="T18" s="255"/>
      <c r="U18" s="255"/>
      <c r="V18" s="255"/>
    </row>
    <row r="19" spans="1:26" ht="20.100000000000001" customHeight="1" thickBot="1" x14ac:dyDescent="0.25">
      <c r="A19" s="273">
        <v>12</v>
      </c>
      <c r="B19" s="194" t="s">
        <v>26</v>
      </c>
      <c r="C19" s="255"/>
      <c r="D19" s="255"/>
      <c r="E19" s="255"/>
      <c r="F19" s="255"/>
      <c r="G19" s="255"/>
      <c r="H19" s="254">
        <v>90</v>
      </c>
      <c r="I19" s="253">
        <f t="shared" si="1"/>
        <v>90</v>
      </c>
      <c r="J19" s="213">
        <f>'خطة الإمداد'!F19</f>
        <v>0</v>
      </c>
      <c r="K19" s="253">
        <v>6</v>
      </c>
      <c r="L19" s="195">
        <f t="shared" si="2"/>
        <v>15</v>
      </c>
      <c r="M19" s="254">
        <v>30</v>
      </c>
      <c r="N19" s="253">
        <f t="shared" si="3"/>
        <v>30</v>
      </c>
      <c r="O19" s="213">
        <f>'خطة الإمداد'!G19</f>
        <v>0</v>
      </c>
      <c r="P19" s="253">
        <v>2</v>
      </c>
      <c r="Q19" s="195">
        <f t="shared" si="5"/>
        <v>15</v>
      </c>
      <c r="R19" s="254">
        <v>180</v>
      </c>
      <c r="S19" s="213">
        <f t="shared" si="4"/>
        <v>180</v>
      </c>
      <c r="T19" s="253">
        <f>'خطة الإمداد'!H19</f>
        <v>0</v>
      </c>
      <c r="U19" s="253">
        <v>16</v>
      </c>
      <c r="V19" s="195">
        <f>S19/U19</f>
        <v>11.25</v>
      </c>
    </row>
    <row r="20" spans="1:26" ht="20.100000000000001" customHeight="1" thickBot="1" x14ac:dyDescent="0.25">
      <c r="A20" s="273">
        <v>13</v>
      </c>
      <c r="B20" s="194" t="s">
        <v>25</v>
      </c>
      <c r="C20" s="255"/>
      <c r="D20" s="255"/>
      <c r="E20" s="255"/>
      <c r="F20" s="255"/>
      <c r="G20" s="255"/>
      <c r="H20" s="254">
        <v>90</v>
      </c>
      <c r="I20" s="253">
        <f t="shared" si="1"/>
        <v>90</v>
      </c>
      <c r="J20" s="213">
        <f>'خطة الإمداد'!F20</f>
        <v>0</v>
      </c>
      <c r="K20" s="253">
        <v>7</v>
      </c>
      <c r="L20" s="195">
        <f t="shared" si="2"/>
        <v>12.857142857142858</v>
      </c>
      <c r="M20" s="254">
        <v>30</v>
      </c>
      <c r="N20" s="253">
        <f t="shared" si="3"/>
        <v>30</v>
      </c>
      <c r="O20" s="213">
        <f>'خطة الإمداد'!G20</f>
        <v>0</v>
      </c>
      <c r="P20" s="253">
        <v>1</v>
      </c>
      <c r="Q20" s="195">
        <f t="shared" si="5"/>
        <v>30</v>
      </c>
      <c r="R20" s="254">
        <v>180</v>
      </c>
      <c r="S20" s="213">
        <f t="shared" si="4"/>
        <v>180</v>
      </c>
      <c r="T20" s="253">
        <f>'خطة الإمداد'!H20</f>
        <v>0</v>
      </c>
      <c r="U20" s="253">
        <v>18</v>
      </c>
      <c r="V20" s="195">
        <f>S20/U20</f>
        <v>10</v>
      </c>
    </row>
    <row r="21" spans="1:26" ht="20.100000000000001" customHeight="1" thickBot="1" x14ac:dyDescent="0.25">
      <c r="A21" s="273">
        <v>14</v>
      </c>
      <c r="B21" s="194" t="s">
        <v>27</v>
      </c>
      <c r="C21" s="255"/>
      <c r="D21" s="255"/>
      <c r="E21" s="255"/>
      <c r="F21" s="255"/>
      <c r="G21" s="255"/>
      <c r="H21" s="254">
        <v>90</v>
      </c>
      <c r="I21" s="253">
        <f t="shared" si="1"/>
        <v>90</v>
      </c>
      <c r="J21" s="213">
        <f>'خطة الإمداد'!F21</f>
        <v>0</v>
      </c>
      <c r="K21" s="253">
        <v>5</v>
      </c>
      <c r="L21" s="195">
        <f t="shared" si="2"/>
        <v>18</v>
      </c>
      <c r="M21" s="254">
        <v>30</v>
      </c>
      <c r="N21" s="253">
        <f t="shared" si="3"/>
        <v>30</v>
      </c>
      <c r="O21" s="213">
        <f>'خطة الإمداد'!G21</f>
        <v>0</v>
      </c>
      <c r="P21" s="253">
        <v>1</v>
      </c>
      <c r="Q21" s="195">
        <f t="shared" si="5"/>
        <v>30</v>
      </c>
      <c r="R21" s="255"/>
      <c r="S21" s="255"/>
      <c r="T21" s="255"/>
      <c r="U21" s="255"/>
      <c r="V21" s="255"/>
    </row>
    <row r="22" spans="1:26" ht="20.100000000000001" customHeight="1" thickBot="1" x14ac:dyDescent="0.25">
      <c r="A22" s="273">
        <v>15</v>
      </c>
      <c r="B22" s="194" t="s">
        <v>28</v>
      </c>
      <c r="C22" s="253">
        <v>30</v>
      </c>
      <c r="D22" s="186">
        <f t="shared" si="0"/>
        <v>30</v>
      </c>
      <c r="E22" s="253">
        <f>'خطة الإمداد'!E22</f>
        <v>0</v>
      </c>
      <c r="F22" s="186">
        <v>0.2</v>
      </c>
      <c r="G22" s="186">
        <f>D22/F22</f>
        <v>150</v>
      </c>
      <c r="H22" s="254">
        <v>60</v>
      </c>
      <c r="I22" s="253">
        <f t="shared" si="1"/>
        <v>60</v>
      </c>
      <c r="J22" s="213">
        <f>'خطة الإمداد'!F22</f>
        <v>0</v>
      </c>
      <c r="K22" s="253">
        <v>1</v>
      </c>
      <c r="L22" s="195">
        <f t="shared" ref="L22:L27" si="6">I22/K22</f>
        <v>60</v>
      </c>
      <c r="M22" s="255"/>
      <c r="N22" s="255"/>
      <c r="O22" s="255"/>
      <c r="P22" s="255"/>
      <c r="Q22" s="197"/>
      <c r="R22" s="254">
        <v>120</v>
      </c>
      <c r="S22" s="213">
        <f t="shared" si="4"/>
        <v>120</v>
      </c>
      <c r="T22" s="253">
        <f>'خطة الإمداد'!H22</f>
        <v>0</v>
      </c>
      <c r="U22" s="253">
        <v>14</v>
      </c>
      <c r="V22" s="195">
        <f t="shared" ref="V22:V27" si="7">S22/U22</f>
        <v>8.5714285714285712</v>
      </c>
    </row>
    <row r="23" spans="1:26" ht="20.100000000000001" customHeight="1" thickBot="1" x14ac:dyDescent="0.25">
      <c r="A23" s="273">
        <v>16</v>
      </c>
      <c r="B23" s="194" t="s">
        <v>29</v>
      </c>
      <c r="C23" s="255"/>
      <c r="D23" s="255"/>
      <c r="E23" s="255"/>
      <c r="F23" s="255"/>
      <c r="G23" s="255"/>
      <c r="H23" s="254">
        <v>60</v>
      </c>
      <c r="I23" s="253">
        <f t="shared" si="1"/>
        <v>60</v>
      </c>
      <c r="J23" s="213">
        <f>'خطة الإمداد'!F23</f>
        <v>0</v>
      </c>
      <c r="K23" s="253">
        <v>1</v>
      </c>
      <c r="L23" s="195">
        <f t="shared" si="6"/>
        <v>60</v>
      </c>
      <c r="M23" s="255"/>
      <c r="N23" s="255"/>
      <c r="O23" s="255"/>
      <c r="P23" s="255"/>
      <c r="Q23" s="197"/>
      <c r="R23" s="254">
        <v>120</v>
      </c>
      <c r="S23" s="213">
        <f t="shared" si="4"/>
        <v>120</v>
      </c>
      <c r="T23" s="253">
        <f>'خطة الإمداد'!H23</f>
        <v>0</v>
      </c>
      <c r="U23" s="253">
        <v>7</v>
      </c>
      <c r="V23" s="195">
        <f t="shared" si="7"/>
        <v>17.142857142857142</v>
      </c>
    </row>
    <row r="24" spans="1:26" ht="20.100000000000001" customHeight="1" thickBot="1" x14ac:dyDescent="0.25">
      <c r="A24" s="273">
        <v>17</v>
      </c>
      <c r="B24" s="194" t="s">
        <v>30</v>
      </c>
      <c r="C24" s="255"/>
      <c r="D24" s="255"/>
      <c r="E24" s="255"/>
      <c r="F24" s="255"/>
      <c r="G24" s="255"/>
      <c r="H24" s="254">
        <v>90</v>
      </c>
      <c r="I24" s="253">
        <f t="shared" si="1"/>
        <v>90</v>
      </c>
      <c r="J24" s="213">
        <f>'خطة الإمداد'!F24</f>
        <v>0</v>
      </c>
      <c r="K24" s="253">
        <v>11</v>
      </c>
      <c r="L24" s="195">
        <f t="shared" si="6"/>
        <v>8.1818181818181817</v>
      </c>
      <c r="M24" s="254">
        <v>30</v>
      </c>
      <c r="N24" s="253">
        <f t="shared" si="3"/>
        <v>30</v>
      </c>
      <c r="O24" s="213">
        <f>'خطة الإمداد'!G24</f>
        <v>0</v>
      </c>
      <c r="P24" s="253">
        <v>1</v>
      </c>
      <c r="Q24" s="195">
        <f>N24/P24</f>
        <v>30</v>
      </c>
      <c r="R24" s="254">
        <v>180</v>
      </c>
      <c r="S24" s="213">
        <f t="shared" si="4"/>
        <v>180</v>
      </c>
      <c r="T24" s="253">
        <f>'خطة الإمداد'!H24</f>
        <v>0</v>
      </c>
      <c r="U24" s="253">
        <v>42</v>
      </c>
      <c r="V24" s="195">
        <f t="shared" si="7"/>
        <v>4.2857142857142856</v>
      </c>
    </row>
    <row r="25" spans="1:26" ht="20.100000000000001" customHeight="1" thickBot="1" x14ac:dyDescent="0.25">
      <c r="A25" s="273">
        <v>18</v>
      </c>
      <c r="B25" s="194" t="s">
        <v>31</v>
      </c>
      <c r="C25" s="255"/>
      <c r="D25" s="255"/>
      <c r="E25" s="255"/>
      <c r="F25" s="255"/>
      <c r="G25" s="255"/>
      <c r="H25" s="254">
        <v>90</v>
      </c>
      <c r="I25" s="253">
        <f t="shared" si="1"/>
        <v>90</v>
      </c>
      <c r="J25" s="213">
        <f>'خطة الإمداد'!F25</f>
        <v>0</v>
      </c>
      <c r="K25" s="253">
        <v>14</v>
      </c>
      <c r="L25" s="195">
        <f t="shared" si="6"/>
        <v>6.4285714285714288</v>
      </c>
      <c r="M25" s="254">
        <v>30</v>
      </c>
      <c r="N25" s="253">
        <f t="shared" si="3"/>
        <v>30</v>
      </c>
      <c r="O25" s="213">
        <f>'خطة الإمداد'!G25</f>
        <v>0</v>
      </c>
      <c r="P25" s="253">
        <v>2</v>
      </c>
      <c r="Q25" s="195">
        <f>N25/P25</f>
        <v>15</v>
      </c>
      <c r="R25" s="254">
        <v>180</v>
      </c>
      <c r="S25" s="213">
        <f t="shared" si="4"/>
        <v>180</v>
      </c>
      <c r="T25" s="253">
        <f>'خطة الإمداد'!H25</f>
        <v>0</v>
      </c>
      <c r="U25" s="253">
        <v>35</v>
      </c>
      <c r="V25" s="195">
        <f t="shared" si="7"/>
        <v>5.1428571428571432</v>
      </c>
      <c r="W25" s="217"/>
    </row>
    <row r="26" spans="1:26" ht="20.100000000000001" customHeight="1" thickBot="1" x14ac:dyDescent="0.25">
      <c r="A26" s="273">
        <v>19</v>
      </c>
      <c r="B26" s="194" t="s">
        <v>32</v>
      </c>
      <c r="C26" s="255"/>
      <c r="D26" s="255"/>
      <c r="E26" s="255"/>
      <c r="F26" s="255"/>
      <c r="G26" s="255"/>
      <c r="H26" s="254">
        <v>90</v>
      </c>
      <c r="I26" s="253">
        <f t="shared" si="1"/>
        <v>90</v>
      </c>
      <c r="J26" s="213">
        <f>'خطة الإمداد'!F26</f>
        <v>0</v>
      </c>
      <c r="K26" s="253">
        <v>6</v>
      </c>
      <c r="L26" s="195">
        <f t="shared" si="6"/>
        <v>15</v>
      </c>
      <c r="M26" s="254">
        <v>30</v>
      </c>
      <c r="N26" s="253">
        <f t="shared" si="3"/>
        <v>30</v>
      </c>
      <c r="O26" s="213">
        <f>'خطة الإمداد'!G26</f>
        <v>0</v>
      </c>
      <c r="P26" s="253">
        <v>1</v>
      </c>
      <c r="Q26" s="195">
        <f>N26/P26</f>
        <v>30</v>
      </c>
      <c r="R26" s="254">
        <v>180</v>
      </c>
      <c r="S26" s="213">
        <f t="shared" si="4"/>
        <v>180</v>
      </c>
      <c r="T26" s="253">
        <f>'خطة الإمداد'!H26</f>
        <v>0</v>
      </c>
      <c r="U26" s="253">
        <v>21</v>
      </c>
      <c r="V26" s="195">
        <f t="shared" si="7"/>
        <v>8.5714285714285712</v>
      </c>
    </row>
    <row r="27" spans="1:26" ht="24.75" customHeight="1" thickBot="1" x14ac:dyDescent="0.25">
      <c r="A27" s="273">
        <v>20</v>
      </c>
      <c r="B27" s="194" t="s">
        <v>33</v>
      </c>
      <c r="C27" s="255"/>
      <c r="D27" s="255"/>
      <c r="E27" s="255"/>
      <c r="F27" s="255"/>
      <c r="G27" s="255"/>
      <c r="H27" s="254">
        <v>90</v>
      </c>
      <c r="I27" s="253">
        <f t="shared" si="1"/>
        <v>90</v>
      </c>
      <c r="J27" s="213">
        <f>'خطة الإمداد'!F27</f>
        <v>0</v>
      </c>
      <c r="K27" s="253">
        <v>7</v>
      </c>
      <c r="L27" s="195">
        <f t="shared" si="6"/>
        <v>12.857142857142858</v>
      </c>
      <c r="M27" s="254">
        <v>30</v>
      </c>
      <c r="N27" s="253">
        <f t="shared" si="3"/>
        <v>30</v>
      </c>
      <c r="O27" s="213">
        <f>'خطة الإمداد'!G27</f>
        <v>0</v>
      </c>
      <c r="P27" s="253">
        <v>1</v>
      </c>
      <c r="Q27" s="195">
        <f>N27/P27</f>
        <v>30</v>
      </c>
      <c r="R27" s="254">
        <v>180</v>
      </c>
      <c r="S27" s="213">
        <f t="shared" si="4"/>
        <v>180</v>
      </c>
      <c r="T27" s="253">
        <f>'خطة الإمداد'!H27</f>
        <v>0</v>
      </c>
      <c r="U27" s="253">
        <v>22</v>
      </c>
      <c r="V27" s="195">
        <f t="shared" si="7"/>
        <v>8.1818181818181817</v>
      </c>
    </row>
    <row r="28" spans="1:26" ht="20.100000000000001" customHeight="1" thickBot="1" x14ac:dyDescent="0.25">
      <c r="A28" s="392" t="s">
        <v>34</v>
      </c>
      <c r="B28" s="392"/>
      <c r="C28" s="198">
        <f t="shared" ref="C28:V28" si="8">SUM(C8:C27)</f>
        <v>150</v>
      </c>
      <c r="D28" s="198">
        <f t="shared" si="8"/>
        <v>150</v>
      </c>
      <c r="E28" s="198">
        <f t="shared" si="8"/>
        <v>0</v>
      </c>
      <c r="F28" s="198">
        <f t="shared" si="8"/>
        <v>21.2</v>
      </c>
      <c r="G28" s="198">
        <f t="shared" si="8"/>
        <v>175.83333333333334</v>
      </c>
      <c r="H28" s="254">
        <f t="shared" si="8"/>
        <v>1740</v>
      </c>
      <c r="I28" s="198">
        <f t="shared" si="8"/>
        <v>1740</v>
      </c>
      <c r="J28" s="198">
        <f t="shared" si="8"/>
        <v>0</v>
      </c>
      <c r="K28" s="198">
        <f t="shared" si="8"/>
        <v>255</v>
      </c>
      <c r="L28" s="199">
        <f t="shared" si="8"/>
        <v>300.66059289008206</v>
      </c>
      <c r="M28" s="254">
        <f t="shared" si="8"/>
        <v>495</v>
      </c>
      <c r="N28" s="198">
        <f t="shared" si="8"/>
        <v>495</v>
      </c>
      <c r="O28" s="198">
        <f t="shared" si="8"/>
        <v>0</v>
      </c>
      <c r="P28" s="198">
        <f t="shared" si="8"/>
        <v>46</v>
      </c>
      <c r="Q28" s="199">
        <f t="shared" si="8"/>
        <v>284.94642857142856</v>
      </c>
      <c r="R28" s="254">
        <f t="shared" si="8"/>
        <v>2220</v>
      </c>
      <c r="S28" s="198">
        <f t="shared" si="8"/>
        <v>2220</v>
      </c>
      <c r="T28" s="198">
        <f t="shared" si="8"/>
        <v>0</v>
      </c>
      <c r="U28" s="198">
        <f t="shared" si="8"/>
        <v>289</v>
      </c>
      <c r="V28" s="199">
        <f t="shared" si="8"/>
        <v>202.94945843630055</v>
      </c>
    </row>
    <row r="29" spans="1:26" ht="20.100000000000001" customHeight="1" thickBot="1" x14ac:dyDescent="0.25">
      <c r="A29" s="379" t="s">
        <v>35</v>
      </c>
      <c r="B29" s="379"/>
      <c r="C29" s="383">
        <f>C28+H28+M28+R28</f>
        <v>4605</v>
      </c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5"/>
    </row>
    <row r="30" spans="1:26" ht="20.100000000000001" customHeight="1" thickBot="1" x14ac:dyDescent="0.25">
      <c r="A30" s="379" t="s">
        <v>36</v>
      </c>
      <c r="B30" s="379"/>
      <c r="C30" s="383">
        <f>D28+I28+N28+S28</f>
        <v>4605</v>
      </c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  <c r="V30" s="385"/>
    </row>
    <row r="31" spans="1:26" ht="20.100000000000001" customHeight="1" thickBot="1" x14ac:dyDescent="0.25">
      <c r="A31" s="379" t="s">
        <v>37</v>
      </c>
      <c r="B31" s="379"/>
      <c r="C31" s="383">
        <f>E28+J28+O28+T28</f>
        <v>0</v>
      </c>
      <c r="D31" s="384"/>
      <c r="E31" s="384"/>
      <c r="F31" s="384"/>
      <c r="G31" s="384"/>
      <c r="H31" s="384"/>
      <c r="I31" s="384"/>
      <c r="J31" s="384"/>
      <c r="K31" s="384"/>
      <c r="L31" s="384"/>
      <c r="M31" s="384"/>
      <c r="N31" s="384"/>
      <c r="O31" s="384"/>
      <c r="P31" s="384"/>
      <c r="Q31" s="384"/>
      <c r="R31" s="384"/>
      <c r="S31" s="384"/>
      <c r="T31" s="384"/>
      <c r="U31" s="384"/>
      <c r="V31" s="385"/>
    </row>
    <row r="32" spans="1:26" ht="15.75" thickBot="1" x14ac:dyDescent="0.25">
      <c r="A32" s="379" t="s">
        <v>38</v>
      </c>
      <c r="B32" s="379"/>
      <c r="C32" s="386">
        <f>C30/C29</f>
        <v>1</v>
      </c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  <c r="Q32" s="387"/>
      <c r="R32" s="387"/>
      <c r="S32" s="387"/>
      <c r="T32" s="387"/>
      <c r="U32" s="387"/>
      <c r="V32" s="388"/>
      <c r="W32" s="200"/>
      <c r="X32" s="200"/>
      <c r="Y32" s="200"/>
      <c r="Z32" s="200"/>
    </row>
    <row r="33" spans="1:22" x14ac:dyDescent="0.2">
      <c r="A33" s="200"/>
      <c r="B33" s="200"/>
      <c r="C33" s="214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0" customWidth="1"/>
    <col min="2" max="2" width="9.125" style="190" customWidth="1"/>
    <col min="3" max="3" width="5.25" style="190" customWidth="1"/>
    <col min="4" max="4" width="6.75" style="190" customWidth="1"/>
    <col min="5" max="5" width="6.25" style="190" customWidth="1"/>
    <col min="6" max="6" width="6.75" style="190" bestFit="1" customWidth="1"/>
    <col min="7" max="7" width="6.875" style="190" customWidth="1"/>
    <col min="8" max="8" width="7" style="190" customWidth="1"/>
    <col min="9" max="10" width="6.375" style="190" customWidth="1"/>
    <col min="11" max="11" width="6.75" style="190" bestFit="1" customWidth="1"/>
    <col min="12" max="12" width="6.875" style="190" bestFit="1" customWidth="1"/>
    <col min="13" max="13" width="6.875" style="190" customWidth="1"/>
    <col min="14" max="14" width="6.75" style="190" customWidth="1"/>
    <col min="15" max="15" width="6" style="190" customWidth="1"/>
    <col min="16" max="16" width="6.75" style="190" bestFit="1" customWidth="1"/>
    <col min="17" max="17" width="6.875" style="190" bestFit="1" customWidth="1"/>
    <col min="18" max="18" width="5.125" style="190" customWidth="1"/>
    <col min="19" max="19" width="8.125" style="190" customWidth="1"/>
    <col min="20" max="20" width="7.625" style="190" customWidth="1"/>
    <col min="21" max="21" width="5.875" style="190" customWidth="1"/>
    <col min="22" max="22" width="7.125" style="190" customWidth="1"/>
    <col min="23" max="23" width="5.375" style="190" customWidth="1"/>
    <col min="24" max="24" width="4.75" style="190" customWidth="1"/>
    <col min="25" max="25" width="7.25" style="190" customWidth="1"/>
    <col min="26" max="26" width="7.375" style="190" customWidth="1"/>
    <col min="27" max="16384" width="9" style="190"/>
  </cols>
  <sheetData>
    <row r="1" spans="1:25" ht="18" x14ac:dyDescent="0.25">
      <c r="A1" s="382" t="s">
        <v>0</v>
      </c>
      <c r="B1" s="382"/>
      <c r="C1" s="382"/>
      <c r="D1" s="382"/>
      <c r="E1" s="382"/>
      <c r="X1" s="378"/>
      <c r="Y1" s="378"/>
    </row>
    <row r="2" spans="1:25" ht="15.75" x14ac:dyDescent="0.25">
      <c r="A2" s="382" t="s">
        <v>1</v>
      </c>
      <c r="B2" s="382"/>
      <c r="C2" s="382"/>
      <c r="D2" s="382"/>
      <c r="E2" s="382"/>
    </row>
    <row r="3" spans="1:25" ht="15.75" x14ac:dyDescent="0.25">
      <c r="A3" s="382" t="s">
        <v>2</v>
      </c>
      <c r="B3" s="382"/>
      <c r="C3" s="382"/>
      <c r="D3" s="382"/>
      <c r="E3" s="382"/>
    </row>
    <row r="5" spans="1:25" ht="32.25" customHeight="1" thickBot="1" x14ac:dyDescent="0.3">
      <c r="G5" s="191"/>
      <c r="H5" s="381" t="s">
        <v>162</v>
      </c>
      <c r="I5" s="381"/>
      <c r="J5" s="381"/>
      <c r="K5" s="381"/>
      <c r="L5" s="381"/>
      <c r="M5" s="381"/>
      <c r="N5" s="381"/>
      <c r="O5" s="381"/>
      <c r="T5" s="192" t="s">
        <v>41</v>
      </c>
    </row>
    <row r="6" spans="1:25" ht="20.100000000000001" customHeight="1" thickBot="1" x14ac:dyDescent="0.25">
      <c r="A6" s="380" t="s">
        <v>14</v>
      </c>
      <c r="B6" s="380" t="s">
        <v>3</v>
      </c>
      <c r="C6" s="380" t="s">
        <v>4</v>
      </c>
      <c r="D6" s="527" t="s">
        <v>5</v>
      </c>
      <c r="E6" s="528"/>
      <c r="F6" s="528"/>
      <c r="G6" s="529"/>
      <c r="H6" s="380" t="s">
        <v>4</v>
      </c>
      <c r="I6" s="527" t="s">
        <v>11</v>
      </c>
      <c r="J6" s="528"/>
      <c r="K6" s="528"/>
      <c r="L6" s="529"/>
      <c r="M6" s="380" t="s">
        <v>4</v>
      </c>
      <c r="N6" s="527" t="s">
        <v>12</v>
      </c>
      <c r="O6" s="528"/>
      <c r="P6" s="528"/>
      <c r="Q6" s="529"/>
      <c r="R6" s="380" t="s">
        <v>4</v>
      </c>
      <c r="S6" s="527" t="s">
        <v>13</v>
      </c>
      <c r="T6" s="528"/>
      <c r="U6" s="528"/>
      <c r="V6" s="529"/>
    </row>
    <row r="7" spans="1:25" ht="20.100000000000001" customHeight="1" thickBot="1" x14ac:dyDescent="0.25">
      <c r="A7" s="380"/>
      <c r="B7" s="380"/>
      <c r="C7" s="380"/>
      <c r="D7" s="193" t="s">
        <v>6</v>
      </c>
      <c r="E7" s="193" t="s">
        <v>7</v>
      </c>
      <c r="F7" s="193" t="s">
        <v>9</v>
      </c>
      <c r="G7" s="193" t="s">
        <v>10</v>
      </c>
      <c r="H7" s="380"/>
      <c r="I7" s="193" t="s">
        <v>6</v>
      </c>
      <c r="J7" s="193" t="s">
        <v>7</v>
      </c>
      <c r="K7" s="193" t="s">
        <v>9</v>
      </c>
      <c r="L7" s="193" t="s">
        <v>10</v>
      </c>
      <c r="M7" s="380"/>
      <c r="N7" s="193" t="s">
        <v>6</v>
      </c>
      <c r="O7" s="193" t="s">
        <v>7</v>
      </c>
      <c r="P7" s="193" t="s">
        <v>9</v>
      </c>
      <c r="Q7" s="193" t="s">
        <v>10</v>
      </c>
      <c r="R7" s="380"/>
      <c r="S7" s="193" t="s">
        <v>6</v>
      </c>
      <c r="T7" s="193" t="s">
        <v>7</v>
      </c>
      <c r="U7" s="193" t="s">
        <v>9</v>
      </c>
      <c r="V7" s="193" t="s">
        <v>10</v>
      </c>
    </row>
    <row r="8" spans="1:25" ht="20.100000000000001" customHeight="1" thickBot="1" x14ac:dyDescent="0.25">
      <c r="A8" s="254">
        <v>1</v>
      </c>
      <c r="B8" s="194" t="s">
        <v>15</v>
      </c>
      <c r="C8" s="255"/>
      <c r="D8" s="255"/>
      <c r="E8" s="255"/>
      <c r="F8" s="255"/>
      <c r="G8" s="255"/>
      <c r="H8" s="254">
        <v>90</v>
      </c>
      <c r="I8" s="253">
        <f>H8-J8</f>
        <v>20</v>
      </c>
      <c r="J8" s="213">
        <f>'خطة الإمداد'!F32</f>
        <v>70</v>
      </c>
      <c r="K8" s="253">
        <v>19</v>
      </c>
      <c r="L8" s="195">
        <f>I8/K8</f>
        <v>1.0526315789473684</v>
      </c>
      <c r="M8" s="254">
        <v>30</v>
      </c>
      <c r="N8" s="253">
        <f>M8-O8</f>
        <v>2</v>
      </c>
      <c r="O8" s="213">
        <f>'خطة الإمداد'!G32</f>
        <v>28</v>
      </c>
      <c r="P8" s="253">
        <v>5</v>
      </c>
      <c r="Q8" s="195">
        <f>N8/P8</f>
        <v>0.4</v>
      </c>
      <c r="R8" s="255"/>
      <c r="S8" s="255"/>
      <c r="T8" s="255"/>
      <c r="U8" s="255"/>
      <c r="V8" s="255"/>
    </row>
    <row r="9" spans="1:25" ht="20.100000000000001" customHeight="1" thickBot="1" x14ac:dyDescent="0.25">
      <c r="A9" s="273">
        <v>2</v>
      </c>
      <c r="B9" s="194" t="s">
        <v>163</v>
      </c>
      <c r="C9" s="278"/>
      <c r="D9" s="278"/>
      <c r="E9" s="278"/>
      <c r="F9" s="278"/>
      <c r="G9" s="278"/>
      <c r="H9" s="273"/>
      <c r="I9" s="272"/>
      <c r="J9" s="213"/>
      <c r="K9" s="272"/>
      <c r="L9" s="195"/>
      <c r="M9" s="273"/>
      <c r="N9" s="272"/>
      <c r="O9" s="213"/>
      <c r="P9" s="272"/>
      <c r="Q9" s="195"/>
      <c r="R9" s="278"/>
      <c r="S9" s="278"/>
      <c r="T9" s="278"/>
      <c r="U9" s="278"/>
      <c r="V9" s="278"/>
    </row>
    <row r="10" spans="1:25" ht="20.100000000000001" customHeight="1" thickBot="1" x14ac:dyDescent="0.25">
      <c r="A10" s="273">
        <v>3</v>
      </c>
      <c r="B10" s="194" t="s">
        <v>16</v>
      </c>
      <c r="C10" s="253">
        <v>30</v>
      </c>
      <c r="D10" s="253">
        <f t="shared" ref="D10:D22" si="0">C10-E10</f>
        <v>13</v>
      </c>
      <c r="E10" s="253">
        <f>'خطة الإمداد'!E35</f>
        <v>17</v>
      </c>
      <c r="F10" s="253">
        <v>4</v>
      </c>
      <c r="G10" s="196">
        <f>D10/F10</f>
        <v>3.25</v>
      </c>
      <c r="H10" s="254">
        <v>60</v>
      </c>
      <c r="I10" s="253">
        <f t="shared" ref="I10:I27" si="1">H10-J10</f>
        <v>17</v>
      </c>
      <c r="J10" s="213">
        <f>'خطة الإمداد'!F35</f>
        <v>43</v>
      </c>
      <c r="K10" s="253">
        <v>21</v>
      </c>
      <c r="L10" s="195">
        <f t="shared" ref="L10:L21" si="2">I10/K10</f>
        <v>0.80952380952380953</v>
      </c>
      <c r="M10" s="254">
        <v>30</v>
      </c>
      <c r="N10" s="253">
        <f t="shared" ref="N10:N27" si="3">M10-O10</f>
        <v>17</v>
      </c>
      <c r="O10" s="213">
        <f>'خطة الإمداد'!G35</f>
        <v>13</v>
      </c>
      <c r="P10" s="253">
        <v>5</v>
      </c>
      <c r="Q10" s="195">
        <f>N10/P10</f>
        <v>3.4</v>
      </c>
      <c r="R10" s="254">
        <v>180</v>
      </c>
      <c r="S10" s="213">
        <f t="shared" ref="S10:S27" si="4">R10-T10</f>
        <v>159</v>
      </c>
      <c r="T10" s="253">
        <f>'خطة الإمداد'!H35</f>
        <v>21</v>
      </c>
      <c r="U10" s="253">
        <v>3</v>
      </c>
      <c r="V10" s="195">
        <f>S10/U10</f>
        <v>53</v>
      </c>
    </row>
    <row r="11" spans="1:25" ht="20.100000000000001" customHeight="1" thickBot="1" x14ac:dyDescent="0.25">
      <c r="A11" s="273">
        <v>4</v>
      </c>
      <c r="B11" s="194" t="s">
        <v>17</v>
      </c>
      <c r="C11" s="253">
        <v>30</v>
      </c>
      <c r="D11" s="253">
        <f t="shared" si="0"/>
        <v>30</v>
      </c>
      <c r="E11" s="253">
        <f>'خطة الإمداد'!E36</f>
        <v>0</v>
      </c>
      <c r="F11" s="253">
        <v>9</v>
      </c>
      <c r="G11" s="196">
        <f>D11/F11</f>
        <v>3.3333333333333335</v>
      </c>
      <c r="H11" s="254">
        <v>60</v>
      </c>
      <c r="I11" s="253">
        <f t="shared" si="1"/>
        <v>-8</v>
      </c>
      <c r="J11" s="213">
        <f>'خطة الإمداد'!F36</f>
        <v>68</v>
      </c>
      <c r="K11" s="253">
        <v>34</v>
      </c>
      <c r="L11" s="195">
        <f t="shared" si="2"/>
        <v>-0.23529411764705882</v>
      </c>
      <c r="M11" s="254">
        <v>30</v>
      </c>
      <c r="N11" s="253">
        <f t="shared" si="3"/>
        <v>7</v>
      </c>
      <c r="O11" s="213">
        <f>'خطة الإمداد'!G36</f>
        <v>23</v>
      </c>
      <c r="P11" s="253">
        <v>8</v>
      </c>
      <c r="Q11" s="195">
        <f>N11/P11</f>
        <v>0.875</v>
      </c>
      <c r="R11" s="255"/>
      <c r="S11" s="255"/>
      <c r="T11" s="255"/>
      <c r="U11" s="255"/>
      <c r="V11" s="255"/>
    </row>
    <row r="12" spans="1:25" ht="20.100000000000001" customHeight="1" thickBot="1" x14ac:dyDescent="0.25">
      <c r="A12" s="273">
        <v>5</v>
      </c>
      <c r="B12" s="194" t="s">
        <v>18</v>
      </c>
      <c r="C12" s="253">
        <v>30</v>
      </c>
      <c r="D12" s="253">
        <f t="shared" si="0"/>
        <v>12</v>
      </c>
      <c r="E12" s="253">
        <f>'خطة الإمداد'!E37</f>
        <v>18</v>
      </c>
      <c r="F12" s="253">
        <v>4</v>
      </c>
      <c r="G12" s="196">
        <f>D12/F12</f>
        <v>3</v>
      </c>
      <c r="H12" s="254">
        <v>90</v>
      </c>
      <c r="I12" s="253">
        <f t="shared" si="1"/>
        <v>23</v>
      </c>
      <c r="J12" s="213">
        <f>'خطة الإمداد'!F37</f>
        <v>67</v>
      </c>
      <c r="K12" s="253">
        <v>19</v>
      </c>
      <c r="L12" s="195">
        <f t="shared" si="2"/>
        <v>1.2105263157894737</v>
      </c>
      <c r="M12" s="255"/>
      <c r="N12" s="255"/>
      <c r="O12" s="255"/>
      <c r="P12" s="255"/>
      <c r="Q12" s="197"/>
      <c r="R12" s="254">
        <v>180</v>
      </c>
      <c r="S12" s="213">
        <f t="shared" si="4"/>
        <v>144</v>
      </c>
      <c r="T12" s="253">
        <f>'خطة الإمداد'!H37</f>
        <v>36</v>
      </c>
      <c r="U12" s="253">
        <v>8</v>
      </c>
      <c r="V12" s="195">
        <f>S12/U12</f>
        <v>18</v>
      </c>
    </row>
    <row r="13" spans="1:25" ht="20.100000000000001" customHeight="1" thickBot="1" x14ac:dyDescent="0.25">
      <c r="A13" s="273">
        <v>6</v>
      </c>
      <c r="B13" s="194" t="s">
        <v>19</v>
      </c>
      <c r="C13" s="253">
        <v>30</v>
      </c>
      <c r="D13" s="253">
        <f t="shared" si="0"/>
        <v>1</v>
      </c>
      <c r="E13" s="253">
        <f>'خطة الإمداد'!E38</f>
        <v>29</v>
      </c>
      <c r="F13" s="253">
        <v>4</v>
      </c>
      <c r="G13" s="196">
        <f>D13/F13</f>
        <v>0.25</v>
      </c>
      <c r="H13" s="254">
        <v>90</v>
      </c>
      <c r="I13" s="253">
        <f t="shared" si="1"/>
        <v>52</v>
      </c>
      <c r="J13" s="213">
        <f>'خطة الإمداد'!F38</f>
        <v>38</v>
      </c>
      <c r="K13" s="253">
        <v>16</v>
      </c>
      <c r="L13" s="195">
        <f t="shared" si="2"/>
        <v>3.25</v>
      </c>
      <c r="M13" s="255"/>
      <c r="N13" s="255"/>
      <c r="O13" s="255"/>
      <c r="P13" s="255"/>
      <c r="Q13" s="197"/>
      <c r="R13" s="254">
        <v>180</v>
      </c>
      <c r="S13" s="213">
        <f t="shared" si="4"/>
        <v>138</v>
      </c>
      <c r="T13" s="253">
        <f>'خطة الإمداد'!H38</f>
        <v>42</v>
      </c>
      <c r="U13" s="253">
        <v>19</v>
      </c>
      <c r="V13" s="195">
        <f>S13/U13</f>
        <v>7.2631578947368425</v>
      </c>
    </row>
    <row r="14" spans="1:25" ht="20.100000000000001" customHeight="1" thickBot="1" x14ac:dyDescent="0.25">
      <c r="A14" s="273">
        <v>7</v>
      </c>
      <c r="B14" s="194" t="s">
        <v>20</v>
      </c>
      <c r="C14" s="255"/>
      <c r="D14" s="255"/>
      <c r="E14" s="255"/>
      <c r="F14" s="255"/>
      <c r="G14" s="255"/>
      <c r="H14" s="254">
        <v>180</v>
      </c>
      <c r="I14" s="253">
        <f t="shared" si="1"/>
        <v>116</v>
      </c>
      <c r="J14" s="213">
        <f>'خطة الإمداد'!F39</f>
        <v>64</v>
      </c>
      <c r="K14" s="253">
        <v>39</v>
      </c>
      <c r="L14" s="195">
        <f t="shared" si="2"/>
        <v>2.9743589743589745</v>
      </c>
      <c r="M14" s="254">
        <v>60</v>
      </c>
      <c r="N14" s="253">
        <f t="shared" si="3"/>
        <v>41</v>
      </c>
      <c r="O14" s="213">
        <f>'خطة الإمداد'!G39</f>
        <v>19</v>
      </c>
      <c r="P14" s="253">
        <v>7</v>
      </c>
      <c r="Q14" s="195">
        <f t="shared" ref="Q14:Q21" si="5">N14/P14</f>
        <v>5.8571428571428568</v>
      </c>
      <c r="R14" s="255"/>
      <c r="S14" s="255"/>
      <c r="T14" s="255"/>
      <c r="U14" s="255"/>
      <c r="V14" s="255"/>
    </row>
    <row r="15" spans="1:25" ht="20.100000000000001" customHeight="1" thickBot="1" x14ac:dyDescent="0.25">
      <c r="A15" s="273">
        <v>8</v>
      </c>
      <c r="B15" s="194" t="s">
        <v>21</v>
      </c>
      <c r="C15" s="255"/>
      <c r="D15" s="255"/>
      <c r="E15" s="255"/>
      <c r="F15" s="255"/>
      <c r="G15" s="255"/>
      <c r="H15" s="254">
        <v>180</v>
      </c>
      <c r="I15" s="253">
        <f t="shared" si="1"/>
        <v>135</v>
      </c>
      <c r="J15" s="213">
        <f>'خطة الإمداد'!F40</f>
        <v>45</v>
      </c>
      <c r="K15" s="253">
        <v>36</v>
      </c>
      <c r="L15" s="195">
        <f t="shared" si="2"/>
        <v>3.75</v>
      </c>
      <c r="M15" s="254">
        <v>45</v>
      </c>
      <c r="N15" s="253">
        <f t="shared" si="3"/>
        <v>21</v>
      </c>
      <c r="O15" s="213">
        <f>'خطة الإمداد'!G40</f>
        <v>24</v>
      </c>
      <c r="P15" s="253">
        <v>8</v>
      </c>
      <c r="Q15" s="195">
        <f t="shared" si="5"/>
        <v>2.625</v>
      </c>
      <c r="R15" s="254">
        <v>120</v>
      </c>
      <c r="S15" s="213">
        <f t="shared" si="4"/>
        <v>50</v>
      </c>
      <c r="T15" s="253">
        <f>'خطة الإمداد'!H40</f>
        <v>70</v>
      </c>
      <c r="U15" s="253">
        <v>26</v>
      </c>
      <c r="V15" s="195">
        <f>S15/U15</f>
        <v>1.9230769230769231</v>
      </c>
    </row>
    <row r="16" spans="1:25" ht="20.100000000000001" customHeight="1" thickBot="1" x14ac:dyDescent="0.25">
      <c r="A16" s="273">
        <v>9</v>
      </c>
      <c r="B16" s="194" t="s">
        <v>22</v>
      </c>
      <c r="C16" s="255"/>
      <c r="D16" s="255"/>
      <c r="E16" s="255"/>
      <c r="F16" s="255"/>
      <c r="G16" s="255"/>
      <c r="H16" s="254">
        <v>90</v>
      </c>
      <c r="I16" s="253">
        <f t="shared" si="1"/>
        <v>65</v>
      </c>
      <c r="J16" s="213">
        <f>'خطة الإمداد'!F41</f>
        <v>25</v>
      </c>
      <c r="K16" s="253">
        <v>6</v>
      </c>
      <c r="L16" s="195">
        <f t="shared" si="2"/>
        <v>10.833333333333334</v>
      </c>
      <c r="M16" s="254">
        <v>30</v>
      </c>
      <c r="N16" s="253">
        <f t="shared" si="3"/>
        <v>11.5</v>
      </c>
      <c r="O16" s="213">
        <f>'خطة الإمداد'!G41</f>
        <v>18.5</v>
      </c>
      <c r="P16" s="253">
        <v>2</v>
      </c>
      <c r="Q16" s="195">
        <f t="shared" si="5"/>
        <v>5.75</v>
      </c>
      <c r="R16" s="254">
        <v>180</v>
      </c>
      <c r="S16" s="213">
        <f t="shared" si="4"/>
        <v>107</v>
      </c>
      <c r="T16" s="253">
        <f>'خطة الإمداد'!H41</f>
        <v>73</v>
      </c>
      <c r="U16" s="253">
        <v>56</v>
      </c>
      <c r="V16" s="195">
        <f>S16/U16</f>
        <v>1.9107142857142858</v>
      </c>
    </row>
    <row r="17" spans="1:23" ht="20.100000000000001" customHeight="1" thickBot="1" x14ac:dyDescent="0.25">
      <c r="A17" s="273">
        <v>10</v>
      </c>
      <c r="B17" s="194" t="s">
        <v>23</v>
      </c>
      <c r="C17" s="255"/>
      <c r="D17" s="255"/>
      <c r="E17" s="255"/>
      <c r="F17" s="255"/>
      <c r="G17" s="255"/>
      <c r="H17" s="254">
        <v>90</v>
      </c>
      <c r="I17" s="253">
        <f t="shared" si="1"/>
        <v>71</v>
      </c>
      <c r="J17" s="213">
        <f>'خطة الإمداد'!F42</f>
        <v>19</v>
      </c>
      <c r="K17" s="253">
        <v>5</v>
      </c>
      <c r="L17" s="195">
        <f t="shared" si="2"/>
        <v>14.2</v>
      </c>
      <c r="M17" s="254">
        <v>30</v>
      </c>
      <c r="N17" s="253">
        <f t="shared" si="3"/>
        <v>10</v>
      </c>
      <c r="O17" s="213">
        <f>'خطة الإمداد'!G42</f>
        <v>20</v>
      </c>
      <c r="P17" s="253">
        <v>1</v>
      </c>
      <c r="Q17" s="195">
        <f t="shared" si="5"/>
        <v>10</v>
      </c>
      <c r="R17" s="254">
        <v>60</v>
      </c>
      <c r="S17" s="186">
        <f t="shared" si="4"/>
        <v>48</v>
      </c>
      <c r="T17" s="253">
        <f>'خطة الإمداد'!H42</f>
        <v>12</v>
      </c>
      <c r="U17" s="253">
        <v>2</v>
      </c>
      <c r="V17" s="253">
        <f>S17/U17</f>
        <v>24</v>
      </c>
    </row>
    <row r="18" spans="1:23" ht="20.100000000000001" customHeight="1" thickBot="1" x14ac:dyDescent="0.25">
      <c r="A18" s="273">
        <v>11</v>
      </c>
      <c r="B18" s="194" t="s">
        <v>24</v>
      </c>
      <c r="C18" s="255"/>
      <c r="D18" s="255"/>
      <c r="E18" s="255"/>
      <c r="F18" s="255"/>
      <c r="G18" s="255"/>
      <c r="H18" s="254">
        <v>60</v>
      </c>
      <c r="I18" s="253">
        <f t="shared" si="1"/>
        <v>31</v>
      </c>
      <c r="J18" s="213">
        <f>'خطة الإمداد'!F43</f>
        <v>29</v>
      </c>
      <c r="K18" s="253">
        <v>2</v>
      </c>
      <c r="L18" s="195">
        <f t="shared" si="2"/>
        <v>15.5</v>
      </c>
      <c r="M18" s="254">
        <v>30</v>
      </c>
      <c r="N18" s="253">
        <f t="shared" si="3"/>
        <v>17</v>
      </c>
      <c r="O18" s="213">
        <f>'خطة الإمداد'!G43</f>
        <v>13</v>
      </c>
      <c r="P18" s="253">
        <v>5</v>
      </c>
      <c r="Q18" s="195">
        <f t="shared" si="5"/>
        <v>3.4</v>
      </c>
      <c r="R18" s="255"/>
      <c r="S18" s="255"/>
      <c r="T18" s="255"/>
      <c r="U18" s="255"/>
      <c r="V18" s="255"/>
    </row>
    <row r="19" spans="1:23" ht="20.100000000000001" customHeight="1" thickBot="1" x14ac:dyDescent="0.25">
      <c r="A19" s="273">
        <v>12</v>
      </c>
      <c r="B19" s="194" t="s">
        <v>26</v>
      </c>
      <c r="C19" s="255"/>
      <c r="D19" s="255"/>
      <c r="E19" s="255"/>
      <c r="F19" s="255"/>
      <c r="G19" s="255"/>
      <c r="H19" s="254">
        <v>90</v>
      </c>
      <c r="I19" s="253">
        <f t="shared" si="1"/>
        <v>64</v>
      </c>
      <c r="J19" s="213">
        <f>'خطة الإمداد'!F44</f>
        <v>26</v>
      </c>
      <c r="K19" s="253">
        <v>6</v>
      </c>
      <c r="L19" s="195">
        <f t="shared" si="2"/>
        <v>10.666666666666666</v>
      </c>
      <c r="M19" s="254">
        <v>30</v>
      </c>
      <c r="N19" s="253">
        <f t="shared" si="3"/>
        <v>15</v>
      </c>
      <c r="O19" s="213">
        <f>'خطة الإمداد'!G44</f>
        <v>15</v>
      </c>
      <c r="P19" s="253">
        <v>2</v>
      </c>
      <c r="Q19" s="195">
        <f t="shared" si="5"/>
        <v>7.5</v>
      </c>
      <c r="R19" s="254">
        <v>180</v>
      </c>
      <c r="S19" s="213">
        <f t="shared" si="4"/>
        <v>148</v>
      </c>
      <c r="T19" s="253">
        <f>'خطة الإمداد'!H44</f>
        <v>32</v>
      </c>
      <c r="U19" s="253">
        <v>16</v>
      </c>
      <c r="V19" s="195">
        <f>S19/U19</f>
        <v>9.25</v>
      </c>
    </row>
    <row r="20" spans="1:23" ht="20.100000000000001" customHeight="1" thickBot="1" x14ac:dyDescent="0.25">
      <c r="A20" s="273">
        <v>13</v>
      </c>
      <c r="B20" s="194" t="s">
        <v>25</v>
      </c>
      <c r="C20" s="255"/>
      <c r="D20" s="255"/>
      <c r="E20" s="255"/>
      <c r="F20" s="255"/>
      <c r="G20" s="255"/>
      <c r="H20" s="254">
        <v>90</v>
      </c>
      <c r="I20" s="253">
        <f t="shared" si="1"/>
        <v>41</v>
      </c>
      <c r="J20" s="213">
        <f>'خطة الإمداد'!F45</f>
        <v>49</v>
      </c>
      <c r="K20" s="253">
        <v>7</v>
      </c>
      <c r="L20" s="195">
        <f t="shared" si="2"/>
        <v>5.8571428571428568</v>
      </c>
      <c r="M20" s="254">
        <v>30</v>
      </c>
      <c r="N20" s="253">
        <f t="shared" si="3"/>
        <v>11</v>
      </c>
      <c r="O20" s="213">
        <f>'خطة الإمداد'!G45</f>
        <v>19</v>
      </c>
      <c r="P20" s="253">
        <v>1</v>
      </c>
      <c r="Q20" s="195">
        <f t="shared" si="5"/>
        <v>11</v>
      </c>
      <c r="R20" s="254">
        <v>180</v>
      </c>
      <c r="S20" s="213">
        <f t="shared" si="4"/>
        <v>138</v>
      </c>
      <c r="T20" s="253">
        <f>'خطة الإمداد'!H45</f>
        <v>42</v>
      </c>
      <c r="U20" s="253">
        <v>18</v>
      </c>
      <c r="V20" s="195">
        <f>S20/U20</f>
        <v>7.666666666666667</v>
      </c>
    </row>
    <row r="21" spans="1:23" ht="20.100000000000001" customHeight="1" thickBot="1" x14ac:dyDescent="0.25">
      <c r="A21" s="273">
        <v>14</v>
      </c>
      <c r="B21" s="194" t="s">
        <v>27</v>
      </c>
      <c r="C21" s="255"/>
      <c r="D21" s="255"/>
      <c r="E21" s="255"/>
      <c r="F21" s="255"/>
      <c r="G21" s="255"/>
      <c r="H21" s="254">
        <v>90</v>
      </c>
      <c r="I21" s="253">
        <f t="shared" si="1"/>
        <v>48</v>
      </c>
      <c r="J21" s="213">
        <f>'خطة الإمداد'!F46</f>
        <v>42</v>
      </c>
      <c r="K21" s="253">
        <v>5</v>
      </c>
      <c r="L21" s="195">
        <f t="shared" si="2"/>
        <v>9.6</v>
      </c>
      <c r="M21" s="254">
        <v>30</v>
      </c>
      <c r="N21" s="253">
        <f t="shared" si="3"/>
        <v>15</v>
      </c>
      <c r="O21" s="213">
        <f>'خطة الإمداد'!G46</f>
        <v>15</v>
      </c>
      <c r="P21" s="253">
        <v>1</v>
      </c>
      <c r="Q21" s="195">
        <f t="shared" si="5"/>
        <v>15</v>
      </c>
      <c r="R21" s="255"/>
      <c r="S21" s="255"/>
      <c r="T21" s="255"/>
      <c r="U21" s="255"/>
      <c r="V21" s="255"/>
    </row>
    <row r="22" spans="1:23" ht="20.100000000000001" customHeight="1" thickBot="1" x14ac:dyDescent="0.25">
      <c r="A22" s="273">
        <v>15</v>
      </c>
      <c r="B22" s="194" t="s">
        <v>28</v>
      </c>
      <c r="C22" s="253">
        <v>30</v>
      </c>
      <c r="D22" s="186">
        <f t="shared" si="0"/>
        <v>19.399999999999999</v>
      </c>
      <c r="E22" s="186">
        <f>'خطة الإمداد'!E47</f>
        <v>10.6</v>
      </c>
      <c r="F22" s="186">
        <v>0.2</v>
      </c>
      <c r="G22" s="186">
        <f>D22/F22</f>
        <v>96.999999999999986</v>
      </c>
      <c r="H22" s="254">
        <v>60</v>
      </c>
      <c r="I22" s="253">
        <f t="shared" si="1"/>
        <v>41</v>
      </c>
      <c r="J22" s="213">
        <f>'خطة الإمداد'!F47</f>
        <v>19</v>
      </c>
      <c r="K22" s="253">
        <v>1</v>
      </c>
      <c r="L22" s="195">
        <f t="shared" ref="L22:L27" si="6">I22/K22</f>
        <v>41</v>
      </c>
      <c r="M22" s="255"/>
      <c r="N22" s="255"/>
      <c r="O22" s="255"/>
      <c r="P22" s="255"/>
      <c r="Q22" s="197"/>
      <c r="R22" s="254">
        <v>120</v>
      </c>
      <c r="S22" s="213">
        <f t="shared" si="4"/>
        <v>84</v>
      </c>
      <c r="T22" s="253">
        <f>'خطة الإمداد'!H47</f>
        <v>36</v>
      </c>
      <c r="U22" s="253">
        <v>14</v>
      </c>
      <c r="V22" s="195">
        <f t="shared" ref="V22:V27" si="7">S22/U22</f>
        <v>6</v>
      </c>
    </row>
    <row r="23" spans="1:23" ht="20.100000000000001" customHeight="1" thickBot="1" x14ac:dyDescent="0.25">
      <c r="A23" s="273">
        <v>16</v>
      </c>
      <c r="B23" s="194" t="s">
        <v>29</v>
      </c>
      <c r="C23" s="255"/>
      <c r="D23" s="255"/>
      <c r="E23" s="255"/>
      <c r="F23" s="255"/>
      <c r="G23" s="255"/>
      <c r="H23" s="254">
        <v>60</v>
      </c>
      <c r="I23" s="253">
        <f t="shared" si="1"/>
        <v>28</v>
      </c>
      <c r="J23" s="213">
        <f>'خطة الإمداد'!F48</f>
        <v>32</v>
      </c>
      <c r="K23" s="253">
        <v>1</v>
      </c>
      <c r="L23" s="195">
        <f t="shared" si="6"/>
        <v>28</v>
      </c>
      <c r="M23" s="255"/>
      <c r="N23" s="255"/>
      <c r="O23" s="255"/>
      <c r="P23" s="255"/>
      <c r="Q23" s="197"/>
      <c r="R23" s="254">
        <v>120</v>
      </c>
      <c r="S23" s="213">
        <f t="shared" si="4"/>
        <v>99</v>
      </c>
      <c r="T23" s="253">
        <f>'خطة الإمداد'!H48</f>
        <v>21</v>
      </c>
      <c r="U23" s="253">
        <v>7</v>
      </c>
      <c r="V23" s="195">
        <f t="shared" si="7"/>
        <v>14.142857142857142</v>
      </c>
    </row>
    <row r="24" spans="1:23" ht="20.100000000000001" customHeight="1" thickBot="1" x14ac:dyDescent="0.25">
      <c r="A24" s="273">
        <v>17</v>
      </c>
      <c r="B24" s="194" t="s">
        <v>30</v>
      </c>
      <c r="C24" s="255"/>
      <c r="D24" s="255"/>
      <c r="E24" s="255"/>
      <c r="F24" s="255"/>
      <c r="G24" s="255"/>
      <c r="H24" s="254">
        <v>90</v>
      </c>
      <c r="I24" s="253">
        <f t="shared" si="1"/>
        <v>64</v>
      </c>
      <c r="J24" s="213">
        <f>'خطة الإمداد'!F49</f>
        <v>26</v>
      </c>
      <c r="K24" s="253">
        <v>11</v>
      </c>
      <c r="L24" s="195">
        <f t="shared" si="6"/>
        <v>5.8181818181818183</v>
      </c>
      <c r="M24" s="254">
        <v>30</v>
      </c>
      <c r="N24" s="253">
        <f t="shared" si="3"/>
        <v>20</v>
      </c>
      <c r="O24" s="213">
        <f>'خطة الإمداد'!G49</f>
        <v>10</v>
      </c>
      <c r="P24" s="253">
        <v>1</v>
      </c>
      <c r="Q24" s="195">
        <f>N24/P24</f>
        <v>20</v>
      </c>
      <c r="R24" s="254">
        <v>180</v>
      </c>
      <c r="S24" s="213">
        <f t="shared" si="4"/>
        <v>101</v>
      </c>
      <c r="T24" s="253">
        <f>'خطة الإمداد'!H49</f>
        <v>79</v>
      </c>
      <c r="U24" s="253">
        <v>42</v>
      </c>
      <c r="V24" s="195">
        <f t="shared" si="7"/>
        <v>2.4047619047619047</v>
      </c>
    </row>
    <row r="25" spans="1:23" ht="20.100000000000001" customHeight="1" thickBot="1" x14ac:dyDescent="0.25">
      <c r="A25" s="273">
        <v>18</v>
      </c>
      <c r="B25" s="194" t="s">
        <v>31</v>
      </c>
      <c r="C25" s="255"/>
      <c r="D25" s="255"/>
      <c r="E25" s="255"/>
      <c r="F25" s="255"/>
      <c r="G25" s="255"/>
      <c r="H25" s="254">
        <v>90</v>
      </c>
      <c r="I25" s="253">
        <f t="shared" si="1"/>
        <v>33</v>
      </c>
      <c r="J25" s="213">
        <f>'خطة الإمداد'!F50</f>
        <v>57</v>
      </c>
      <c r="K25" s="253">
        <v>14</v>
      </c>
      <c r="L25" s="195">
        <f t="shared" si="6"/>
        <v>2.3571428571428572</v>
      </c>
      <c r="M25" s="254">
        <v>30</v>
      </c>
      <c r="N25" s="253">
        <f t="shared" si="3"/>
        <v>14</v>
      </c>
      <c r="O25" s="213">
        <f>'خطة الإمداد'!G50</f>
        <v>16</v>
      </c>
      <c r="P25" s="253">
        <v>2</v>
      </c>
      <c r="Q25" s="195">
        <f>N25/P25</f>
        <v>7</v>
      </c>
      <c r="R25" s="254">
        <v>180</v>
      </c>
      <c r="S25" s="213">
        <f t="shared" si="4"/>
        <v>80</v>
      </c>
      <c r="T25" s="253">
        <f>'خطة الإمداد'!H50</f>
        <v>100</v>
      </c>
      <c r="U25" s="253">
        <v>35</v>
      </c>
      <c r="V25" s="195">
        <f t="shared" si="7"/>
        <v>2.2857142857142856</v>
      </c>
    </row>
    <row r="26" spans="1:23" ht="20.100000000000001" customHeight="1" thickBot="1" x14ac:dyDescent="0.25">
      <c r="A26" s="273">
        <v>19</v>
      </c>
      <c r="B26" s="194" t="s">
        <v>32</v>
      </c>
      <c r="C26" s="255"/>
      <c r="D26" s="255"/>
      <c r="E26" s="255"/>
      <c r="F26" s="255"/>
      <c r="G26" s="255"/>
      <c r="H26" s="254">
        <v>90</v>
      </c>
      <c r="I26" s="253">
        <f t="shared" si="1"/>
        <v>40</v>
      </c>
      <c r="J26" s="213">
        <f>'خطة الإمداد'!F51</f>
        <v>50</v>
      </c>
      <c r="K26" s="253">
        <v>6</v>
      </c>
      <c r="L26" s="195">
        <f t="shared" si="6"/>
        <v>6.666666666666667</v>
      </c>
      <c r="M26" s="254">
        <v>30</v>
      </c>
      <c r="N26" s="253">
        <f t="shared" si="3"/>
        <v>22</v>
      </c>
      <c r="O26" s="213">
        <f>'خطة الإمداد'!G51</f>
        <v>8</v>
      </c>
      <c r="P26" s="253">
        <v>1</v>
      </c>
      <c r="Q26" s="195">
        <f>N26/P26</f>
        <v>22</v>
      </c>
      <c r="R26" s="254">
        <v>180</v>
      </c>
      <c r="S26" s="213">
        <f t="shared" si="4"/>
        <v>140</v>
      </c>
      <c r="T26" s="253">
        <f>'خطة الإمداد'!H51</f>
        <v>40</v>
      </c>
      <c r="U26" s="253">
        <v>21</v>
      </c>
      <c r="V26" s="195">
        <f t="shared" si="7"/>
        <v>6.666666666666667</v>
      </c>
      <c r="W26" s="217"/>
    </row>
    <row r="27" spans="1:23" ht="20.100000000000001" customHeight="1" thickBot="1" x14ac:dyDescent="0.25">
      <c r="A27" s="273">
        <v>20</v>
      </c>
      <c r="B27" s="194" t="s">
        <v>33</v>
      </c>
      <c r="C27" s="255"/>
      <c r="D27" s="255"/>
      <c r="E27" s="255"/>
      <c r="F27" s="255"/>
      <c r="G27" s="255"/>
      <c r="H27" s="254">
        <v>90</v>
      </c>
      <c r="I27" s="253">
        <f t="shared" si="1"/>
        <v>49</v>
      </c>
      <c r="J27" s="213">
        <f>'خطة الإمداد'!F52</f>
        <v>41</v>
      </c>
      <c r="K27" s="253">
        <v>7</v>
      </c>
      <c r="L27" s="195">
        <f t="shared" si="6"/>
        <v>7</v>
      </c>
      <c r="M27" s="254">
        <v>30</v>
      </c>
      <c r="N27" s="253">
        <f t="shared" si="3"/>
        <v>23</v>
      </c>
      <c r="O27" s="213">
        <f>'خطة الإمداد'!G52</f>
        <v>7</v>
      </c>
      <c r="P27" s="253">
        <v>1</v>
      </c>
      <c r="Q27" s="195">
        <f>N27/P27</f>
        <v>23</v>
      </c>
      <c r="R27" s="254">
        <v>180</v>
      </c>
      <c r="S27" s="213">
        <f t="shared" si="4"/>
        <v>141</v>
      </c>
      <c r="T27" s="253">
        <f>'خطة الإمداد'!H52</f>
        <v>39</v>
      </c>
      <c r="U27" s="253">
        <v>22</v>
      </c>
      <c r="V27" s="195">
        <f t="shared" si="7"/>
        <v>6.4090909090909092</v>
      </c>
    </row>
    <row r="28" spans="1:23" ht="24.75" customHeight="1" thickBot="1" x14ac:dyDescent="0.25">
      <c r="A28" s="392" t="s">
        <v>34</v>
      </c>
      <c r="B28" s="392"/>
      <c r="C28" s="198">
        <f>SUM(C8:C27)</f>
        <v>150</v>
      </c>
      <c r="D28" s="198">
        <f>SUM(D8:D27)</f>
        <v>75.400000000000006</v>
      </c>
      <c r="E28" s="198">
        <f t="shared" ref="E28:V28" si="8">SUM(E8:E27)</f>
        <v>74.599999999999994</v>
      </c>
      <c r="F28" s="198">
        <f t="shared" si="8"/>
        <v>21.2</v>
      </c>
      <c r="G28" s="198">
        <f t="shared" si="8"/>
        <v>106.83333333333331</v>
      </c>
      <c r="H28" s="254">
        <f t="shared" si="8"/>
        <v>1740</v>
      </c>
      <c r="I28" s="198">
        <f t="shared" si="8"/>
        <v>930</v>
      </c>
      <c r="J28" s="198">
        <f t="shared" si="8"/>
        <v>810</v>
      </c>
      <c r="K28" s="198">
        <f t="shared" si="8"/>
        <v>255</v>
      </c>
      <c r="L28" s="199">
        <f t="shared" si="8"/>
        <v>170.31088076010676</v>
      </c>
      <c r="M28" s="254">
        <f t="shared" si="8"/>
        <v>495</v>
      </c>
      <c r="N28" s="198">
        <f t="shared" si="8"/>
        <v>246.5</v>
      </c>
      <c r="O28" s="198">
        <f t="shared" si="8"/>
        <v>248.5</v>
      </c>
      <c r="P28" s="198">
        <f t="shared" si="8"/>
        <v>50</v>
      </c>
      <c r="Q28" s="199">
        <f t="shared" si="8"/>
        <v>137.80714285714285</v>
      </c>
      <c r="R28" s="254">
        <f t="shared" si="8"/>
        <v>2220</v>
      </c>
      <c r="S28" s="198">
        <f t="shared" si="8"/>
        <v>1577</v>
      </c>
      <c r="T28" s="198">
        <f t="shared" si="8"/>
        <v>643</v>
      </c>
      <c r="U28" s="198">
        <f t="shared" si="8"/>
        <v>289</v>
      </c>
      <c r="V28" s="199">
        <f t="shared" si="8"/>
        <v>160.92270667928562</v>
      </c>
    </row>
    <row r="29" spans="1:23" ht="20.100000000000001" customHeight="1" thickBot="1" x14ac:dyDescent="0.25">
      <c r="A29" s="379" t="s">
        <v>35</v>
      </c>
      <c r="B29" s="379"/>
      <c r="C29" s="383">
        <f>C28+H28+M28+R28</f>
        <v>4605</v>
      </c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5"/>
    </row>
    <row r="30" spans="1:23" ht="20.100000000000001" customHeight="1" thickBot="1" x14ac:dyDescent="0.25">
      <c r="A30" s="379" t="s">
        <v>36</v>
      </c>
      <c r="B30" s="379"/>
      <c r="C30" s="383">
        <f>D28+I28+N28+S28</f>
        <v>2828.9</v>
      </c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  <c r="V30" s="385"/>
    </row>
    <row r="31" spans="1:23" ht="20.100000000000001" customHeight="1" thickBot="1" x14ac:dyDescent="0.25">
      <c r="A31" s="379" t="s">
        <v>37</v>
      </c>
      <c r="B31" s="379"/>
      <c r="C31" s="383">
        <f>E28+J28+O28+T28</f>
        <v>1776.1</v>
      </c>
      <c r="D31" s="384"/>
      <c r="E31" s="384"/>
      <c r="F31" s="384"/>
      <c r="G31" s="384"/>
      <c r="H31" s="384"/>
      <c r="I31" s="384"/>
      <c r="J31" s="384"/>
      <c r="K31" s="384"/>
      <c r="L31" s="384"/>
      <c r="M31" s="384"/>
      <c r="N31" s="384"/>
      <c r="O31" s="384"/>
      <c r="P31" s="384"/>
      <c r="Q31" s="384"/>
      <c r="R31" s="384"/>
      <c r="S31" s="384"/>
      <c r="T31" s="384"/>
      <c r="U31" s="384"/>
      <c r="V31" s="385"/>
    </row>
    <row r="32" spans="1:23" ht="20.100000000000001" customHeight="1" thickBot="1" x14ac:dyDescent="0.25">
      <c r="A32" s="379" t="s">
        <v>38</v>
      </c>
      <c r="B32" s="379"/>
      <c r="C32" s="386">
        <f>C30/C29</f>
        <v>0.61431053203040176</v>
      </c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  <c r="Q32" s="387"/>
      <c r="R32" s="387"/>
      <c r="S32" s="387"/>
      <c r="T32" s="387"/>
      <c r="U32" s="387"/>
      <c r="V32" s="388"/>
    </row>
    <row r="33" spans="1:26" x14ac:dyDescent="0.2">
      <c r="A33" s="200"/>
      <c r="B33" s="200"/>
      <c r="C33" s="214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0"/>
      <c r="B1" s="70"/>
    </row>
    <row r="2" spans="1:21" ht="15.75" x14ac:dyDescent="0.25">
      <c r="A2" s="70"/>
      <c r="B2" s="70"/>
    </row>
    <row r="3" spans="1:21" ht="15.75" x14ac:dyDescent="0.25">
      <c r="A3" s="70"/>
      <c r="B3" s="70"/>
    </row>
    <row r="5" spans="1:21" ht="16.5" thickBot="1" x14ac:dyDescent="0.3">
      <c r="D5" s="8"/>
      <c r="E5" s="8"/>
      <c r="Q5" s="402" t="s">
        <v>94</v>
      </c>
      <c r="R5" s="402"/>
      <c r="S5" s="402"/>
      <c r="T5" s="402"/>
      <c r="U5" s="402"/>
    </row>
    <row r="6" spans="1:21" ht="15.75" customHeight="1" thickBot="1" x14ac:dyDescent="0.25">
      <c r="A6" s="497" t="s">
        <v>3</v>
      </c>
      <c r="B6" s="536">
        <v>80</v>
      </c>
      <c r="C6" s="537"/>
      <c r="D6" s="536">
        <v>92</v>
      </c>
      <c r="E6" s="537"/>
      <c r="F6" s="536">
        <v>95</v>
      </c>
      <c r="G6" s="537"/>
      <c r="H6" s="536" t="s">
        <v>50</v>
      </c>
      <c r="I6" s="537"/>
      <c r="K6" s="497" t="s">
        <v>3</v>
      </c>
      <c r="L6" s="65">
        <v>80</v>
      </c>
      <c r="M6" s="65">
        <v>92</v>
      </c>
      <c r="N6" s="65">
        <v>95</v>
      </c>
      <c r="O6" s="65" t="s">
        <v>50</v>
      </c>
      <c r="Q6" s="538" t="s">
        <v>3</v>
      </c>
      <c r="R6" s="539" t="s">
        <v>95</v>
      </c>
      <c r="S6" s="539" t="s">
        <v>96</v>
      </c>
      <c r="T6" s="539" t="s">
        <v>97</v>
      </c>
      <c r="U6" s="541" t="s">
        <v>98</v>
      </c>
    </row>
    <row r="7" spans="1:21" ht="15.75" thickBot="1" x14ac:dyDescent="0.25">
      <c r="A7" s="499"/>
      <c r="B7" s="66" t="s">
        <v>7</v>
      </c>
      <c r="C7" s="66" t="s">
        <v>10</v>
      </c>
      <c r="D7" s="66" t="s">
        <v>7</v>
      </c>
      <c r="E7" s="66" t="s">
        <v>10</v>
      </c>
      <c r="F7" s="66" t="s">
        <v>7</v>
      </c>
      <c r="G7" s="66" t="s">
        <v>10</v>
      </c>
      <c r="H7" s="66" t="s">
        <v>7</v>
      </c>
      <c r="I7" s="66" t="s">
        <v>10</v>
      </c>
      <c r="K7" s="499"/>
      <c r="L7" s="66" t="s">
        <v>7</v>
      </c>
      <c r="M7" s="66" t="s">
        <v>7</v>
      </c>
      <c r="N7" s="66" t="s">
        <v>7</v>
      </c>
      <c r="O7" s="66" t="s">
        <v>7</v>
      </c>
      <c r="Q7" s="538"/>
      <c r="R7" s="540"/>
      <c r="S7" s="540"/>
      <c r="T7" s="540"/>
      <c r="U7" s="541"/>
    </row>
    <row r="8" spans="1:21" ht="16.5" thickBot="1" x14ac:dyDescent="0.3">
      <c r="A8" s="69" t="s">
        <v>15</v>
      </c>
      <c r="B8" s="4">
        <f>'التمام الصباحي'!E8</f>
        <v>0</v>
      </c>
      <c r="C8" s="37">
        <f>'التمام الصباحي'!H8</f>
        <v>0</v>
      </c>
      <c r="D8" s="64">
        <f>'التمام الصباحي'!K8</f>
        <v>45</v>
      </c>
      <c r="E8" s="10">
        <f>'التمام الصباحي'!N8</f>
        <v>1.8</v>
      </c>
      <c r="F8" s="64">
        <f>'التمام الصباحي'!Q8</f>
        <v>20</v>
      </c>
      <c r="G8" s="10">
        <f>'التمام الصباحي'!T8</f>
        <v>1.25</v>
      </c>
      <c r="H8" s="4">
        <f>'التمام الصباحي'!W8</f>
        <v>0</v>
      </c>
      <c r="I8" s="37">
        <f>'التمام الصباحي'!Z8</f>
        <v>0</v>
      </c>
      <c r="K8" s="71" t="s">
        <v>15</v>
      </c>
      <c r="L8" s="72"/>
      <c r="M8" s="33">
        <f>IF(D8&gt;101,102,IF(D8&gt;84,85,IF(D8&gt;67,68,IF(D8&gt;50,51,IF(D8&gt;33,34,IF(D8&gt;16,17,0))))))</f>
        <v>34</v>
      </c>
      <c r="N8" s="33">
        <f>IF(F8&gt;101,102,IF(F8&gt;84,85,IF(F8&gt;67,68,IF(F8&gt;50,51,IF(F8&gt;33,34,IF(F8&gt;16,17,0))))))</f>
        <v>17</v>
      </c>
      <c r="O8" s="72"/>
      <c r="P8" s="73"/>
      <c r="Q8" s="74" t="s">
        <v>15</v>
      </c>
      <c r="R8" s="75">
        <f t="shared" ref="R8:R26" si="0">ROUNDDOWN((SUM(L8:O8)/51),0.9)</f>
        <v>1</v>
      </c>
      <c r="S8" s="67"/>
      <c r="T8" s="68"/>
      <c r="U8" s="76"/>
    </row>
    <row r="9" spans="1:21" ht="17.25" thickTop="1" thickBot="1" x14ac:dyDescent="0.3">
      <c r="A9" s="69" t="s">
        <v>16</v>
      </c>
      <c r="B9" s="5">
        <f>'التمام الصباحي'!E11</f>
        <v>12</v>
      </c>
      <c r="C9" s="9">
        <f>'التمام الصباحي'!H11</f>
        <v>3.6</v>
      </c>
      <c r="D9" s="64">
        <f>'التمام الصباحي'!K11</f>
        <v>18</v>
      </c>
      <c r="E9" s="10">
        <f>'التمام الصباحي'!N11</f>
        <v>1.68</v>
      </c>
      <c r="F9" s="64">
        <f>'التمام الصباحي'!Q11</f>
        <v>5</v>
      </c>
      <c r="G9" s="10">
        <f>'التمام الصباحي'!T11</f>
        <v>3.125</v>
      </c>
      <c r="H9" s="5">
        <f>'التمام الصباحي'!W11</f>
        <v>15</v>
      </c>
      <c r="I9" s="10">
        <f>'التمام الصباحي'!Z11</f>
        <v>27.5</v>
      </c>
      <c r="K9" s="77" t="s">
        <v>16</v>
      </c>
      <c r="L9" s="33">
        <f>IF(B9&gt;101,102,IF(B9&gt;84,85,IF(B9&gt;67,68,IF(B9&gt;50,51,IF(B9&gt;33,34,IF(B9&gt;16,17,0))))))</f>
        <v>0</v>
      </c>
      <c r="M9" s="33">
        <f t="shared" ref="M9:M26" si="1">IF(D9&gt;101,102,IF(D9&gt;84,85,IF(D9&gt;67,68,IF(D9&gt;50,51,IF(D9&gt;33,34,IF(D9&gt;16,17,0))))))</f>
        <v>17</v>
      </c>
      <c r="N9" s="33">
        <f t="shared" ref="N9:N26" si="2">IF(F9&gt;101,102,IF(F9&gt;84,85,IF(F9&gt;67,68,IF(F9&gt;50,51,IF(F9&gt;33,34,IF(F9&gt;16,17,0))))))</f>
        <v>0</v>
      </c>
      <c r="O9" s="33">
        <f>IF(H9&gt;101,102,IF(H9&gt;84,85,IF(H9&gt;67,68,IF(H9&gt;50,51,IF(H9&gt;33,34,IF(H9&gt;16,17,0))))))</f>
        <v>0</v>
      </c>
      <c r="P9" s="73"/>
      <c r="Q9" s="78" t="s">
        <v>16</v>
      </c>
      <c r="R9" s="79">
        <f t="shared" si="0"/>
        <v>0</v>
      </c>
      <c r="S9" s="534">
        <f>IF((ROUNDDOWN((SUM(M9:M10)/51)-(R9+R10),0.9))&lt;0,0,(ROUNDDOWN((SUM(M9:M10)/51)-(R9+R10),0.9)))</f>
        <v>0</v>
      </c>
      <c r="T9" s="534">
        <f>IF((ROUNDDOWN((SUM(O9:O10)/51)-(R9+R10),0.9))&lt;0,0,(ROUNDDOWN((SUM(O9:O10)/51)-(R9+R10),0.9)))</f>
        <v>0</v>
      </c>
      <c r="U9" s="534">
        <f>IF((ROUNDDOWN((SUM(L9:O10)/51)-(R9+R10+S9+T9),0.9))&lt;0,0,ROUNDDOWN((SUM(L9:O10)/51)-(R9+R10+S9+T9),0.9))</f>
        <v>0</v>
      </c>
    </row>
    <row r="10" spans="1:21" ht="16.5" thickBot="1" x14ac:dyDescent="0.3">
      <c r="A10" s="69" t="s">
        <v>17</v>
      </c>
      <c r="B10" s="5">
        <f>'التمام الصباحي'!E12</f>
        <v>0</v>
      </c>
      <c r="C10" s="9">
        <f>'التمام الصباحي'!H12</f>
        <v>0</v>
      </c>
      <c r="D10" s="64">
        <f>'التمام الصباحي'!K12</f>
        <v>26</v>
      </c>
      <c r="E10" s="10">
        <f>'التمام الصباحي'!N12</f>
        <v>1.5238095238095237</v>
      </c>
      <c r="F10" s="64">
        <f>'التمام الصباحي'!Q12</f>
        <v>11</v>
      </c>
      <c r="G10" s="10">
        <f>'التمام الصباحي'!T12</f>
        <v>1.5833333333333333</v>
      </c>
      <c r="H10" s="4">
        <f>'التمام الصباحي'!W12</f>
        <v>0</v>
      </c>
      <c r="I10" s="37">
        <f>'التمام الصباحي'!Z12</f>
        <v>0</v>
      </c>
      <c r="K10" s="80" t="s">
        <v>17</v>
      </c>
      <c r="L10" s="33">
        <f t="shared" ref="L10:L21" si="3">IF(B10&gt;101,102,IF(B10&gt;84,85,IF(B10&gt;67,68,IF(B10&gt;50,51,IF(B10&gt;33,34,IF(B10&gt;16,17,0))))))</f>
        <v>0</v>
      </c>
      <c r="M10" s="33">
        <f t="shared" si="1"/>
        <v>17</v>
      </c>
      <c r="N10" s="33">
        <f t="shared" si="2"/>
        <v>0</v>
      </c>
      <c r="O10" s="72"/>
      <c r="P10" s="73"/>
      <c r="Q10" s="81" t="s">
        <v>17</v>
      </c>
      <c r="R10" s="82">
        <f t="shared" si="0"/>
        <v>0</v>
      </c>
      <c r="S10" s="535"/>
      <c r="T10" s="535"/>
      <c r="U10" s="535"/>
    </row>
    <row r="11" spans="1:21" ht="17.25" thickTop="1" thickBot="1" x14ac:dyDescent="0.3">
      <c r="A11" s="69" t="s">
        <v>18</v>
      </c>
      <c r="B11" s="5">
        <f>'التمام الصباحي'!E13</f>
        <v>14</v>
      </c>
      <c r="C11" s="9">
        <f>'التمام الصباحي'!H13</f>
        <v>4</v>
      </c>
      <c r="D11" s="64">
        <f>'التمام الصباحي'!K13</f>
        <v>40</v>
      </c>
      <c r="E11" s="10">
        <f>'التمام الصباحي'!N13</f>
        <v>1.8518518518518519</v>
      </c>
      <c r="F11" s="4">
        <f>'التمام الصباحي'!Q13</f>
        <v>0</v>
      </c>
      <c r="G11" s="37">
        <f>'التمام الصباحي'!T13</f>
        <v>0</v>
      </c>
      <c r="H11" s="5">
        <f>'التمام الصباحي'!W13</f>
        <v>28</v>
      </c>
      <c r="I11" s="10">
        <f>'التمام الصباحي'!Z13</f>
        <v>19</v>
      </c>
      <c r="K11" s="83" t="s">
        <v>18</v>
      </c>
      <c r="L11" s="33">
        <f t="shared" si="3"/>
        <v>0</v>
      </c>
      <c r="M11" s="33">
        <f t="shared" si="1"/>
        <v>34</v>
      </c>
      <c r="N11" s="72"/>
      <c r="O11" s="33">
        <f t="shared" ref="O11:O26" si="4">IF(H11&gt;101,102,IF(H11&gt;84,85,IF(H11&gt;67,68,IF(H11&gt;50,51,IF(H11&gt;33,34,IF(H11&gt;16,17,0))))))</f>
        <v>17</v>
      </c>
      <c r="P11" s="73"/>
      <c r="Q11" s="84" t="s">
        <v>18</v>
      </c>
      <c r="R11" s="85">
        <f t="shared" si="0"/>
        <v>1</v>
      </c>
      <c r="S11" s="530">
        <f>IF((ROUNDDOWN((SUM(M11:M12)/51)-(R11+R12),0.9))&lt;0,0,(ROUNDDOWN((SUM(M11:M12)/51)-(R11+R12),0.9)))</f>
        <v>0</v>
      </c>
      <c r="T11" s="530">
        <f t="shared" ref="T11" si="5">IF((ROUNDDOWN((SUM(O11:O12)/51)-(R11+R12),0.9))&lt;0,0,(ROUNDDOWN((SUM(O11:O12)/51)-(R11+R12),0.9)))</f>
        <v>0</v>
      </c>
      <c r="U11" s="530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69" t="s">
        <v>19</v>
      </c>
      <c r="B12" s="5">
        <f>'التمام الصباحي'!E14</f>
        <v>22</v>
      </c>
      <c r="C12" s="9">
        <f>'التمام الصباحي'!H14</f>
        <v>1.1428571428571428</v>
      </c>
      <c r="D12" s="64">
        <f>'التمام الصباحي'!K14</f>
        <v>16</v>
      </c>
      <c r="E12" s="10">
        <f>'التمام الصباحي'!N14</f>
        <v>3.3636363636363638</v>
      </c>
      <c r="F12" s="4">
        <f>'التمام الصباحي'!Q14</f>
        <v>0</v>
      </c>
      <c r="G12" s="37">
        <f>'التمام الصباحي'!T14</f>
        <v>0</v>
      </c>
      <c r="H12" s="5">
        <f>'التمام الصباحي'!W14</f>
        <v>22</v>
      </c>
      <c r="I12" s="10">
        <f>'التمام الصباحي'!Z14</f>
        <v>7.9</v>
      </c>
      <c r="K12" s="71" t="s">
        <v>19</v>
      </c>
      <c r="L12" s="33">
        <f t="shared" si="3"/>
        <v>17</v>
      </c>
      <c r="M12" s="33">
        <f t="shared" si="1"/>
        <v>0</v>
      </c>
      <c r="N12" s="72"/>
      <c r="O12" s="33">
        <f t="shared" si="4"/>
        <v>17</v>
      </c>
      <c r="P12" s="73"/>
      <c r="Q12" s="86" t="s">
        <v>19</v>
      </c>
      <c r="R12" s="87">
        <f t="shared" si="0"/>
        <v>0</v>
      </c>
      <c r="S12" s="530"/>
      <c r="T12" s="530"/>
      <c r="U12" s="530"/>
    </row>
    <row r="13" spans="1:21" ht="17.25" thickTop="1" thickBot="1" x14ac:dyDescent="0.3">
      <c r="A13" s="69" t="s">
        <v>20</v>
      </c>
      <c r="B13" s="4">
        <f>'التمام الصباحي'!E15</f>
        <v>0</v>
      </c>
      <c r="C13" s="37">
        <f>'التمام الصباحي'!H15</f>
        <v>0</v>
      </c>
      <c r="D13" s="64">
        <f>'التمام الصباحي'!K15</f>
        <v>12</v>
      </c>
      <c r="E13" s="10">
        <f>'التمام الصباحي'!N15</f>
        <v>3.2307692307692308</v>
      </c>
      <c r="F13" s="64">
        <f>'التمام الصباحي'!Q15</f>
        <v>4</v>
      </c>
      <c r="G13" s="10">
        <f>'التمام الصباحي'!T15</f>
        <v>3.7333333333333334</v>
      </c>
      <c r="H13" s="4">
        <f>'التمام الصباحي'!W15</f>
        <v>0</v>
      </c>
      <c r="I13" s="37">
        <f>'التمام الصباحي'!Z15</f>
        <v>0</v>
      </c>
      <c r="K13" s="77" t="s">
        <v>20</v>
      </c>
      <c r="L13" s="72"/>
      <c r="M13" s="33">
        <f t="shared" si="1"/>
        <v>0</v>
      </c>
      <c r="N13" s="33">
        <f t="shared" si="2"/>
        <v>0</v>
      </c>
      <c r="O13" s="72"/>
      <c r="P13" s="73"/>
      <c r="Q13" s="78" t="s">
        <v>20</v>
      </c>
      <c r="R13" s="79">
        <f t="shared" si="0"/>
        <v>0</v>
      </c>
      <c r="S13" s="534">
        <f>IF((ROUNDDOWN((SUM(M13:M14)/51)-(R13+R14),0.9))&lt;0,0,(ROUNDDOWN((SUM(M13:M14)/51)-(R13+R14),0.9)))</f>
        <v>0</v>
      </c>
      <c r="T13" s="534">
        <f t="shared" ref="T13" si="7">IF((ROUNDDOWN((SUM(O13:O14)/51)-(R13+R14),0.9))&lt;0,0,(ROUNDDOWN((SUM(O13:O14)/51)-(R13+R14),0.9)))</f>
        <v>0</v>
      </c>
      <c r="U13" s="534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69" t="s">
        <v>21</v>
      </c>
      <c r="B14" s="4">
        <f>'التمام الصباحي'!E16</f>
        <v>0</v>
      </c>
      <c r="C14" s="37">
        <f>'التمام الصباحي'!H16</f>
        <v>0</v>
      </c>
      <c r="D14" s="64">
        <f>'التمام الصباحي'!K16</f>
        <v>10</v>
      </c>
      <c r="E14" s="10">
        <f>'التمام الصباحي'!N16</f>
        <v>4.8571428571428568</v>
      </c>
      <c r="F14" s="64">
        <f>'التمام الصباحي'!Q16</f>
        <v>13</v>
      </c>
      <c r="G14" s="10">
        <f>'التمام الصباحي'!T16</f>
        <v>2.9090909090909092</v>
      </c>
      <c r="H14" s="5">
        <f>'التمام الصباحي'!W16</f>
        <v>45</v>
      </c>
      <c r="I14" s="10">
        <f>'التمام الصباحي'!Z16</f>
        <v>3</v>
      </c>
      <c r="K14" s="80" t="s">
        <v>21</v>
      </c>
      <c r="L14" s="72"/>
      <c r="M14" s="33">
        <f t="shared" si="1"/>
        <v>0</v>
      </c>
      <c r="N14" s="33">
        <f t="shared" si="2"/>
        <v>0</v>
      </c>
      <c r="O14" s="33">
        <f t="shared" si="4"/>
        <v>34</v>
      </c>
      <c r="P14" s="73"/>
      <c r="Q14" s="81" t="s">
        <v>21</v>
      </c>
      <c r="R14" s="82">
        <f t="shared" si="0"/>
        <v>0</v>
      </c>
      <c r="S14" s="535"/>
      <c r="T14" s="535"/>
      <c r="U14" s="535"/>
    </row>
    <row r="15" spans="1:21" ht="16.5" thickBot="1" x14ac:dyDescent="0.3">
      <c r="A15" s="69" t="s">
        <v>22</v>
      </c>
      <c r="B15" s="4">
        <f>'التمام الصباحي'!E17</f>
        <v>0</v>
      </c>
      <c r="C15" s="37">
        <f>'التمام الصباحي'!H17</f>
        <v>0</v>
      </c>
      <c r="D15" s="64">
        <f>'التمام الصباحي'!K17</f>
        <v>13</v>
      </c>
      <c r="E15" s="10">
        <f>'التمام الصباحي'!N17</f>
        <v>6.416666666666667</v>
      </c>
      <c r="F15" s="64">
        <f>'التمام الصباحي'!Q17</f>
        <v>12.5</v>
      </c>
      <c r="G15" s="10">
        <f>'التمام الصباحي'!T17</f>
        <v>2.9166666666666665</v>
      </c>
      <c r="H15" s="5">
        <f>'التمام الصباحي'!W17</f>
        <v>42</v>
      </c>
      <c r="I15" s="10">
        <f>'التمام الصباحي'!Z17</f>
        <v>4.4516129032258061</v>
      </c>
      <c r="K15" s="88" t="s">
        <v>22</v>
      </c>
      <c r="L15" s="72"/>
      <c r="M15" s="33">
        <f t="shared" si="1"/>
        <v>0</v>
      </c>
      <c r="N15" s="33">
        <f t="shared" si="2"/>
        <v>0</v>
      </c>
      <c r="O15" s="33">
        <f t="shared" si="4"/>
        <v>34</v>
      </c>
      <c r="P15" s="73"/>
      <c r="Q15" s="89" t="s">
        <v>22</v>
      </c>
      <c r="R15" s="90">
        <f t="shared" si="0"/>
        <v>0</v>
      </c>
      <c r="S15" s="91"/>
      <c r="T15" s="92"/>
      <c r="U15" s="93"/>
    </row>
    <row r="16" spans="1:21" ht="17.25" thickTop="1" thickBot="1" x14ac:dyDescent="0.3">
      <c r="A16" s="69" t="s">
        <v>23</v>
      </c>
      <c r="B16" s="4">
        <f>'التمام الصباحي'!E18</f>
        <v>0</v>
      </c>
      <c r="C16" s="37">
        <f>'التمام الصباحي'!H18</f>
        <v>0</v>
      </c>
      <c r="D16" s="64">
        <f>'التمام الصباحي'!K18</f>
        <v>7</v>
      </c>
      <c r="E16" s="10">
        <f>'التمام الصباحي'!N18</f>
        <v>6.916666666666667</v>
      </c>
      <c r="F16" s="64">
        <f>'التمام الصباحي'!Q18</f>
        <v>16</v>
      </c>
      <c r="G16" s="10">
        <f>'التمام الصباحي'!T18</f>
        <v>3.5</v>
      </c>
      <c r="H16" s="5">
        <f>'التمام الصباحي'!W18</f>
        <v>7</v>
      </c>
      <c r="I16" s="10">
        <f>'التمام الصباحي'!Z18</f>
        <v>10.6</v>
      </c>
      <c r="K16" s="77" t="s">
        <v>23</v>
      </c>
      <c r="L16" s="72"/>
      <c r="M16" s="33">
        <f t="shared" si="1"/>
        <v>0</v>
      </c>
      <c r="N16" s="33">
        <f t="shared" si="2"/>
        <v>0</v>
      </c>
      <c r="O16" s="33">
        <f t="shared" si="4"/>
        <v>0</v>
      </c>
      <c r="P16" s="73"/>
      <c r="Q16" s="84" t="s">
        <v>23</v>
      </c>
      <c r="R16" s="85">
        <f t="shared" si="0"/>
        <v>0</v>
      </c>
      <c r="S16" s="532">
        <f>IF((ROUNDDOWN((SUM(M16:M17)/51)-(R16+R17),0.9))&lt;0,0,(ROUNDDOWN((SUM(M16:M17)/51)-(R16+R17),0.9)))</f>
        <v>0</v>
      </c>
      <c r="T16" s="532">
        <f>IF((ROUNDDOWN((SUM(O16:O17)/51)-(R16+R17),0.9))&lt;0,0,(ROUNDDOWN((SUM(O16:O17)/51)-(R16+R17),0.9)))</f>
        <v>0</v>
      </c>
      <c r="U16" s="532">
        <f>IF((ROUNDDOWN((SUM(L16:O17)/51)-(R16+R17+S16+T16),0.9))&lt;0,0,ROUNDDOWN((SUM(L16:O17)/51)-(R16+R17+S16+T16),0.9))</f>
        <v>0</v>
      </c>
    </row>
    <row r="17" spans="1:21" ht="16.5" thickBot="1" x14ac:dyDescent="0.3">
      <c r="A17" s="69" t="s">
        <v>24</v>
      </c>
      <c r="B17" s="4">
        <f>'التمام الصباحي'!E19</f>
        <v>0</v>
      </c>
      <c r="C17" s="37">
        <f>'التمام الصباحي'!H19</f>
        <v>0</v>
      </c>
      <c r="D17" s="64">
        <f>'التمام الصباحي'!K19</f>
        <v>24</v>
      </c>
      <c r="E17" s="10">
        <f>'التمام الصباحي'!N19</f>
        <v>7.2</v>
      </c>
      <c r="F17" s="64">
        <f>'التمام الصباحي'!Q19</f>
        <v>11</v>
      </c>
      <c r="G17" s="10">
        <f>'التمام الصباحي'!T19</f>
        <v>9.5</v>
      </c>
      <c r="H17" s="4">
        <f>'التمام الصباحي'!W19</f>
        <v>0</v>
      </c>
      <c r="I17" s="37">
        <f>'التمام الصباحي'!Z19</f>
        <v>0</v>
      </c>
      <c r="K17" s="80" t="s">
        <v>24</v>
      </c>
      <c r="L17" s="72"/>
      <c r="M17" s="33">
        <f t="shared" si="1"/>
        <v>17</v>
      </c>
      <c r="N17" s="33">
        <f t="shared" si="2"/>
        <v>0</v>
      </c>
      <c r="O17" s="72"/>
      <c r="P17" s="73"/>
      <c r="Q17" s="86" t="s">
        <v>24</v>
      </c>
      <c r="R17" s="87">
        <f t="shared" si="0"/>
        <v>0</v>
      </c>
      <c r="S17" s="533"/>
      <c r="T17" s="533"/>
      <c r="U17" s="533"/>
    </row>
    <row r="18" spans="1:21" ht="16.5" thickBot="1" x14ac:dyDescent="0.3">
      <c r="A18" s="69" t="s">
        <v>26</v>
      </c>
      <c r="B18" s="4">
        <f>'التمام الصباحي'!E20</f>
        <v>0</v>
      </c>
      <c r="C18" s="37">
        <f>'التمام الصباحي'!H20</f>
        <v>0</v>
      </c>
      <c r="D18" s="64">
        <f>'التمام الصباحي'!K20</f>
        <v>22</v>
      </c>
      <c r="E18" s="10">
        <f>'التمام الصباحي'!N20</f>
        <v>17</v>
      </c>
      <c r="F18" s="64">
        <f>'التمام الصباحي'!Q20</f>
        <v>13</v>
      </c>
      <c r="G18" s="10">
        <f>'التمام الصباحي'!T20</f>
        <v>8.5</v>
      </c>
      <c r="H18" s="5">
        <f>'التمام الصباحي'!W20</f>
        <v>25</v>
      </c>
      <c r="I18" s="10">
        <f>'التمام الصباحي'!Z20</f>
        <v>22.142857142857142</v>
      </c>
      <c r="K18" s="88" t="s">
        <v>26</v>
      </c>
      <c r="L18" s="72"/>
      <c r="M18" s="33">
        <f t="shared" si="1"/>
        <v>17</v>
      </c>
      <c r="N18" s="33">
        <f t="shared" si="2"/>
        <v>0</v>
      </c>
      <c r="O18" s="33">
        <f t="shared" si="4"/>
        <v>17</v>
      </c>
      <c r="P18" s="73"/>
      <c r="Q18" s="89" t="s">
        <v>26</v>
      </c>
      <c r="R18" s="90">
        <f t="shared" si="0"/>
        <v>0</v>
      </c>
      <c r="S18" s="91"/>
      <c r="T18" s="92"/>
      <c r="U18" s="94"/>
    </row>
    <row r="19" spans="1:21" ht="17.25" thickTop="1" thickBot="1" x14ac:dyDescent="0.3">
      <c r="A19" s="69" t="s">
        <v>25</v>
      </c>
      <c r="B19" s="4">
        <f>'التمام الصباحي'!E21</f>
        <v>0</v>
      </c>
      <c r="C19" s="37">
        <f>'التمام الصباحي'!H21</f>
        <v>0</v>
      </c>
      <c r="D19" s="64">
        <f>'التمام الصباحي'!K21</f>
        <v>15</v>
      </c>
      <c r="E19" s="10">
        <f>'التمام الصباحي'!N21</f>
        <v>2.2058823529411766</v>
      </c>
      <c r="F19" s="64">
        <f>'التمام الصباحي'!Q21</f>
        <v>6</v>
      </c>
      <c r="G19" s="10">
        <f>'التمام الصباحي'!T21</f>
        <v>1.8461538461538463</v>
      </c>
      <c r="H19" s="5">
        <f>'التمام الصباحي'!W21</f>
        <v>20</v>
      </c>
      <c r="I19" s="10">
        <f>'التمام الصباحي'!Z21</f>
        <v>7.2727272727272725</v>
      </c>
      <c r="K19" s="77" t="s">
        <v>25</v>
      </c>
      <c r="L19" s="72"/>
      <c r="M19" s="33">
        <f t="shared" si="1"/>
        <v>0</v>
      </c>
      <c r="N19" s="33">
        <f t="shared" si="2"/>
        <v>0</v>
      </c>
      <c r="O19" s="33">
        <f t="shared" si="4"/>
        <v>17</v>
      </c>
      <c r="P19" s="73"/>
      <c r="Q19" s="78" t="s">
        <v>25</v>
      </c>
      <c r="R19" s="79">
        <f t="shared" si="0"/>
        <v>0</v>
      </c>
      <c r="S19" s="534">
        <f>IF((ROUNDDOWN((SUM(M19:M20)/51)-(R19+R20),0.9))&lt;0,0,(ROUNDDOWN((SUM(M19:M20)/51)-(R19+R20),0.9)))</f>
        <v>0</v>
      </c>
      <c r="T19" s="534">
        <f>IF((ROUNDDOWN((SUM(O19:O20)/51)-(R19+R20),0.9))&lt;0,0,(ROUNDDOWN((SUM(O19:O20)/51)-(R19+R20),0.9)))</f>
        <v>0</v>
      </c>
      <c r="U19" s="534">
        <f>IF((ROUNDDOWN((SUM(L19:O20)/51)-(R19+R20+S19+T19),0.9))&lt;0,0,ROUNDDOWN((SUM(L19:O20)/51)-(R19+R20+S19+T19),0.9))</f>
        <v>1</v>
      </c>
    </row>
    <row r="20" spans="1:21" ht="16.5" thickBot="1" x14ac:dyDescent="0.3">
      <c r="A20" s="69" t="s">
        <v>27</v>
      </c>
      <c r="B20" s="4">
        <f>'التمام الصباحي'!E22</f>
        <v>0</v>
      </c>
      <c r="C20" s="37">
        <f>'التمام الصباحي'!H22</f>
        <v>0</v>
      </c>
      <c r="D20" s="64">
        <f>'التمام الصباحي'!K22</f>
        <v>34</v>
      </c>
      <c r="E20" s="10">
        <f>'التمام الصباحي'!N22</f>
        <v>7</v>
      </c>
      <c r="F20" s="64">
        <f>'التمام الصباحي'!Q22</f>
        <v>13</v>
      </c>
      <c r="G20" s="10">
        <f>'التمام الصباحي'!T22</f>
        <v>8.5</v>
      </c>
      <c r="H20" s="4">
        <f>'التمام الصباحي'!W22</f>
        <v>0</v>
      </c>
      <c r="I20" s="37">
        <f>'التمام الصباحي'!Z22</f>
        <v>0</v>
      </c>
      <c r="K20" s="80" t="s">
        <v>27</v>
      </c>
      <c r="L20" s="72"/>
      <c r="M20" s="33">
        <f t="shared" si="1"/>
        <v>34</v>
      </c>
      <c r="N20" s="33">
        <f t="shared" si="2"/>
        <v>0</v>
      </c>
      <c r="O20" s="72"/>
      <c r="P20" s="73"/>
      <c r="Q20" s="81" t="s">
        <v>27</v>
      </c>
      <c r="R20" s="82">
        <f t="shared" si="0"/>
        <v>0</v>
      </c>
      <c r="S20" s="535"/>
      <c r="T20" s="535"/>
      <c r="U20" s="535"/>
    </row>
    <row r="21" spans="1:21" ht="17.25" thickTop="1" thickBot="1" x14ac:dyDescent="0.3">
      <c r="A21" s="69" t="s">
        <v>28</v>
      </c>
      <c r="B21" s="5">
        <f>'التمام الصباحي'!E23</f>
        <v>10</v>
      </c>
      <c r="C21" s="9">
        <f>'التمام الصباحي'!H23</f>
        <v>33.333333333333336</v>
      </c>
      <c r="D21" s="64">
        <f>'التمام الصباحي'!K23</f>
        <v>16</v>
      </c>
      <c r="E21" s="10">
        <f>'التمام الصباحي'!N23</f>
        <v>14.666666666666666</v>
      </c>
      <c r="F21" s="4">
        <f>'التمام الصباحي'!Q23</f>
        <v>0</v>
      </c>
      <c r="G21" s="37">
        <f>'التمام الصباحي'!T23</f>
        <v>0</v>
      </c>
      <c r="H21" s="5">
        <f>'التمام الصباحي'!W23</f>
        <v>29</v>
      </c>
      <c r="I21" s="10">
        <f>'التمام الصباحي'!Z23</f>
        <v>13</v>
      </c>
      <c r="K21" s="83" t="s">
        <v>28</v>
      </c>
      <c r="L21" s="33">
        <f t="shared" si="3"/>
        <v>0</v>
      </c>
      <c r="M21" s="33">
        <f t="shared" si="1"/>
        <v>0</v>
      </c>
      <c r="N21" s="72"/>
      <c r="O21" s="33">
        <f t="shared" si="4"/>
        <v>17</v>
      </c>
      <c r="P21" s="73"/>
      <c r="Q21" s="84" t="s">
        <v>28</v>
      </c>
      <c r="R21" s="85">
        <f t="shared" si="0"/>
        <v>0</v>
      </c>
      <c r="S21" s="530">
        <f>IF((ROUNDDOWN((SUM(M21:M22)/51)-(R21+R22),0.9))&lt;0,0,(ROUNDDOWN((SUM(M21:M22)/51)-(R21+R22),0.9)))</f>
        <v>0</v>
      </c>
      <c r="T21" s="532">
        <f>IF((ROUNDDOWN((SUM(O21:O22)/51)-(R21+R22),0.9))&lt;0,0,(ROUNDDOWN((SUM(O21:O22)/51)-(R21+R22),0.9)))</f>
        <v>0</v>
      </c>
      <c r="U21" s="532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69" t="s">
        <v>29</v>
      </c>
      <c r="B22" s="4">
        <f>'التمام الصباحي'!E24</f>
        <v>0</v>
      </c>
      <c r="C22" s="37">
        <f>'التمام الصباحي'!H24</f>
        <v>0</v>
      </c>
      <c r="D22" s="64">
        <f>'التمام الصباحي'!K24</f>
        <v>26</v>
      </c>
      <c r="E22" s="10">
        <f>'التمام الصباحي'!N24</f>
        <v>5.666666666666667</v>
      </c>
      <c r="F22" s="4">
        <f>'التمام الصباحي'!Q24</f>
        <v>0</v>
      </c>
      <c r="G22" s="37">
        <f>'التمام الصباحي'!T24</f>
        <v>0</v>
      </c>
      <c r="H22" s="5">
        <f>'التمام الصباحي'!W24</f>
        <v>16</v>
      </c>
      <c r="I22" s="10">
        <f>'التمام الصباحي'!Z24</f>
        <v>20.8</v>
      </c>
      <c r="K22" s="71" t="s">
        <v>29</v>
      </c>
      <c r="L22" s="72"/>
      <c r="M22" s="33">
        <f t="shared" si="1"/>
        <v>17</v>
      </c>
      <c r="N22" s="72"/>
      <c r="O22" s="33">
        <f t="shared" si="4"/>
        <v>0</v>
      </c>
      <c r="P22" s="73"/>
      <c r="Q22" s="86" t="s">
        <v>29</v>
      </c>
      <c r="R22" s="87">
        <f t="shared" si="0"/>
        <v>0</v>
      </c>
      <c r="S22" s="530"/>
      <c r="T22" s="533"/>
      <c r="U22" s="533"/>
    </row>
    <row r="23" spans="1:21" ht="17.25" thickTop="1" thickBot="1" x14ac:dyDescent="0.3">
      <c r="A23" s="69" t="s">
        <v>30</v>
      </c>
      <c r="B23" s="4">
        <f>'التمام الصباحي'!E25</f>
        <v>0</v>
      </c>
      <c r="C23" s="37">
        <f>'التمام الصباحي'!H25</f>
        <v>0</v>
      </c>
      <c r="D23" s="64">
        <f>'التمام الصباحي'!K25</f>
        <v>11</v>
      </c>
      <c r="E23" s="10">
        <f>'التمام الصباحي'!N25</f>
        <v>5.2666666666666666</v>
      </c>
      <c r="F23" s="64">
        <f>'التمام الصباحي'!Q25</f>
        <v>7</v>
      </c>
      <c r="G23" s="10">
        <f>'التمام الصباحي'!T25</f>
        <v>7.666666666666667</v>
      </c>
      <c r="H23" s="5">
        <f>'التمام الصباحي'!W25</f>
        <v>36</v>
      </c>
      <c r="I23" s="10">
        <f>'التمام الصباحي'!Z25</f>
        <v>3.3488372093023258</v>
      </c>
      <c r="K23" s="77" t="s">
        <v>30</v>
      </c>
      <c r="L23" s="72"/>
      <c r="M23" s="33">
        <f t="shared" si="1"/>
        <v>0</v>
      </c>
      <c r="N23" s="33">
        <f t="shared" si="2"/>
        <v>0</v>
      </c>
      <c r="O23" s="33">
        <f t="shared" si="4"/>
        <v>34</v>
      </c>
      <c r="P23" s="73"/>
      <c r="Q23" s="78" t="s">
        <v>30</v>
      </c>
      <c r="R23" s="79">
        <f t="shared" si="0"/>
        <v>0</v>
      </c>
      <c r="S23" s="534">
        <f>IF((ROUNDDOWN((SUM(M23:M24)/51)-(R23+R24),0.9))&lt;0,0,(ROUNDDOWN((SUM(M23:M24)/51)-(R23+R24),0.9)))</f>
        <v>0</v>
      </c>
      <c r="T23" s="534">
        <f>IF((ROUNDDOWN((SUM(O23:O24)/51)-(R23+R24),0.9))&lt;0,0,(ROUNDDOWN((SUM(O23:O24)/51)-(R23+R24),0.9)))</f>
        <v>0</v>
      </c>
      <c r="U23" s="534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69" t="s">
        <v>31</v>
      </c>
      <c r="B24" s="4">
        <f>'التمام الصباحي'!E26</f>
        <v>0</v>
      </c>
      <c r="C24" s="4">
        <f>'التمام الصباحي'!H26</f>
        <v>0</v>
      </c>
      <c r="D24" s="64">
        <f>'التمام الصباحي'!K26</f>
        <v>40</v>
      </c>
      <c r="E24" s="10">
        <f>'التمام الصباحي'!N26</f>
        <v>2.9411764705882355</v>
      </c>
      <c r="F24" s="64">
        <f>'التمام الصباحي'!Q26</f>
        <v>12</v>
      </c>
      <c r="G24" s="10">
        <f>'التمام الصباحي'!T26</f>
        <v>4.5</v>
      </c>
      <c r="H24" s="5">
        <f>'التمام الصباحي'!W26</f>
        <v>60</v>
      </c>
      <c r="I24" s="10">
        <f>'التمام الصباحي'!Z26</f>
        <v>3</v>
      </c>
      <c r="K24" s="80" t="s">
        <v>31</v>
      </c>
      <c r="L24" s="72"/>
      <c r="M24" s="33">
        <f t="shared" si="1"/>
        <v>34</v>
      </c>
      <c r="N24" s="33">
        <f t="shared" si="2"/>
        <v>0</v>
      </c>
      <c r="O24" s="33">
        <f t="shared" si="4"/>
        <v>51</v>
      </c>
      <c r="P24" s="73"/>
      <c r="Q24" s="81" t="s">
        <v>31</v>
      </c>
      <c r="R24" s="82">
        <f t="shared" si="0"/>
        <v>1</v>
      </c>
      <c r="S24" s="535"/>
      <c r="T24" s="535"/>
      <c r="U24" s="535"/>
    </row>
    <row r="25" spans="1:21" ht="17.25" thickTop="1" thickBot="1" x14ac:dyDescent="0.3">
      <c r="A25" s="69" t="s">
        <v>32</v>
      </c>
      <c r="B25" s="4">
        <f>'التمام الصباحي'!E27</f>
        <v>0</v>
      </c>
      <c r="C25" s="4">
        <f>'التمام الصباحي'!H27</f>
        <v>0</v>
      </c>
      <c r="D25" s="64">
        <f>'التمام الصباحي'!K27</f>
        <v>38</v>
      </c>
      <c r="E25" s="10">
        <f>'التمام الصباحي'!N27</f>
        <v>4.333333333333333</v>
      </c>
      <c r="F25" s="64">
        <f>'التمام الصباحي'!Q27</f>
        <v>6</v>
      </c>
      <c r="G25" s="10">
        <f>'التمام الصباحي'!T27</f>
        <v>12</v>
      </c>
      <c r="H25" s="5">
        <f>'التمام الصباحي'!W27</f>
        <v>18</v>
      </c>
      <c r="I25" s="10">
        <f>'التمام الصباحي'!Z27</f>
        <v>7.3636363636363633</v>
      </c>
      <c r="K25" s="83" t="s">
        <v>32</v>
      </c>
      <c r="L25" s="72"/>
      <c r="M25" s="33">
        <f t="shared" si="1"/>
        <v>34</v>
      </c>
      <c r="N25" s="33">
        <f t="shared" si="2"/>
        <v>0</v>
      </c>
      <c r="O25" s="33">
        <f t="shared" si="4"/>
        <v>17</v>
      </c>
      <c r="P25" s="73"/>
      <c r="Q25" s="84" t="s">
        <v>32</v>
      </c>
      <c r="R25" s="85">
        <f t="shared" si="0"/>
        <v>1</v>
      </c>
      <c r="S25" s="530">
        <f>IF((ROUNDDOWN((SUM(M25:M26)/51)-(R25+R26),0.9))&lt;0,0,(ROUNDDOWN((SUM(M25:M26)/51)-(R25+R26),0.9)))</f>
        <v>0</v>
      </c>
      <c r="T25" s="530">
        <f>IF((ROUNDDOWN((SUM(O25:O26)/51)-(R25+R26),0.9))&lt;0,0,(ROUNDDOWN((SUM(O25:O26)/51)-(R25+R26),0.9)))</f>
        <v>0</v>
      </c>
      <c r="U25" s="530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69" t="s">
        <v>33</v>
      </c>
      <c r="B26" s="4">
        <f>'التمام الصباحي'!E28</f>
        <v>0</v>
      </c>
      <c r="C26" s="4">
        <f>'التمام الصباحي'!H28</f>
        <v>0</v>
      </c>
      <c r="D26" s="64">
        <f>'التمام الصباحي'!K28</f>
        <v>32</v>
      </c>
      <c r="E26" s="10">
        <f>'التمام الصباحي'!N28</f>
        <v>6.4444444444444446</v>
      </c>
      <c r="F26" s="64">
        <f>'التمام الصباحي'!Q28</f>
        <v>5</v>
      </c>
      <c r="G26" s="10">
        <f>'التمام الصباحي'!T28</f>
        <v>12.5</v>
      </c>
      <c r="H26" s="5">
        <f>'التمام الصباحي'!W28</f>
        <v>20</v>
      </c>
      <c r="I26" s="10">
        <f>'التمام الصباحي'!Z28</f>
        <v>8.4210526315789469</v>
      </c>
      <c r="K26" s="69" t="s">
        <v>33</v>
      </c>
      <c r="L26" s="72"/>
      <c r="M26" s="33">
        <f t="shared" si="1"/>
        <v>17</v>
      </c>
      <c r="N26" s="33">
        <f t="shared" si="2"/>
        <v>0</v>
      </c>
      <c r="O26" s="33">
        <f t="shared" si="4"/>
        <v>17</v>
      </c>
      <c r="P26" s="73"/>
      <c r="Q26" s="43" t="s">
        <v>33</v>
      </c>
      <c r="R26" s="95">
        <f t="shared" si="0"/>
        <v>0</v>
      </c>
      <c r="S26" s="531"/>
      <c r="T26" s="531"/>
      <c r="U26" s="531"/>
    </row>
    <row r="29" spans="1:21" ht="15.75" x14ac:dyDescent="0.2">
      <c r="K29" s="151" t="s">
        <v>117</v>
      </c>
      <c r="M29">
        <f>SUM(L8:O26)</f>
        <v>578</v>
      </c>
      <c r="U29" s="130">
        <f>SUM(R8:U26)</f>
        <v>6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58" customWidth="1"/>
    <col min="2" max="2" width="10.625" style="158" customWidth="1"/>
    <col min="3" max="4" width="9" style="158"/>
    <col min="5" max="5" width="3.375" style="158" customWidth="1"/>
    <col min="6" max="6" width="12.25" style="158" customWidth="1"/>
    <col min="7" max="9" width="9" style="158"/>
    <col min="10" max="10" width="11.375" style="158" customWidth="1"/>
    <col min="11" max="11" width="10" style="158" customWidth="1"/>
    <col min="12" max="12" width="8.75" style="158" customWidth="1"/>
    <col min="13" max="13" width="10.125" style="158" customWidth="1"/>
    <col min="14" max="14" width="10" style="158" customWidth="1"/>
    <col min="15" max="15" width="9" style="158"/>
    <col min="16" max="16" width="10.625" style="158" customWidth="1"/>
    <col min="17" max="16384" width="9" style="158"/>
  </cols>
  <sheetData>
    <row r="3" spans="2:20" ht="15.75" thickBot="1" x14ac:dyDescent="0.25">
      <c r="B3" s="544" t="s">
        <v>123</v>
      </c>
      <c r="C3" s="544"/>
      <c r="D3" s="544"/>
      <c r="F3" s="544" t="s">
        <v>124</v>
      </c>
      <c r="G3" s="544"/>
      <c r="H3" s="544"/>
      <c r="J3" s="420" t="s">
        <v>125</v>
      </c>
      <c r="K3" s="420"/>
      <c r="M3" s="420" t="s">
        <v>127</v>
      </c>
      <c r="N3" s="420"/>
      <c r="P3" s="420" t="s">
        <v>126</v>
      </c>
      <c r="Q3" s="420"/>
    </row>
    <row r="4" spans="2:20" ht="15.75" thickBot="1" x14ac:dyDescent="0.25">
      <c r="B4" s="497" t="s">
        <v>3</v>
      </c>
      <c r="C4" s="412" t="s">
        <v>84</v>
      </c>
      <c r="D4" s="412" t="s">
        <v>88</v>
      </c>
      <c r="F4" s="497" t="s">
        <v>3</v>
      </c>
      <c r="G4" s="412" t="s">
        <v>84</v>
      </c>
      <c r="H4" s="412" t="s">
        <v>88</v>
      </c>
      <c r="J4" s="497" t="s">
        <v>3</v>
      </c>
      <c r="K4" s="412" t="s">
        <v>85</v>
      </c>
      <c r="L4" s="556"/>
      <c r="M4" s="497" t="s">
        <v>3</v>
      </c>
      <c r="N4" s="412" t="s">
        <v>109</v>
      </c>
      <c r="P4" s="497" t="s">
        <v>3</v>
      </c>
      <c r="Q4" s="412" t="s">
        <v>90</v>
      </c>
    </row>
    <row r="5" spans="2:20" ht="15.75" thickBot="1" x14ac:dyDescent="0.25">
      <c r="B5" s="499"/>
      <c r="C5" s="412"/>
      <c r="D5" s="412"/>
      <c r="F5" s="499"/>
      <c r="G5" s="412"/>
      <c r="H5" s="412"/>
      <c r="J5" s="499"/>
      <c r="K5" s="412"/>
      <c r="L5" s="556"/>
      <c r="M5" s="499"/>
      <c r="N5" s="412"/>
      <c r="P5" s="499"/>
      <c r="Q5" s="412"/>
    </row>
    <row r="6" spans="2:20" ht="16.5" thickBot="1" x14ac:dyDescent="0.25">
      <c r="B6" s="157" t="s">
        <v>120</v>
      </c>
      <c r="C6" s="539">
        <f>IF(G20&gt;H20,$C$21*2*$K$21,IF(G20=H20,$C$21*2*$K$21,0))</f>
        <v>72</v>
      </c>
      <c r="D6" s="539">
        <f>IF(G20&gt;H20,$D$21*2*$L$21,IF(G20=H20,$D$21*2*$L$21,0))</f>
        <v>0</v>
      </c>
      <c r="F6" s="157" t="s">
        <v>120</v>
      </c>
      <c r="G6" s="539">
        <f>IF(H20&gt;G20,$C$21*2*$K$21,0)</f>
        <v>0</v>
      </c>
      <c r="H6" s="539">
        <f>IF(H20&gt;G20,$D$21*2*$L$21,0)</f>
        <v>0</v>
      </c>
      <c r="J6" s="157" t="s">
        <v>22</v>
      </c>
      <c r="K6" s="156">
        <f>C31*2*N22</f>
        <v>0</v>
      </c>
      <c r="M6" s="157" t="s">
        <v>25</v>
      </c>
      <c r="N6" s="539">
        <f>C36*2*P25</f>
        <v>0</v>
      </c>
      <c r="P6" s="157" t="s">
        <v>30</v>
      </c>
      <c r="Q6" s="539">
        <f>C42*2*O28</f>
        <v>108</v>
      </c>
    </row>
    <row r="7" spans="2:20" ht="16.5" thickBot="1" x14ac:dyDescent="0.25">
      <c r="B7" s="157" t="s">
        <v>121</v>
      </c>
      <c r="C7" s="540"/>
      <c r="D7" s="540"/>
      <c r="F7" s="157" t="s">
        <v>121</v>
      </c>
      <c r="G7" s="540"/>
      <c r="H7" s="540"/>
      <c r="J7" s="157" t="s">
        <v>23</v>
      </c>
      <c r="K7" s="539">
        <f>C32*2*N23</f>
        <v>0</v>
      </c>
      <c r="M7" s="157" t="s">
        <v>27</v>
      </c>
      <c r="N7" s="540"/>
      <c r="P7" s="157" t="s">
        <v>31</v>
      </c>
      <c r="Q7" s="540"/>
    </row>
    <row r="8" spans="2:20" ht="16.5" thickBot="1" x14ac:dyDescent="0.25">
      <c r="B8" s="157" t="s">
        <v>122</v>
      </c>
      <c r="C8" s="156">
        <f>IF(G20&gt;H20,$C$23*2*$K$30,IF(G20=F20,$C$23*2*$K$30,0))</f>
        <v>0</v>
      </c>
      <c r="D8" s="156">
        <f>IF(G20&gt;H20,$D$23*2*$L$30,IF(G20=H20,$D$23*2*$L$30,0))</f>
        <v>0</v>
      </c>
      <c r="F8" s="157" t="s">
        <v>122</v>
      </c>
      <c r="G8" s="156">
        <f>IF(H20&gt;G20,$C$23*2*$K$30,0)</f>
        <v>0</v>
      </c>
      <c r="H8" s="156">
        <f>IF(H20&gt;G20,$D$23*2*$L$30,0)</f>
        <v>0</v>
      </c>
      <c r="J8" s="157" t="s">
        <v>24</v>
      </c>
      <c r="K8" s="540"/>
      <c r="M8" s="157" t="s">
        <v>112</v>
      </c>
      <c r="N8" s="156"/>
      <c r="P8" s="157" t="s">
        <v>32</v>
      </c>
      <c r="Q8" s="539">
        <f>C44*2*O29</f>
        <v>0</v>
      </c>
    </row>
    <row r="9" spans="2:20" ht="16.5" thickBot="1" x14ac:dyDescent="0.25">
      <c r="B9" s="157" t="s">
        <v>16</v>
      </c>
      <c r="C9" s="539">
        <f>IF(G20&gt;H20,$C$24*2*$K$18,IF(G20=H20,$C$24*2*$K$18,0))</f>
        <v>32</v>
      </c>
      <c r="D9" s="539">
        <f>IF(G20&gt;H20,$D$24*2*$L$18,IF(G20=H20,$D$24*2*$L$18,0))</f>
        <v>0</v>
      </c>
      <c r="F9" s="157" t="s">
        <v>16</v>
      </c>
      <c r="G9" s="539">
        <f>IF(H20&gt;G20,$C$24*2*$K$18,0)</f>
        <v>0</v>
      </c>
      <c r="H9" s="539">
        <f>IF(H20&gt;G20,$D$24*2*$L$18,0)</f>
        <v>0</v>
      </c>
      <c r="J9" s="157" t="s">
        <v>26</v>
      </c>
      <c r="K9" s="156">
        <f>C34*2*N24</f>
        <v>0</v>
      </c>
      <c r="M9" s="157" t="s">
        <v>28</v>
      </c>
      <c r="N9" s="539">
        <f>C39*2*P27</f>
        <v>304</v>
      </c>
      <c r="P9" s="157" t="s">
        <v>33</v>
      </c>
      <c r="Q9" s="540"/>
    </row>
    <row r="10" spans="2:20" ht="16.5" thickBot="1" x14ac:dyDescent="0.25">
      <c r="B10" s="157" t="s">
        <v>17</v>
      </c>
      <c r="C10" s="540"/>
      <c r="D10" s="540"/>
      <c r="F10" s="157" t="s">
        <v>17</v>
      </c>
      <c r="G10" s="540"/>
      <c r="H10" s="540"/>
      <c r="M10" s="157" t="s">
        <v>29</v>
      </c>
      <c r="N10" s="540"/>
    </row>
    <row r="11" spans="2:20" ht="16.5" thickBot="1" x14ac:dyDescent="0.25">
      <c r="B11" s="157" t="s">
        <v>18</v>
      </c>
      <c r="C11" s="539">
        <f>IF(G20&gt;H20,$C$26*2*$K$19,IF(G20=H20,$C$26*2*$K$19,0))</f>
        <v>64</v>
      </c>
      <c r="D11" s="539">
        <f>IF(G20&gt;H20,$D$26*2*$L$19,IF(G20=H20,$D$26*2*$L$19,0))</f>
        <v>96</v>
      </c>
      <c r="F11" s="157" t="s">
        <v>18</v>
      </c>
      <c r="G11" s="539">
        <f>IF(H20&gt;G20,$C$26*2*$K$19,0)</f>
        <v>0</v>
      </c>
      <c r="H11" s="539">
        <f>IF(H20&gt;G20,$D$26*2*$L$19,0)</f>
        <v>0</v>
      </c>
    </row>
    <row r="12" spans="2:20" ht="16.5" thickBot="1" x14ac:dyDescent="0.25">
      <c r="B12" s="157" t="s">
        <v>19</v>
      </c>
      <c r="C12" s="540"/>
      <c r="D12" s="540"/>
      <c r="F12" s="157" t="s">
        <v>19</v>
      </c>
      <c r="G12" s="540"/>
      <c r="H12" s="540"/>
      <c r="J12" s="545" t="s">
        <v>154</v>
      </c>
      <c r="K12" s="174">
        <f>K6+K7+K9</f>
        <v>0</v>
      </c>
      <c r="M12" s="545" t="s">
        <v>154</v>
      </c>
      <c r="N12" s="174">
        <f>SUM(N6:N10)</f>
        <v>304</v>
      </c>
      <c r="P12" s="545" t="s">
        <v>154</v>
      </c>
      <c r="Q12" s="174">
        <f>SUM(Q6:Q9)</f>
        <v>108</v>
      </c>
    </row>
    <row r="13" spans="2:20" ht="18" customHeight="1" thickBot="1" x14ac:dyDescent="0.25">
      <c r="B13" s="157" t="s">
        <v>20</v>
      </c>
      <c r="C13" s="539">
        <f>IF(G20&gt;H20,$C$28*2*$K$20,IF(G20=H20,$C$28*2*$K$20,0))</f>
        <v>234</v>
      </c>
      <c r="D13" s="539">
        <f>IF(G20&gt;H20,$D$28*2*$L$20,IF(G20=H20,$D$28*2*$L$20,0))</f>
        <v>110</v>
      </c>
      <c r="F13" s="157" t="s">
        <v>20</v>
      </c>
      <c r="G13" s="539">
        <f>IF(H20&gt;G20,$C$28*2*$K$20,0)</f>
        <v>0</v>
      </c>
      <c r="H13" s="539">
        <f>IF(H20&gt;G20,$D$28*2*$L$20,0)</f>
        <v>0</v>
      </c>
      <c r="J13" s="545"/>
      <c r="K13" s="174"/>
      <c r="M13" s="545"/>
      <c r="N13" s="174"/>
      <c r="P13" s="545"/>
      <c r="Q13" s="174"/>
    </row>
    <row r="14" spans="2:20" ht="16.5" thickBot="1" x14ac:dyDescent="0.25">
      <c r="B14" s="157" t="s">
        <v>21</v>
      </c>
      <c r="C14" s="540"/>
      <c r="D14" s="540"/>
      <c r="F14" s="157" t="s">
        <v>21</v>
      </c>
      <c r="G14" s="540"/>
      <c r="H14" s="540"/>
    </row>
    <row r="15" spans="2:20" ht="15.75" thickBot="1" x14ac:dyDescent="0.25"/>
    <row r="16" spans="2:20" ht="18" customHeight="1" x14ac:dyDescent="0.2">
      <c r="B16" s="174" t="s">
        <v>154</v>
      </c>
      <c r="D16" s="158">
        <f>SUM(C6:D14)</f>
        <v>608</v>
      </c>
      <c r="H16" s="158">
        <f>SUM(G6:H14)</f>
        <v>0</v>
      </c>
      <c r="J16" s="552" t="s">
        <v>130</v>
      </c>
      <c r="K16" s="546" t="s">
        <v>131</v>
      </c>
      <c r="L16" s="546"/>
      <c r="M16" s="546"/>
      <c r="N16" s="546" t="s">
        <v>85</v>
      </c>
      <c r="O16" s="546" t="s">
        <v>132</v>
      </c>
      <c r="P16" s="546" t="s">
        <v>86</v>
      </c>
      <c r="Q16" s="546" t="s">
        <v>119</v>
      </c>
      <c r="R16" s="542" t="s">
        <v>133</v>
      </c>
      <c r="S16" s="542" t="s">
        <v>134</v>
      </c>
      <c r="T16" s="542" t="s">
        <v>135</v>
      </c>
    </row>
    <row r="17" spans="2:20" ht="18" x14ac:dyDescent="0.2">
      <c r="B17" s="173"/>
      <c r="J17" s="553"/>
      <c r="K17" s="161" t="s">
        <v>136</v>
      </c>
      <c r="L17" s="161" t="s">
        <v>137</v>
      </c>
      <c r="M17" s="161" t="s">
        <v>138</v>
      </c>
      <c r="N17" s="547"/>
      <c r="O17" s="547"/>
      <c r="P17" s="547"/>
      <c r="Q17" s="547"/>
      <c r="R17" s="543"/>
      <c r="S17" s="543"/>
      <c r="T17" s="543"/>
    </row>
    <row r="18" spans="2:20" ht="16.5" thickBot="1" x14ac:dyDescent="0.25">
      <c r="B18" s="544" t="s">
        <v>129</v>
      </c>
      <c r="C18" s="544"/>
      <c r="D18" s="544"/>
      <c r="F18" s="544"/>
      <c r="G18" s="544"/>
      <c r="H18" s="544"/>
      <c r="J18" s="162" t="s">
        <v>139</v>
      </c>
      <c r="K18" s="164">
        <v>16</v>
      </c>
      <c r="L18" s="164">
        <v>35</v>
      </c>
      <c r="M18" s="164">
        <v>76</v>
      </c>
      <c r="N18" s="165"/>
      <c r="O18" s="165"/>
      <c r="P18" s="165"/>
      <c r="Q18" s="165"/>
      <c r="R18" s="166"/>
      <c r="S18" s="166"/>
      <c r="T18" s="166"/>
    </row>
    <row r="19" spans="2:20" ht="16.5" thickBot="1" x14ac:dyDescent="0.25">
      <c r="B19" s="497" t="s">
        <v>3</v>
      </c>
      <c r="C19" s="503" t="s">
        <v>84</v>
      </c>
      <c r="D19" s="503" t="s">
        <v>88</v>
      </c>
      <c r="F19" s="160" t="s">
        <v>147</v>
      </c>
      <c r="G19" s="160">
        <v>1</v>
      </c>
      <c r="H19" s="160">
        <v>2</v>
      </c>
      <c r="J19" s="162" t="s">
        <v>140</v>
      </c>
      <c r="K19" s="164">
        <v>32</v>
      </c>
      <c r="L19" s="164">
        <v>48</v>
      </c>
      <c r="M19" s="164">
        <v>83</v>
      </c>
      <c r="N19" s="165"/>
      <c r="O19" s="165"/>
      <c r="P19" s="165"/>
      <c r="Q19" s="165"/>
      <c r="R19" s="166"/>
      <c r="S19" s="166"/>
      <c r="T19" s="166"/>
    </row>
    <row r="20" spans="2:20" ht="16.5" thickBot="1" x14ac:dyDescent="0.25">
      <c r="B20" s="499"/>
      <c r="C20" s="503"/>
      <c r="D20" s="503"/>
      <c r="F20" s="155" t="s">
        <v>101</v>
      </c>
      <c r="G20" s="156">
        <v>6000</v>
      </c>
      <c r="H20" s="156">
        <v>6000</v>
      </c>
      <c r="J20" s="162" t="s">
        <v>141</v>
      </c>
      <c r="K20" s="164">
        <v>39</v>
      </c>
      <c r="L20" s="164">
        <v>55</v>
      </c>
      <c r="M20" s="164">
        <v>96</v>
      </c>
      <c r="N20" s="165"/>
      <c r="O20" s="165"/>
      <c r="P20" s="165"/>
      <c r="Q20" s="165"/>
      <c r="R20" s="166"/>
      <c r="S20" s="166"/>
      <c r="T20" s="166"/>
    </row>
    <row r="21" spans="2:20" ht="16.5" thickBot="1" x14ac:dyDescent="0.25">
      <c r="B21" s="157" t="s">
        <v>120</v>
      </c>
      <c r="C21" s="539">
        <f>ROUNDDOWN(SUM(المستودعات!C5:F5)/51,0.9)</f>
        <v>1</v>
      </c>
      <c r="D21" s="539">
        <f>ROUNDDOWN(SUM(المستودعات!G5:I5)/51,0.9)</f>
        <v>0</v>
      </c>
      <c r="F21" s="155" t="s">
        <v>85</v>
      </c>
      <c r="G21" s="159">
        <v>8000</v>
      </c>
      <c r="J21" s="162" t="s">
        <v>148</v>
      </c>
      <c r="K21" s="167">
        <v>36</v>
      </c>
      <c r="L21" s="167">
        <v>40</v>
      </c>
      <c r="M21" s="167">
        <v>68</v>
      </c>
      <c r="N21" s="164">
        <v>143</v>
      </c>
      <c r="O21" s="165"/>
      <c r="P21" s="165"/>
      <c r="Q21" s="165"/>
      <c r="R21" s="166"/>
      <c r="S21" s="166"/>
      <c r="T21" s="166"/>
    </row>
    <row r="22" spans="2:20" ht="16.5" thickBot="1" x14ac:dyDescent="0.25">
      <c r="B22" s="157" t="s">
        <v>121</v>
      </c>
      <c r="C22" s="540"/>
      <c r="D22" s="540"/>
      <c r="F22" s="155" t="s">
        <v>109</v>
      </c>
      <c r="G22" s="159">
        <v>8000</v>
      </c>
      <c r="J22" s="162" t="s">
        <v>149</v>
      </c>
      <c r="K22" s="165"/>
      <c r="L22" s="165"/>
      <c r="M22" s="165"/>
      <c r="N22" s="164">
        <v>81</v>
      </c>
      <c r="O22" s="165"/>
      <c r="P22" s="165"/>
      <c r="Q22" s="165"/>
      <c r="R22" s="166"/>
      <c r="S22" s="166"/>
      <c r="T22" s="166"/>
    </row>
    <row r="23" spans="2:20" ht="16.5" thickBot="1" x14ac:dyDescent="0.25">
      <c r="B23" s="157" t="s">
        <v>122</v>
      </c>
      <c r="C23" s="156"/>
      <c r="D23" s="156"/>
      <c r="F23" s="155" t="s">
        <v>90</v>
      </c>
      <c r="G23" s="159">
        <v>8000</v>
      </c>
      <c r="J23" s="162" t="s">
        <v>150</v>
      </c>
      <c r="K23" s="165"/>
      <c r="L23" s="164">
        <v>86</v>
      </c>
      <c r="M23" s="164">
        <v>61</v>
      </c>
      <c r="N23" s="164">
        <v>120</v>
      </c>
      <c r="O23" s="165"/>
      <c r="P23" s="165"/>
      <c r="Q23" s="165"/>
      <c r="R23" s="166"/>
      <c r="S23" s="166"/>
      <c r="T23" s="166"/>
    </row>
    <row r="24" spans="2:20" ht="16.5" thickBot="1" x14ac:dyDescent="0.25">
      <c r="B24" s="157" t="s">
        <v>16</v>
      </c>
      <c r="C24" s="539">
        <f>ROUNDDOWN(SUM(المستودعات!C9:F10)/51,0.9)</f>
        <v>1</v>
      </c>
      <c r="D24" s="539">
        <f>ROUNDDOWN(SUM(المستودعات!G9:I10)/51,0.9)</f>
        <v>0</v>
      </c>
      <c r="J24" s="162" t="s">
        <v>151</v>
      </c>
      <c r="K24" s="165"/>
      <c r="L24" s="165"/>
      <c r="M24" s="165"/>
      <c r="N24" s="167">
        <v>149</v>
      </c>
      <c r="O24" s="165"/>
      <c r="P24" s="165"/>
      <c r="Q24" s="164">
        <v>34</v>
      </c>
      <c r="R24" s="165"/>
      <c r="S24" s="166"/>
      <c r="T24" s="166"/>
    </row>
    <row r="25" spans="2:20" ht="16.5" thickBot="1" x14ac:dyDescent="0.25">
      <c r="B25" s="157" t="s">
        <v>17</v>
      </c>
      <c r="C25" s="540"/>
      <c r="D25" s="540"/>
      <c r="J25" s="162" t="s">
        <v>152</v>
      </c>
      <c r="K25" s="165"/>
      <c r="L25" s="165"/>
      <c r="M25" s="165"/>
      <c r="N25" s="165"/>
      <c r="O25" s="165"/>
      <c r="P25" s="164">
        <v>53</v>
      </c>
      <c r="Q25" s="165"/>
      <c r="R25" s="165"/>
      <c r="S25" s="166"/>
      <c r="T25" s="166"/>
    </row>
    <row r="26" spans="2:20" ht="16.5" thickBot="1" x14ac:dyDescent="0.25">
      <c r="B26" s="157" t="s">
        <v>18</v>
      </c>
      <c r="C26" s="539">
        <f>ROUNDDOWN(SUM(المستودعات!C11:F12)/51,0.9)</f>
        <v>1</v>
      </c>
      <c r="D26" s="539">
        <f>ROUNDDOWN(SUM(المستودعات!G11:I12)/51,0.9)</f>
        <v>1</v>
      </c>
      <c r="J26" s="162" t="s">
        <v>153</v>
      </c>
      <c r="K26" s="165"/>
      <c r="L26" s="165"/>
      <c r="M26" s="165"/>
      <c r="N26" s="165"/>
      <c r="O26" s="165"/>
      <c r="P26" s="164">
        <v>13</v>
      </c>
      <c r="Q26" s="165"/>
      <c r="R26" s="165"/>
      <c r="S26" s="166"/>
      <c r="T26" s="166"/>
    </row>
    <row r="27" spans="2:20" ht="16.5" thickBot="1" x14ac:dyDescent="0.25">
      <c r="B27" s="157" t="s">
        <v>19</v>
      </c>
      <c r="C27" s="540"/>
      <c r="D27" s="540"/>
      <c r="J27" s="162" t="s">
        <v>142</v>
      </c>
      <c r="K27" s="165"/>
      <c r="L27" s="165"/>
      <c r="M27" s="165"/>
      <c r="N27" s="165"/>
      <c r="O27" s="165"/>
      <c r="P27" s="164">
        <v>152</v>
      </c>
      <c r="Q27" s="165"/>
      <c r="R27" s="165"/>
      <c r="S27" s="166"/>
      <c r="T27" s="168">
        <v>205</v>
      </c>
    </row>
    <row r="28" spans="2:20" ht="16.5" thickBot="1" x14ac:dyDescent="0.25">
      <c r="B28" s="157" t="s">
        <v>20</v>
      </c>
      <c r="C28" s="539">
        <f>ROUNDDOWN(SUM(المستودعات!C13:F14)/51,0.9)</f>
        <v>3</v>
      </c>
      <c r="D28" s="539">
        <f>ROUNDDOWN(SUM(المستودعات!G13:I14)/51,0.9)</f>
        <v>1</v>
      </c>
      <c r="J28" s="162" t="s">
        <v>143</v>
      </c>
      <c r="K28" s="165"/>
      <c r="L28" s="165"/>
      <c r="M28" s="165"/>
      <c r="N28" s="165"/>
      <c r="O28" s="164">
        <v>54</v>
      </c>
      <c r="P28" s="165"/>
      <c r="Q28" s="165"/>
      <c r="R28" s="169">
        <v>27</v>
      </c>
      <c r="S28" s="168">
        <v>82</v>
      </c>
      <c r="T28" s="166"/>
    </row>
    <row r="29" spans="2:20" ht="16.5" thickBot="1" x14ac:dyDescent="0.25">
      <c r="B29" s="157" t="s">
        <v>21</v>
      </c>
      <c r="C29" s="540"/>
      <c r="D29" s="540"/>
      <c r="J29" s="162" t="s">
        <v>144</v>
      </c>
      <c r="K29" s="165"/>
      <c r="L29" s="165"/>
      <c r="M29" s="165"/>
      <c r="N29" s="165"/>
      <c r="O29" s="164">
        <v>85</v>
      </c>
      <c r="P29" s="165"/>
      <c r="Q29" s="165"/>
      <c r="R29" s="169">
        <v>105</v>
      </c>
      <c r="S29" s="168"/>
      <c r="T29" s="166"/>
    </row>
    <row r="30" spans="2:20" ht="24" customHeight="1" thickBot="1" x14ac:dyDescent="0.25">
      <c r="B30" s="500" t="s">
        <v>85</v>
      </c>
      <c r="C30" s="501"/>
      <c r="D30" s="502"/>
      <c r="J30" s="163" t="s">
        <v>145</v>
      </c>
      <c r="K30" s="170">
        <v>27</v>
      </c>
      <c r="L30" s="170">
        <v>31</v>
      </c>
      <c r="M30" s="171"/>
      <c r="N30" s="171"/>
      <c r="O30" s="171"/>
      <c r="P30" s="171"/>
      <c r="Q30" s="171"/>
      <c r="R30" s="172"/>
      <c r="S30" s="166"/>
      <c r="T30" s="166"/>
    </row>
    <row r="31" spans="2:20" ht="16.5" thickBot="1" x14ac:dyDescent="0.25">
      <c r="B31" s="157" t="s">
        <v>22</v>
      </c>
      <c r="C31" s="554">
        <f>ROUNDDOWN(SUM(المستودعات!O5:Q5)/51,0.9)</f>
        <v>0</v>
      </c>
      <c r="D31" s="555"/>
      <c r="J31" s="163" t="s">
        <v>146</v>
      </c>
      <c r="K31" s="171"/>
      <c r="L31" s="171"/>
      <c r="M31" s="171"/>
      <c r="N31" s="171"/>
      <c r="O31" s="171"/>
      <c r="P31" s="170">
        <v>20</v>
      </c>
      <c r="Q31" s="171"/>
      <c r="R31" s="172"/>
      <c r="S31" s="166"/>
      <c r="T31" s="166"/>
    </row>
    <row r="32" spans="2:20" ht="16.5" thickBot="1" x14ac:dyDescent="0.25">
      <c r="B32" s="157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57" t="s">
        <v>24</v>
      </c>
      <c r="C33" s="550"/>
      <c r="D33" s="551"/>
    </row>
    <row r="34" spans="2:4" ht="16.5" thickBot="1" x14ac:dyDescent="0.25">
      <c r="B34" s="157" t="s">
        <v>26</v>
      </c>
      <c r="C34" s="554">
        <f>ROUNDDOWN(SUM(المستودعات!O8:Q8)/51,0.9)</f>
        <v>0</v>
      </c>
      <c r="D34" s="555"/>
    </row>
    <row r="35" spans="2:4" ht="22.5" customHeight="1" thickBot="1" x14ac:dyDescent="0.25">
      <c r="B35" s="500" t="s">
        <v>128</v>
      </c>
      <c r="C35" s="501"/>
      <c r="D35" s="502"/>
    </row>
    <row r="36" spans="2:4" ht="16.5" thickBot="1" x14ac:dyDescent="0.25">
      <c r="B36" s="157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57" t="s">
        <v>27</v>
      </c>
      <c r="C37" s="550"/>
      <c r="D37" s="551"/>
    </row>
    <row r="38" spans="2:4" ht="16.5" thickBot="1" x14ac:dyDescent="0.25">
      <c r="B38" s="88" t="s">
        <v>112</v>
      </c>
      <c r="C38" s="554"/>
      <c r="D38" s="555"/>
    </row>
    <row r="39" spans="2:4" ht="16.5" thickBot="1" x14ac:dyDescent="0.25">
      <c r="B39" s="157" t="s">
        <v>28</v>
      </c>
      <c r="C39" s="548">
        <f>ROUNDDOWN(SUM(المستودعات!C28:I29)/51,0.9)</f>
        <v>1</v>
      </c>
      <c r="D39" s="549"/>
    </row>
    <row r="40" spans="2:4" ht="16.5" thickBot="1" x14ac:dyDescent="0.25">
      <c r="B40" s="157" t="s">
        <v>29</v>
      </c>
      <c r="C40" s="550"/>
      <c r="D40" s="551"/>
    </row>
    <row r="41" spans="2:4" ht="21.75" customHeight="1" thickBot="1" x14ac:dyDescent="0.25">
      <c r="B41" s="500" t="s">
        <v>90</v>
      </c>
      <c r="C41" s="501"/>
      <c r="D41" s="502"/>
    </row>
    <row r="42" spans="2:4" ht="16.5" thickBot="1" x14ac:dyDescent="0.25">
      <c r="B42" s="157" t="s">
        <v>30</v>
      </c>
      <c r="C42" s="548">
        <f>ROUNDDOWN(SUM(المستودعات!Q15:Q16)/51,0.9)</f>
        <v>1</v>
      </c>
      <c r="D42" s="549"/>
    </row>
    <row r="43" spans="2:4" ht="16.5" thickBot="1" x14ac:dyDescent="0.25">
      <c r="B43" s="157" t="s">
        <v>31</v>
      </c>
      <c r="C43" s="550"/>
      <c r="D43" s="551"/>
    </row>
    <row r="44" spans="2:4" ht="16.5" thickBot="1" x14ac:dyDescent="0.25">
      <c r="B44" s="157" t="s">
        <v>32</v>
      </c>
      <c r="C44" s="548">
        <f>ROUNDDOWN(SUM(المستودعات!Q17:Q18)/51,0.9)</f>
        <v>0</v>
      </c>
      <c r="D44" s="549"/>
    </row>
    <row r="45" spans="2:4" ht="16.5" thickBot="1" x14ac:dyDescent="0.25">
      <c r="B45" s="157" t="s">
        <v>33</v>
      </c>
      <c r="C45" s="550"/>
      <c r="D45" s="55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57" t="s">
        <v>103</v>
      </c>
      <c r="D2" s="557"/>
      <c r="E2" s="557"/>
      <c r="F2" s="557"/>
    </row>
    <row r="3" spans="1:15" ht="15" thickBot="1" x14ac:dyDescent="0.25"/>
    <row r="4" spans="1:15" ht="15.75" thickBot="1" x14ac:dyDescent="0.25">
      <c r="A4" s="558" t="s">
        <v>3</v>
      </c>
      <c r="B4" s="393" t="s">
        <v>104</v>
      </c>
      <c r="C4" s="393"/>
      <c r="D4" s="559"/>
      <c r="E4" s="443" t="s">
        <v>84</v>
      </c>
      <c r="F4" s="444"/>
      <c r="G4" s="444"/>
      <c r="H4" s="401"/>
    </row>
    <row r="5" spans="1:15" ht="15.75" thickBot="1" x14ac:dyDescent="0.25">
      <c r="A5" s="558"/>
      <c r="B5" s="400" t="s">
        <v>81</v>
      </c>
      <c r="C5" s="444"/>
      <c r="D5" s="447"/>
      <c r="E5" s="104" t="s">
        <v>81</v>
      </c>
      <c r="F5" s="400" t="s">
        <v>87</v>
      </c>
      <c r="G5" s="444"/>
      <c r="H5" s="401"/>
      <c r="K5" s="497" t="str">
        <f>'خطة الإمداد'!K30</f>
        <v>المحطة</v>
      </c>
      <c r="L5" s="275">
        <f>'خطة الإمداد'!L30</f>
        <v>80</v>
      </c>
      <c r="M5" s="275">
        <f>'خطة الإمداد'!M30</f>
        <v>92</v>
      </c>
      <c r="N5" s="275">
        <f>'خطة الإمداد'!N30</f>
        <v>95</v>
      </c>
      <c r="O5" s="275" t="str">
        <f>'خطة الإمداد'!O30</f>
        <v>سولار</v>
      </c>
    </row>
    <row r="6" spans="1:15" ht="15.75" thickBot="1" x14ac:dyDescent="0.25">
      <c r="A6" s="558"/>
      <c r="B6" s="100">
        <v>80</v>
      </c>
      <c r="C6" s="100">
        <v>92</v>
      </c>
      <c r="D6" s="105">
        <v>95</v>
      </c>
      <c r="E6" s="104" t="s">
        <v>50</v>
      </c>
      <c r="F6" s="100">
        <v>92</v>
      </c>
      <c r="G6" s="105">
        <v>95</v>
      </c>
      <c r="H6" s="100" t="s">
        <v>50</v>
      </c>
      <c r="K6" s="499"/>
      <c r="L6" s="274" t="str">
        <f>'خطة الإمداد'!L31</f>
        <v>مطلوب</v>
      </c>
      <c r="M6" s="274" t="str">
        <f>'خطة الإمداد'!M31</f>
        <v>مطلوب</v>
      </c>
      <c r="N6" s="274" t="str">
        <f>'خطة الإمداد'!N31</f>
        <v>مطلوب</v>
      </c>
      <c r="O6" s="274" t="str">
        <f>'خطة الإمداد'!O31</f>
        <v>مطلوب</v>
      </c>
    </row>
    <row r="7" spans="1:15" ht="16.5" thickBot="1" x14ac:dyDescent="0.3">
      <c r="A7" s="102" t="s">
        <v>15</v>
      </c>
      <c r="B7" s="106"/>
      <c r="C7" s="5" t="e">
        <f>IF($F$19&gt;$F$24,M7,0)</f>
        <v>#REF!</v>
      </c>
      <c r="D7" s="20" t="e">
        <f>IF($F$18&gt;$F$23,N7,0)</f>
        <v>#REF!</v>
      </c>
      <c r="E7" s="23"/>
      <c r="F7" s="5" t="e">
        <f>IF($F$24&gt;$F$19,M7,0)</f>
        <v>#REF!</v>
      </c>
      <c r="G7" s="20" t="e">
        <f>IF($F$23&gt;$F$18,N7,0)</f>
        <v>#REF!</v>
      </c>
      <c r="H7" s="106"/>
      <c r="K7" s="276" t="str">
        <f>'خطة الإمداد'!K32</f>
        <v>ماستر</v>
      </c>
      <c r="L7" s="33">
        <f>'خطة الإمداد'!L32</f>
        <v>0</v>
      </c>
      <c r="M7" s="33">
        <f>'خطة الإمداد'!M32</f>
        <v>68</v>
      </c>
      <c r="N7" s="33">
        <f>'خطة الإمداد'!N32</f>
        <v>17</v>
      </c>
      <c r="O7" s="33">
        <f>'خطة الإمداد'!O32</f>
        <v>0</v>
      </c>
    </row>
    <row r="8" spans="1:15" ht="16.5" thickBot="1" x14ac:dyDescent="0.3">
      <c r="A8" s="276" t="s">
        <v>163</v>
      </c>
      <c r="B8" s="184"/>
      <c r="C8" s="5" t="e">
        <f t="shared" ref="C8:C14" si="0">IF($F$19&gt;$F$24,M8,0)</f>
        <v>#REF!</v>
      </c>
      <c r="D8" s="20" t="e">
        <f t="shared" ref="D8:D14" si="1">IF($F$18&gt;$F$23,N8,0)</f>
        <v>#REF!</v>
      </c>
      <c r="E8" s="23"/>
      <c r="F8" s="5" t="e">
        <f t="shared" ref="F8:F14" si="2">IF($F$24&gt;$F$19,M8,0)</f>
        <v>#REF!</v>
      </c>
      <c r="G8" s="20" t="e">
        <f t="shared" ref="G8:G14" si="3">IF($F$23&gt;$F$18,N8,0)</f>
        <v>#REF!</v>
      </c>
      <c r="H8" s="184"/>
      <c r="K8" s="276" t="str">
        <f>'خطة الإمداد'!K33</f>
        <v>النخيل</v>
      </c>
      <c r="L8" s="33">
        <f>'خطة الإمداد'!L33</f>
        <v>0</v>
      </c>
      <c r="M8" s="33">
        <f>'خطة الإمداد'!M33</f>
        <v>51</v>
      </c>
      <c r="N8" s="33">
        <f>'خطة الإمداد'!N33</f>
        <v>17</v>
      </c>
      <c r="O8" s="33">
        <f>'خطة الإمداد'!O33</f>
        <v>0</v>
      </c>
    </row>
    <row r="9" spans="1:15" ht="16.5" thickBot="1" x14ac:dyDescent="0.3">
      <c r="A9" s="102" t="s">
        <v>16</v>
      </c>
      <c r="B9" s="5">
        <f>L8</f>
        <v>0</v>
      </c>
      <c r="C9" s="5" t="e">
        <f t="shared" si="0"/>
        <v>#REF!</v>
      </c>
      <c r="D9" s="20" t="e">
        <f t="shared" si="1"/>
        <v>#REF!</v>
      </c>
      <c r="E9" s="21">
        <f>IF(O8&gt;50,O8,0)</f>
        <v>0</v>
      </c>
      <c r="F9" s="5" t="e">
        <f t="shared" si="2"/>
        <v>#REF!</v>
      </c>
      <c r="G9" s="20" t="e">
        <f t="shared" si="3"/>
        <v>#REF!</v>
      </c>
      <c r="H9" s="5" t="e">
        <f>IF(($F$22&gt;$F$21),IF(O9&lt;51,O9,0),0)</f>
        <v>#REF!</v>
      </c>
      <c r="K9" s="276" t="str">
        <f>'خطة الإمداد'!K34</f>
        <v>السلام</v>
      </c>
      <c r="L9" s="33">
        <f>'خطة الإمداد'!L34</f>
        <v>34</v>
      </c>
      <c r="M9" s="33">
        <f>'خطة الإمداد'!M34</f>
        <v>17</v>
      </c>
      <c r="N9" s="33">
        <f>'خطة الإمداد'!N34</f>
        <v>17</v>
      </c>
      <c r="O9" s="33">
        <f>'خطة الإمداد'!O34</f>
        <v>0</v>
      </c>
    </row>
    <row r="10" spans="1:15" ht="16.5" thickBot="1" x14ac:dyDescent="0.3">
      <c r="A10" s="102" t="s">
        <v>17</v>
      </c>
      <c r="B10" s="5">
        <f t="shared" ref="B10:B12" si="4">L9</f>
        <v>34</v>
      </c>
      <c r="C10" s="5" t="e">
        <f t="shared" si="0"/>
        <v>#REF!</v>
      </c>
      <c r="D10" s="20" t="e">
        <f t="shared" si="1"/>
        <v>#REF!</v>
      </c>
      <c r="E10" s="23"/>
      <c r="F10" s="5" t="e">
        <f t="shared" si="2"/>
        <v>#REF!</v>
      </c>
      <c r="G10" s="20" t="e">
        <f t="shared" si="3"/>
        <v>#REF!</v>
      </c>
      <c r="H10" s="106"/>
      <c r="K10" s="276" t="str">
        <f>'خطة الإمداد'!K35</f>
        <v>شبرا 1</v>
      </c>
      <c r="L10" s="33">
        <f>'خطة الإمداد'!L35</f>
        <v>17</v>
      </c>
      <c r="M10" s="33">
        <f>'خطة الإمداد'!M35</f>
        <v>34</v>
      </c>
      <c r="N10" s="33">
        <f>'خطة الإمداد'!N35</f>
        <v>0</v>
      </c>
      <c r="O10" s="33">
        <f>'خطة الإمداد'!O35</f>
        <v>17</v>
      </c>
    </row>
    <row r="11" spans="1:15" ht="16.5" thickBot="1" x14ac:dyDescent="0.3">
      <c r="A11" s="102" t="s">
        <v>18</v>
      </c>
      <c r="B11" s="5">
        <f t="shared" si="4"/>
        <v>17</v>
      </c>
      <c r="C11" s="5" t="e">
        <f t="shared" si="0"/>
        <v>#REF!</v>
      </c>
      <c r="D11" s="22"/>
      <c r="E11" s="21">
        <f t="shared" ref="E11:E14" si="5">IF(O10&gt;50,O10,0)</f>
        <v>0</v>
      </c>
      <c r="F11" s="5" t="e">
        <f t="shared" si="2"/>
        <v>#REF!</v>
      </c>
      <c r="G11" s="22"/>
      <c r="H11" s="5" t="e">
        <f>IF(($F$22&gt;$F$21),IF(O11&lt;51,O11,0),0)</f>
        <v>#REF!</v>
      </c>
      <c r="K11" s="276" t="str">
        <f>'خطة الإمداد'!K36</f>
        <v>شبرا 2</v>
      </c>
      <c r="L11" s="33">
        <f>'خطة الإمداد'!L36</f>
        <v>0</v>
      </c>
      <c r="M11" s="33">
        <f>'خطة الإمداد'!M36</f>
        <v>68</v>
      </c>
      <c r="N11" s="33">
        <f>'خطة الإمداد'!N36</f>
        <v>17</v>
      </c>
      <c r="O11" s="33">
        <f>'خطة الإمداد'!O36</f>
        <v>0</v>
      </c>
    </row>
    <row r="12" spans="1:15" ht="16.5" thickBot="1" x14ac:dyDescent="0.3">
      <c r="A12" s="102" t="s">
        <v>19</v>
      </c>
      <c r="B12" s="5">
        <f t="shared" si="4"/>
        <v>0</v>
      </c>
      <c r="C12" s="5" t="e">
        <f t="shared" si="0"/>
        <v>#REF!</v>
      </c>
      <c r="D12" s="22"/>
      <c r="E12" s="21">
        <f t="shared" si="5"/>
        <v>0</v>
      </c>
      <c r="F12" s="5" t="e">
        <f t="shared" si="2"/>
        <v>#REF!</v>
      </c>
      <c r="G12" s="22"/>
      <c r="H12" s="5" t="e">
        <f>IF(($F$22&gt;$F$21),IF(O12&lt;51,O12,0),0)</f>
        <v>#REF!</v>
      </c>
      <c r="K12" s="276" t="str">
        <f>'خطة الإمداد'!K37</f>
        <v>شبرا 3</v>
      </c>
      <c r="L12" s="33">
        <f>'خطة الإمداد'!L37</f>
        <v>17</v>
      </c>
      <c r="M12" s="33">
        <f>'خطة الإمداد'!M37</f>
        <v>51</v>
      </c>
      <c r="N12" s="33">
        <f>'خطة الإمداد'!N37</f>
        <v>0</v>
      </c>
      <c r="O12" s="33">
        <f>'خطة الإمداد'!O37</f>
        <v>34</v>
      </c>
    </row>
    <row r="13" spans="1:15" ht="16.5" thickBot="1" x14ac:dyDescent="0.3">
      <c r="A13" s="102" t="s">
        <v>20</v>
      </c>
      <c r="B13" s="106"/>
      <c r="C13" s="5" t="e">
        <f t="shared" si="0"/>
        <v>#REF!</v>
      </c>
      <c r="D13" s="20" t="e">
        <f t="shared" si="1"/>
        <v>#REF!</v>
      </c>
      <c r="E13" s="23"/>
      <c r="F13" s="5" t="e">
        <f t="shared" si="2"/>
        <v>#REF!</v>
      </c>
      <c r="G13" s="20" t="e">
        <f t="shared" si="3"/>
        <v>#REF!</v>
      </c>
      <c r="H13" s="106"/>
      <c r="K13" s="276" t="str">
        <f>'خطة الإمداد'!K38</f>
        <v>شبرا 4</v>
      </c>
      <c r="L13" s="33">
        <f>'خطة الإمداد'!L38</f>
        <v>17</v>
      </c>
      <c r="M13" s="33">
        <f>'خطة الإمداد'!M38</f>
        <v>34</v>
      </c>
      <c r="N13" s="33">
        <f>'خطة الإمداد'!N38</f>
        <v>0</v>
      </c>
      <c r="O13" s="33">
        <f>'خطة الإمداد'!O38</f>
        <v>34</v>
      </c>
    </row>
    <row r="14" spans="1:15" ht="16.5" thickBot="1" x14ac:dyDescent="0.3">
      <c r="A14" s="102" t="s">
        <v>21</v>
      </c>
      <c r="B14" s="106"/>
      <c r="C14" s="5" t="e">
        <f t="shared" si="0"/>
        <v>#REF!</v>
      </c>
      <c r="D14" s="20" t="e">
        <f t="shared" si="1"/>
        <v>#REF!</v>
      </c>
      <c r="E14" s="21">
        <f t="shared" si="5"/>
        <v>0</v>
      </c>
      <c r="F14" s="5" t="e">
        <f t="shared" si="2"/>
        <v>#REF!</v>
      </c>
      <c r="G14" s="20" t="e">
        <f t="shared" si="3"/>
        <v>#REF!</v>
      </c>
      <c r="H14" s="5" t="e">
        <f>IF(($F$22&gt;$F$21),IF(O14&lt;51,O14,0),0)</f>
        <v>#REF!</v>
      </c>
      <c r="K14" s="276" t="str">
        <f>'خطة الإمداد'!K39</f>
        <v>شل 1</v>
      </c>
      <c r="L14" s="33">
        <f>'خطة الإمداد'!L39</f>
        <v>0</v>
      </c>
      <c r="M14" s="33">
        <f>'خطة الإمداد'!M39</f>
        <v>51</v>
      </c>
      <c r="N14" s="33">
        <f>'خطة الإمداد'!N39</f>
        <v>17</v>
      </c>
      <c r="O14" s="33">
        <f>'خطة الإمداد'!O39</f>
        <v>0</v>
      </c>
    </row>
    <row r="15" spans="1:15" ht="15.75" x14ac:dyDescent="0.25">
      <c r="K15" s="108"/>
      <c r="L15" s="109"/>
      <c r="M15" s="109"/>
      <c r="N15" s="109"/>
      <c r="O15" s="109"/>
    </row>
    <row r="16" spans="1:15" ht="16.5" thickBot="1" x14ac:dyDescent="0.3">
      <c r="D16" s="70" t="s">
        <v>92</v>
      </c>
      <c r="E16" s="70"/>
      <c r="F16" s="70"/>
      <c r="K16" s="108"/>
      <c r="L16" s="109"/>
      <c r="M16" s="109"/>
      <c r="N16" s="109"/>
      <c r="O16" s="109"/>
    </row>
    <row r="17" spans="4:15" ht="16.5" thickBot="1" x14ac:dyDescent="0.3">
      <c r="D17" s="46">
        <v>80</v>
      </c>
      <c r="E17" s="47" t="s">
        <v>93</v>
      </c>
      <c r="F17" s="48">
        <f>[1]التعاون.ملخص!$D$2</f>
        <v>1409</v>
      </c>
      <c r="K17" s="108"/>
      <c r="L17" s="109"/>
      <c r="M17" s="109"/>
      <c r="N17" s="109"/>
      <c r="O17" s="109"/>
    </row>
    <row r="18" spans="4:15" ht="16.5" thickBot="1" x14ac:dyDescent="0.3">
      <c r="D18" s="46">
        <v>95</v>
      </c>
      <c r="E18" s="40" t="s">
        <v>93</v>
      </c>
      <c r="F18" s="50">
        <f>[1]التعاون.ملخص!$D$4</f>
        <v>928</v>
      </c>
      <c r="K18" s="108"/>
      <c r="L18" s="109"/>
      <c r="M18" s="109"/>
      <c r="N18" s="109"/>
      <c r="O18" s="109"/>
    </row>
    <row r="19" spans="4:15" ht="16.5" thickBot="1" x14ac:dyDescent="0.3">
      <c r="D19" s="46">
        <v>92</v>
      </c>
      <c r="E19" s="53" t="s">
        <v>93</v>
      </c>
      <c r="F19" s="54">
        <f>[1]التعاون.ملخص!$D$3</f>
        <v>2827</v>
      </c>
      <c r="K19" s="108"/>
      <c r="L19" s="109"/>
      <c r="M19" s="109"/>
      <c r="N19" s="109"/>
      <c r="O19" s="109"/>
    </row>
    <row r="20" spans="4:15" ht="16.5" thickBot="1" x14ac:dyDescent="0.3">
      <c r="D20" s="70" t="s">
        <v>84</v>
      </c>
      <c r="E20" s="70"/>
      <c r="F20" s="70"/>
      <c r="K20" s="108"/>
      <c r="L20" s="109"/>
      <c r="M20" s="109"/>
      <c r="N20" s="109"/>
      <c r="O20" s="109"/>
    </row>
    <row r="21" spans="4:15" ht="16.5" thickBot="1" x14ac:dyDescent="0.3">
      <c r="D21" s="110" t="s">
        <v>50</v>
      </c>
      <c r="E21" s="44" t="s">
        <v>93</v>
      </c>
      <c r="F21" s="45">
        <f>[1]التعاون.ملخص!$D$5</f>
        <v>1939</v>
      </c>
      <c r="K21" s="108"/>
      <c r="L21" s="109"/>
      <c r="M21" s="109"/>
      <c r="N21" s="109"/>
      <c r="O21" s="109"/>
    </row>
    <row r="22" spans="4:15" ht="16.5" thickBot="1" x14ac:dyDescent="0.3">
      <c r="D22" s="111"/>
      <c r="E22" s="44" t="s">
        <v>87</v>
      </c>
      <c r="F22" s="45" t="e">
        <f>[1]موبيل.ملخص!$D$2</f>
        <v>#REF!</v>
      </c>
      <c r="K22" s="108"/>
      <c r="L22" s="109"/>
      <c r="M22" s="109"/>
      <c r="N22" s="109"/>
      <c r="O22" s="109"/>
    </row>
    <row r="23" spans="4:15" ht="16.5" thickBot="1" x14ac:dyDescent="0.3">
      <c r="D23" s="107">
        <v>95</v>
      </c>
      <c r="E23" s="40" t="s">
        <v>87</v>
      </c>
      <c r="F23" s="50" t="e">
        <f>[1]موبيل.ملخص!$D$4</f>
        <v>#REF!</v>
      </c>
      <c r="K23" s="108"/>
      <c r="L23" s="109"/>
      <c r="M23" s="109"/>
      <c r="N23" s="109"/>
      <c r="O23" s="109"/>
    </row>
    <row r="24" spans="4:15" ht="16.5" thickBot="1" x14ac:dyDescent="0.3">
      <c r="D24" s="107">
        <v>92</v>
      </c>
      <c r="E24" s="53" t="s">
        <v>87</v>
      </c>
      <c r="F24" s="54" t="e">
        <f>[1]موبيل.ملخص!$D$3</f>
        <v>#REF!</v>
      </c>
      <c r="K24" s="108"/>
      <c r="L24" s="109"/>
      <c r="M24" s="109"/>
      <c r="N24" s="109"/>
      <c r="O24" s="109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22"/>
      <c r="B1" s="120">
        <v>80</v>
      </c>
      <c r="C1" s="120">
        <v>92</v>
      </c>
      <c r="D1" s="125">
        <v>95</v>
      </c>
      <c r="E1" s="124" t="s">
        <v>50</v>
      </c>
      <c r="F1" s="120">
        <v>92</v>
      </c>
      <c r="G1" s="125">
        <v>95</v>
      </c>
      <c r="H1" s="120" t="s">
        <v>50</v>
      </c>
    </row>
    <row r="2" spans="1:8" ht="15.75" customHeight="1" thickBot="1" x14ac:dyDescent="0.25">
      <c r="A2" s="122" t="s">
        <v>15</v>
      </c>
      <c r="B2" s="126">
        <f>'منطقة القاهرة'!B7</f>
        <v>0</v>
      </c>
      <c r="C2" s="5" t="e">
        <f>'منطقة القاهرة'!C7</f>
        <v>#REF!</v>
      </c>
      <c r="D2" s="20" t="e">
        <f>'منطقة القاهرة'!D7</f>
        <v>#REF!</v>
      </c>
      <c r="E2" s="23">
        <f>'منطقة القاهرة'!E7</f>
        <v>0</v>
      </c>
      <c r="F2" s="5" t="e">
        <f>'منطقة القاهرة'!F7</f>
        <v>#REF!</v>
      </c>
      <c r="G2" s="20" t="e">
        <f>'منطقة القاهرة'!G7</f>
        <v>#REF!</v>
      </c>
      <c r="H2" s="126">
        <f>'منطقة القاهرة'!H7</f>
        <v>0</v>
      </c>
    </row>
    <row r="3" spans="1:8" ht="15.75" customHeight="1" thickBot="1" x14ac:dyDescent="0.25">
      <c r="A3" s="122" t="s">
        <v>16</v>
      </c>
      <c r="B3" s="5">
        <f>'منطقة القاهرة'!B9</f>
        <v>0</v>
      </c>
      <c r="C3" s="5" t="e">
        <f>'منطقة القاهرة'!C9</f>
        <v>#REF!</v>
      </c>
      <c r="D3" s="20" t="e">
        <f>'منطقة القاهرة'!D9</f>
        <v>#REF!</v>
      </c>
      <c r="E3" s="21">
        <f>'منطقة القاهرة'!E9</f>
        <v>0</v>
      </c>
      <c r="F3" s="5" t="e">
        <f>'منطقة القاهرة'!F9</f>
        <v>#REF!</v>
      </c>
      <c r="G3" s="20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22" t="s">
        <v>17</v>
      </c>
      <c r="B4" s="5">
        <f>'منطقة القاهرة'!B10</f>
        <v>34</v>
      </c>
      <c r="C4" s="5" t="e">
        <f>'منطقة القاهرة'!C10</f>
        <v>#REF!</v>
      </c>
      <c r="D4" s="20" t="e">
        <f>'منطقة القاهرة'!D10</f>
        <v>#REF!</v>
      </c>
      <c r="E4" s="23">
        <f>'منطقة القاهرة'!E10</f>
        <v>0</v>
      </c>
      <c r="F4" s="5" t="e">
        <f>'منطقة القاهرة'!F10</f>
        <v>#REF!</v>
      </c>
      <c r="G4" s="20" t="e">
        <f>'منطقة القاهرة'!G10</f>
        <v>#REF!</v>
      </c>
      <c r="H4" s="126">
        <f>'منطقة القاهرة'!H10</f>
        <v>0</v>
      </c>
    </row>
    <row r="5" spans="1:8" ht="16.5" thickBot="1" x14ac:dyDescent="0.25">
      <c r="A5" s="122" t="s">
        <v>18</v>
      </c>
      <c r="B5" s="5">
        <f>'منطقة القاهرة'!B11</f>
        <v>17</v>
      </c>
      <c r="C5" s="5" t="e">
        <f>'منطقة القاهرة'!C11</f>
        <v>#REF!</v>
      </c>
      <c r="D5" s="22">
        <f>'منطقة القاهرة'!D11</f>
        <v>0</v>
      </c>
      <c r="E5" s="21">
        <f>'منطقة القاهرة'!E11</f>
        <v>0</v>
      </c>
      <c r="F5" s="5" t="e">
        <f>'منطقة القاهرة'!F11</f>
        <v>#REF!</v>
      </c>
      <c r="G5" s="22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22" t="s">
        <v>19</v>
      </c>
      <c r="B6" s="5">
        <f>'منطقة القاهرة'!B12</f>
        <v>0</v>
      </c>
      <c r="C6" s="5" t="e">
        <f>'منطقة القاهرة'!C12</f>
        <v>#REF!</v>
      </c>
      <c r="D6" s="22">
        <f>'منطقة القاهرة'!D12</f>
        <v>0</v>
      </c>
      <c r="E6" s="21">
        <f>'منطقة القاهرة'!E12</f>
        <v>0</v>
      </c>
      <c r="F6" s="5" t="e">
        <f>'منطقة القاهرة'!F12</f>
        <v>#REF!</v>
      </c>
      <c r="G6" s="22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22" t="s">
        <v>20</v>
      </c>
      <c r="B7" s="126">
        <f>'منطقة القاهرة'!B13</f>
        <v>0</v>
      </c>
      <c r="C7" s="5" t="e">
        <f>'منطقة القاهرة'!C13</f>
        <v>#REF!</v>
      </c>
      <c r="D7" s="20" t="e">
        <f>'منطقة القاهرة'!D13</f>
        <v>#REF!</v>
      </c>
      <c r="E7" s="23">
        <f>'منطقة القاهرة'!E13</f>
        <v>0</v>
      </c>
      <c r="F7" s="5" t="e">
        <f>'منطقة القاهرة'!F13</f>
        <v>#REF!</v>
      </c>
      <c r="G7" s="20" t="e">
        <f>'منطقة القاهرة'!G13</f>
        <v>#REF!</v>
      </c>
      <c r="H7" s="126">
        <f>'منطقة القاهرة'!H13</f>
        <v>0</v>
      </c>
    </row>
    <row r="8" spans="1:8" ht="16.5" thickBot="1" x14ac:dyDescent="0.25">
      <c r="A8" s="122" t="s">
        <v>21</v>
      </c>
      <c r="B8" s="126">
        <f>'منطقة القاهرة'!B14</f>
        <v>0</v>
      </c>
      <c r="C8" s="5" t="e">
        <f>'منطقة القاهرة'!C14</f>
        <v>#REF!</v>
      </c>
      <c r="D8" s="20" t="e">
        <f>'منطقة القاهرة'!D14</f>
        <v>#REF!</v>
      </c>
      <c r="E8" s="21">
        <f>'منطقة القاهرة'!E14</f>
        <v>0</v>
      </c>
      <c r="F8" s="5" t="e">
        <f>'منطقة القاهرة'!F14</f>
        <v>#REF!</v>
      </c>
      <c r="G8" s="20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57" t="s">
        <v>105</v>
      </c>
      <c r="D2" s="557"/>
      <c r="E2" s="557"/>
      <c r="F2" s="557"/>
    </row>
    <row r="3" spans="1:15" ht="15" thickBot="1" x14ac:dyDescent="0.25"/>
    <row r="4" spans="1:15" ht="15.75" thickBot="1" x14ac:dyDescent="0.25">
      <c r="A4" s="558" t="s">
        <v>3</v>
      </c>
      <c r="B4" s="400" t="s">
        <v>85</v>
      </c>
      <c r="C4" s="444"/>
      <c r="D4" s="444"/>
      <c r="E4" s="444"/>
      <c r="F4" s="444"/>
      <c r="G4" s="444"/>
      <c r="H4" s="401"/>
      <c r="I4" s="270" t="s">
        <v>119</v>
      </c>
    </row>
    <row r="5" spans="1:15" ht="15.75" thickBot="1" x14ac:dyDescent="0.25">
      <c r="A5" s="558"/>
      <c r="B5" s="112" t="s">
        <v>81</v>
      </c>
      <c r="C5" s="565" t="s">
        <v>87</v>
      </c>
      <c r="D5" s="536"/>
      <c r="E5" s="566"/>
      <c r="F5" s="536" t="s">
        <v>83</v>
      </c>
      <c r="G5" s="536"/>
      <c r="H5" s="537"/>
      <c r="I5" s="271" t="s">
        <v>83</v>
      </c>
      <c r="K5" s="497" t="s">
        <v>3</v>
      </c>
      <c r="L5" s="97">
        <v>80</v>
      </c>
      <c r="M5" s="97">
        <v>92</v>
      </c>
      <c r="N5" s="97">
        <v>95</v>
      </c>
      <c r="O5" s="97" t="s">
        <v>50</v>
      </c>
    </row>
    <row r="6" spans="1:15" ht="15.75" thickBot="1" x14ac:dyDescent="0.25">
      <c r="A6" s="558"/>
      <c r="B6" s="103" t="s">
        <v>50</v>
      </c>
      <c r="C6" s="104">
        <v>92</v>
      </c>
      <c r="D6" s="105">
        <v>95</v>
      </c>
      <c r="E6" s="103" t="s">
        <v>50</v>
      </c>
      <c r="F6" s="101">
        <v>92</v>
      </c>
      <c r="G6" s="105">
        <v>95</v>
      </c>
      <c r="H6" s="100" t="s">
        <v>50</v>
      </c>
      <c r="I6" s="270" t="s">
        <v>50</v>
      </c>
      <c r="K6" s="499"/>
      <c r="L6" s="100" t="s">
        <v>7</v>
      </c>
      <c r="M6" s="100" t="s">
        <v>7</v>
      </c>
      <c r="N6" s="100" t="s">
        <v>7</v>
      </c>
      <c r="O6" s="100" t="s">
        <v>7</v>
      </c>
    </row>
    <row r="7" spans="1:15" ht="16.5" thickBot="1" x14ac:dyDescent="0.3">
      <c r="A7" s="102" t="s">
        <v>22</v>
      </c>
      <c r="B7" s="30">
        <f>IF(O7&gt;50,O7,0)</f>
        <v>68</v>
      </c>
      <c r="C7" s="21" t="e">
        <f>IF($D$22&gt;$D$21,M7,0)</f>
        <v>#REF!</v>
      </c>
      <c r="D7" s="20" t="e">
        <f>IF($D$20&gt;D19,N7,0)</f>
        <v>#REF!</v>
      </c>
      <c r="E7" s="30" t="e">
        <f>IF(($D$17&gt;$D$15),IF(O7&lt;51,O7,0),0)</f>
        <v>#REF!</v>
      </c>
      <c r="F7" s="113" t="e">
        <f>IF($D$21&gt;$D$22,M7,0)</f>
        <v>#VALUE!</v>
      </c>
      <c r="G7" s="20" t="e">
        <f>IF($D$19&gt;$D$20,N7,0)</f>
        <v>#REF!</v>
      </c>
      <c r="H7" s="5" t="e">
        <f>IF(($D$17&lt;$D$15),IF(O7&lt;51,O7,0),0)</f>
        <v>#REF!</v>
      </c>
      <c r="I7" s="5">
        <v>0</v>
      </c>
      <c r="K7" s="102" t="s">
        <v>22</v>
      </c>
      <c r="L7" s="33">
        <f>'خطة الإمداد'!L40</f>
        <v>0</v>
      </c>
      <c r="M7" s="33">
        <f>'خطة الإمداد'!M40</f>
        <v>34</v>
      </c>
      <c r="N7" s="33">
        <f>'خطة الإمداد'!N40</f>
        <v>17</v>
      </c>
      <c r="O7" s="33">
        <f>'خطة الإمداد'!O40</f>
        <v>68</v>
      </c>
    </row>
    <row r="8" spans="1:15" ht="16.5" thickBot="1" x14ac:dyDescent="0.3">
      <c r="A8" s="102" t="s">
        <v>23</v>
      </c>
      <c r="B8" s="30">
        <f t="shared" ref="B8:B10" si="0">IF(O8&gt;50,O8,0)</f>
        <v>68</v>
      </c>
      <c r="C8" s="21" t="e">
        <f>IF($D$22&gt;$D$21,M8,0)</f>
        <v>#REF!</v>
      </c>
      <c r="D8" s="20" t="e">
        <f>IF($D$20&gt;D20,N8,0)</f>
        <v>#REF!</v>
      </c>
      <c r="E8" s="30" t="e">
        <f t="shared" ref="E8:E10" si="1">IF(($D$17&gt;$D$15),IF(O8&lt;51,O8,0),0)</f>
        <v>#REF!</v>
      </c>
      <c r="F8" s="113" t="e">
        <f t="shared" ref="F8:F10" si="2">IF($D$21&gt;$D$22,M8,0)</f>
        <v>#VALUE!</v>
      </c>
      <c r="G8" s="20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02" t="s">
        <v>23</v>
      </c>
      <c r="L8" s="33">
        <f>'خطة الإمداد'!L41</f>
        <v>0</v>
      </c>
      <c r="M8" s="33">
        <f>'خطة الإمداد'!M41</f>
        <v>17</v>
      </c>
      <c r="N8" s="33">
        <f>'خطة الإمداد'!N41</f>
        <v>17</v>
      </c>
      <c r="O8" s="33">
        <f>'خطة الإمداد'!O41</f>
        <v>68</v>
      </c>
    </row>
    <row r="9" spans="1:15" ht="16.5" thickBot="1" x14ac:dyDescent="0.3">
      <c r="A9" s="102" t="s">
        <v>24</v>
      </c>
      <c r="B9" s="31"/>
      <c r="C9" s="21" t="e">
        <f>IF($D$22&gt;$D$21,M9,0)</f>
        <v>#REF!</v>
      </c>
      <c r="D9" s="20" t="e">
        <f>IF($D$20&gt;D21,N9,0)</f>
        <v>#REF!</v>
      </c>
      <c r="E9" s="31"/>
      <c r="F9" s="113" t="e">
        <f t="shared" si="2"/>
        <v>#VALUE!</v>
      </c>
      <c r="G9" s="20" t="e">
        <f t="shared" si="3"/>
        <v>#REF!</v>
      </c>
      <c r="H9" s="106"/>
      <c r="I9" s="5">
        <v>0</v>
      </c>
      <c r="K9" s="102" t="s">
        <v>24</v>
      </c>
      <c r="L9" s="33">
        <f>'خطة الإمداد'!L42</f>
        <v>0</v>
      </c>
      <c r="M9" s="33">
        <f>'خطة الإمداد'!M42</f>
        <v>17</v>
      </c>
      <c r="N9" s="33">
        <f>'خطة الإمداد'!N42</f>
        <v>17</v>
      </c>
      <c r="O9" s="33">
        <f>'خطة الإمداد'!O42</f>
        <v>0</v>
      </c>
    </row>
    <row r="10" spans="1:15" ht="16.5" thickBot="1" x14ac:dyDescent="0.3">
      <c r="A10" s="102" t="s">
        <v>26</v>
      </c>
      <c r="B10" s="30">
        <f t="shared" si="0"/>
        <v>0</v>
      </c>
      <c r="C10" s="21" t="e">
        <f>IF($D$22&gt;$D$21,M10,0)</f>
        <v>#REF!</v>
      </c>
      <c r="D10" s="20" t="e">
        <f>IF($D$20&gt;D22,N10,0)</f>
        <v>#REF!</v>
      </c>
      <c r="E10" s="30" t="e">
        <f t="shared" si="1"/>
        <v>#REF!</v>
      </c>
      <c r="F10" s="113" t="e">
        <f t="shared" si="2"/>
        <v>#VALUE!</v>
      </c>
      <c r="G10" s="20" t="e">
        <f t="shared" si="3"/>
        <v>#REF!</v>
      </c>
      <c r="H10" s="5" t="e">
        <f t="shared" si="4"/>
        <v>#REF!</v>
      </c>
      <c r="I10" s="5">
        <f>O10</f>
        <v>0</v>
      </c>
      <c r="K10" s="102" t="s">
        <v>26</v>
      </c>
      <c r="L10" s="33">
        <f>'خطة الإمداد'!L43</f>
        <v>0</v>
      </c>
      <c r="M10" s="33">
        <f>'خطة الإمداد'!M43</f>
        <v>17</v>
      </c>
      <c r="N10" s="33">
        <f>'خطة الإمداد'!N43</f>
        <v>0</v>
      </c>
      <c r="O10" s="33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3" t="s">
        <v>50</v>
      </c>
      <c r="C15" s="44" t="s">
        <v>83</v>
      </c>
      <c r="D15" s="45">
        <f>[1]مصرملخص!$D$2</f>
        <v>0</v>
      </c>
    </row>
    <row r="16" spans="1:15" ht="16.5" thickBot="1" x14ac:dyDescent="0.25">
      <c r="B16" s="564"/>
      <c r="C16" s="44" t="s">
        <v>93</v>
      </c>
      <c r="D16" s="45">
        <f>[1]التعاون.ملخص!$D$6</f>
        <v>0</v>
      </c>
    </row>
    <row r="17" spans="2:4" ht="16.5" thickBot="1" x14ac:dyDescent="0.25">
      <c r="B17" s="564"/>
      <c r="C17" s="51" t="s">
        <v>87</v>
      </c>
      <c r="D17" s="52" t="e">
        <f>[1]موبيل.ملخص!$D$5</f>
        <v>#REF!</v>
      </c>
    </row>
    <row r="18" spans="2:4" ht="16.5" thickBot="1" x14ac:dyDescent="0.25">
      <c r="B18" s="561"/>
      <c r="C18" s="44" t="s">
        <v>119</v>
      </c>
      <c r="D18" s="45">
        <f>'[1]مصر للبترول'!$Y$36</f>
        <v>0</v>
      </c>
    </row>
    <row r="19" spans="2:4" ht="17.25" thickTop="1" thickBot="1" x14ac:dyDescent="0.25">
      <c r="B19" s="560">
        <v>95</v>
      </c>
      <c r="C19" s="41" t="s">
        <v>83</v>
      </c>
      <c r="D19" s="55">
        <f>[1]مصرملخص!$D$4</f>
        <v>0</v>
      </c>
    </row>
    <row r="20" spans="2:4" ht="16.5" thickBot="1" x14ac:dyDescent="0.25">
      <c r="B20" s="561"/>
      <c r="C20" s="42" t="s">
        <v>87</v>
      </c>
      <c r="D20" s="58" t="e">
        <f>[1]موبيل.ملخص!$D$7</f>
        <v>#REF!</v>
      </c>
    </row>
    <row r="21" spans="2:4" ht="17.25" thickTop="1" thickBot="1" x14ac:dyDescent="0.25">
      <c r="B21" s="560">
        <v>92</v>
      </c>
      <c r="C21" s="60" t="s">
        <v>83</v>
      </c>
      <c r="D21" s="61" t="e">
        <f>[1]مصرملخص!$D$3</f>
        <v>#VALUE!</v>
      </c>
    </row>
    <row r="22" spans="2:4" ht="16.5" thickBot="1" x14ac:dyDescent="0.25">
      <c r="B22" s="562"/>
      <c r="C22" s="53" t="s">
        <v>87</v>
      </c>
      <c r="D22" s="54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29"/>
      <c r="B1" s="123" t="s">
        <v>50</v>
      </c>
      <c r="C1" s="124">
        <v>92</v>
      </c>
      <c r="D1" s="125">
        <v>95</v>
      </c>
      <c r="E1" s="123" t="s">
        <v>50</v>
      </c>
      <c r="F1" s="121">
        <v>92</v>
      </c>
      <c r="G1" s="125">
        <v>95</v>
      </c>
      <c r="H1" s="120" t="s">
        <v>50</v>
      </c>
    </row>
    <row r="2" spans="1:8" ht="16.5" thickBot="1" x14ac:dyDescent="0.25">
      <c r="A2" s="122" t="s">
        <v>22</v>
      </c>
      <c r="B2" s="30">
        <f>'منطقة السويس'!B7</f>
        <v>68</v>
      </c>
      <c r="C2" s="21" t="e">
        <f>'منطقة السويس'!C7</f>
        <v>#REF!</v>
      </c>
      <c r="D2" s="20" t="e">
        <f>'منطقة السويس'!D7</f>
        <v>#REF!</v>
      </c>
      <c r="E2" s="30" t="e">
        <f>'منطقة السويس'!E7</f>
        <v>#REF!</v>
      </c>
      <c r="F2" s="113" t="e">
        <f>'منطقة السويس'!F7</f>
        <v>#VALUE!</v>
      </c>
      <c r="G2" s="20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22" t="s">
        <v>23</v>
      </c>
      <c r="B3" s="30">
        <f>'منطقة السويس'!B8</f>
        <v>68</v>
      </c>
      <c r="C3" s="21" t="e">
        <f>'منطقة السويس'!C8</f>
        <v>#REF!</v>
      </c>
      <c r="D3" s="20" t="e">
        <f>'منطقة السويس'!D8</f>
        <v>#REF!</v>
      </c>
      <c r="E3" s="30" t="e">
        <f>'منطقة السويس'!E8</f>
        <v>#REF!</v>
      </c>
      <c r="F3" s="113" t="e">
        <f>'منطقة السويس'!F8</f>
        <v>#VALUE!</v>
      </c>
      <c r="G3" s="20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22" t="s">
        <v>24</v>
      </c>
      <c r="B4" s="31">
        <f>'منطقة السويس'!B9</f>
        <v>0</v>
      </c>
      <c r="C4" s="21" t="e">
        <f>'منطقة السويس'!C9</f>
        <v>#REF!</v>
      </c>
      <c r="D4" s="20" t="e">
        <f>'منطقة السويس'!D9</f>
        <v>#REF!</v>
      </c>
      <c r="E4" s="31">
        <f>'منطقة السويس'!E9</f>
        <v>0</v>
      </c>
      <c r="F4" s="113" t="e">
        <f>'منطقة السويس'!F9</f>
        <v>#VALUE!</v>
      </c>
      <c r="G4" s="20" t="e">
        <f>'منطقة السويس'!G9</f>
        <v>#REF!</v>
      </c>
      <c r="H4" s="126">
        <f>'منطقة السويس'!H9</f>
        <v>0</v>
      </c>
    </row>
    <row r="5" spans="1:8" ht="16.5" thickBot="1" x14ac:dyDescent="0.25">
      <c r="A5" s="122" t="s">
        <v>26</v>
      </c>
      <c r="B5" s="30">
        <f>'منطقة السويس'!B10</f>
        <v>0</v>
      </c>
      <c r="C5" s="21" t="e">
        <f>'منطقة السويس'!C10</f>
        <v>#REF!</v>
      </c>
      <c r="D5" s="20" t="e">
        <f>'منطقة السويس'!D10</f>
        <v>#REF!</v>
      </c>
      <c r="E5" s="30" t="e">
        <f>'منطقة السويس'!E10</f>
        <v>#REF!</v>
      </c>
      <c r="F5" s="113" t="e">
        <f>'منطقة السويس'!F10</f>
        <v>#VALUE!</v>
      </c>
      <c r="G5" s="20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57" t="s">
        <v>106</v>
      </c>
      <c r="D2" s="557"/>
      <c r="E2" s="557"/>
      <c r="F2" s="557"/>
    </row>
    <row r="3" spans="1:15" ht="15" thickBot="1" x14ac:dyDescent="0.25"/>
    <row r="4" spans="1:15" ht="15.75" thickBot="1" x14ac:dyDescent="0.25">
      <c r="A4" s="558" t="s">
        <v>3</v>
      </c>
      <c r="B4" s="400" t="s">
        <v>91</v>
      </c>
      <c r="C4" s="444"/>
      <c r="D4" s="444"/>
      <c r="E4" s="444"/>
      <c r="F4" s="444"/>
      <c r="G4" s="444"/>
      <c r="H4" s="444"/>
      <c r="I4" s="401"/>
    </row>
    <row r="5" spans="1:15" ht="15.75" thickBot="1" x14ac:dyDescent="0.25">
      <c r="A5" s="558"/>
      <c r="B5" s="538" t="s">
        <v>81</v>
      </c>
      <c r="C5" s="538"/>
      <c r="D5" s="554"/>
      <c r="E5" s="570" t="s">
        <v>83</v>
      </c>
      <c r="F5" s="571"/>
      <c r="G5" s="555" t="s">
        <v>87</v>
      </c>
      <c r="H5" s="538"/>
      <c r="I5" s="538"/>
      <c r="K5" s="497" t="s">
        <v>3</v>
      </c>
      <c r="L5" s="97">
        <v>80</v>
      </c>
      <c r="M5" s="97">
        <v>92</v>
      </c>
      <c r="N5" s="97">
        <v>95</v>
      </c>
      <c r="O5" s="97" t="s">
        <v>50</v>
      </c>
    </row>
    <row r="6" spans="1:15" ht="15.75" thickBot="1" x14ac:dyDescent="0.25">
      <c r="A6" s="558"/>
      <c r="B6" s="96" t="s">
        <v>5</v>
      </c>
      <c r="C6" s="96" t="s">
        <v>11</v>
      </c>
      <c r="D6" s="98" t="s">
        <v>50</v>
      </c>
      <c r="E6" s="114" t="s">
        <v>11</v>
      </c>
      <c r="F6" s="30" t="s">
        <v>50</v>
      </c>
      <c r="G6" s="113" t="s">
        <v>11</v>
      </c>
      <c r="H6" s="96" t="s">
        <v>12</v>
      </c>
      <c r="I6" s="96" t="s">
        <v>50</v>
      </c>
      <c r="K6" s="499"/>
      <c r="L6" s="100" t="s">
        <v>7</v>
      </c>
      <c r="M6" s="100" t="s">
        <v>7</v>
      </c>
      <c r="N6" s="100" t="s">
        <v>7</v>
      </c>
      <c r="O6" s="100" t="s">
        <v>7</v>
      </c>
    </row>
    <row r="7" spans="1:15" ht="16.5" thickBot="1" x14ac:dyDescent="0.3">
      <c r="A7" s="102" t="s">
        <v>25</v>
      </c>
      <c r="B7" s="106"/>
      <c r="C7" s="5" t="e">
        <f>IF($D$20&gt;$D$19,IF($D$20&gt;$D$21,M7,0),0)</f>
        <v>#REF!</v>
      </c>
      <c r="D7" s="20" t="e">
        <f>IF($D$15&gt;$D$14,IF($D$15&gt;$D$16,O7,0),0)</f>
        <v>#REF!</v>
      </c>
      <c r="E7" s="21">
        <f>IF($D$19&gt;$D$20,IF($D$19&gt;$D$21,M7,0),0)</f>
        <v>0</v>
      </c>
      <c r="F7" s="30">
        <f>IF($D$14&gt;$D$15,IF($D$14&gt;$D$16,O7,0),0)</f>
        <v>0</v>
      </c>
      <c r="G7" s="21" t="e">
        <f>IF($D$21&gt;$D$20,IF($D$21&gt;$D$19,M7,0),0)</f>
        <v>#REF!</v>
      </c>
      <c r="H7" s="5">
        <f>N7</f>
        <v>0</v>
      </c>
      <c r="I7" s="33" t="e">
        <f>IF($D$16&gt;$D$15,IF($D$16&gt;$D$14,O7,0),0)</f>
        <v>#REF!</v>
      </c>
      <c r="K7" s="102" t="s">
        <v>25</v>
      </c>
      <c r="L7" s="33">
        <f>'خطة الإمداد'!L44</f>
        <v>0</v>
      </c>
      <c r="M7" s="33">
        <f>'خطة الإمداد'!M44</f>
        <v>17</v>
      </c>
      <c r="N7" s="33">
        <f>'خطة الإمداد'!N44</f>
        <v>0</v>
      </c>
      <c r="O7" s="33">
        <f>'خطة الإمداد'!O44</f>
        <v>17</v>
      </c>
    </row>
    <row r="8" spans="1:15" ht="16.5" thickBot="1" x14ac:dyDescent="0.3">
      <c r="A8" s="102" t="s">
        <v>27</v>
      </c>
      <c r="B8" s="106"/>
      <c r="C8" s="5" t="e">
        <f t="shared" ref="C8:C9" si="0">IF($D$20&gt;$D$19,IF($D$20&gt;$D$21,M8,0),0)</f>
        <v>#REF!</v>
      </c>
      <c r="D8" s="22"/>
      <c r="E8" s="21">
        <f t="shared" ref="E8:E10" si="1">IF($D$19&gt;$D$20,IF($D$19&gt;$D$21,M8,0),0)</f>
        <v>0</v>
      </c>
      <c r="F8" s="31"/>
      <c r="G8" s="21" t="e">
        <f t="shared" ref="G8:G10" si="2">IF($D$21&gt;$D$20,IF($D$21&gt;$D$19,M8,0),0)</f>
        <v>#REF!</v>
      </c>
      <c r="H8" s="5">
        <f t="shared" ref="H8" si="3">N8</f>
        <v>17</v>
      </c>
      <c r="I8" s="72"/>
      <c r="K8" s="102" t="s">
        <v>27</v>
      </c>
      <c r="L8" s="33">
        <f>'خطة الإمداد'!L45</f>
        <v>0</v>
      </c>
      <c r="M8" s="33">
        <f>'خطة الإمداد'!M45</f>
        <v>34</v>
      </c>
      <c r="N8" s="33">
        <f>'خطة الإمداد'!N45</f>
        <v>17</v>
      </c>
      <c r="O8" s="33">
        <f>'خطة الإمداد'!O45</f>
        <v>34</v>
      </c>
    </row>
    <row r="9" spans="1:15" ht="16.5" thickBot="1" x14ac:dyDescent="0.3">
      <c r="A9" s="102" t="s">
        <v>28</v>
      </c>
      <c r="B9" s="5">
        <f t="shared" ref="B9" si="4">L9</f>
        <v>0</v>
      </c>
      <c r="C9" s="5" t="e">
        <f t="shared" si="0"/>
        <v>#REF!</v>
      </c>
      <c r="D9" s="20" t="e">
        <f t="shared" ref="D9:D10" si="5">IF($D$15&gt;$D$14,IF($D$15&gt;$D$16,O9,0),0)</f>
        <v>#REF!</v>
      </c>
      <c r="E9" s="21">
        <f t="shared" si="1"/>
        <v>0</v>
      </c>
      <c r="F9" s="30">
        <f t="shared" ref="F9:F10" si="6">IF($D$14&gt;$D$15,IF($D$14&gt;$D$16,O9,0),0)</f>
        <v>0</v>
      </c>
      <c r="G9" s="21" t="e">
        <f t="shared" si="2"/>
        <v>#REF!</v>
      </c>
      <c r="H9" s="106"/>
      <c r="I9" s="33" t="e">
        <f t="shared" ref="I9:I10" si="7">IF($D$16&gt;$D$15,IF($D$16&gt;$D$14,O9,0),0)</f>
        <v>#REF!</v>
      </c>
      <c r="K9" s="102" t="s">
        <v>28</v>
      </c>
      <c r="L9" s="33">
        <f>'خطة الإمداد'!L46</f>
        <v>0</v>
      </c>
      <c r="M9" s="33">
        <f>'خطة الإمداد'!M46</f>
        <v>34</v>
      </c>
      <c r="N9" s="33">
        <f>'خطة الإمداد'!N46</f>
        <v>0</v>
      </c>
      <c r="O9" s="33">
        <f>'خطة الإمداد'!O46</f>
        <v>0</v>
      </c>
    </row>
    <row r="10" spans="1:15" ht="16.5" thickBot="1" x14ac:dyDescent="0.3">
      <c r="A10" s="102" t="s">
        <v>29</v>
      </c>
      <c r="B10" s="106"/>
      <c r="C10" s="5" t="e">
        <f>IF($D$20&gt;$D$19,IF($D$20&gt;$D$21,M10,0),0)</f>
        <v>#REF!</v>
      </c>
      <c r="D10" s="20" t="e">
        <f t="shared" si="5"/>
        <v>#REF!</v>
      </c>
      <c r="E10" s="21">
        <f t="shared" si="1"/>
        <v>0</v>
      </c>
      <c r="F10" s="30">
        <f t="shared" si="6"/>
        <v>0</v>
      </c>
      <c r="G10" s="21" t="e">
        <f t="shared" si="2"/>
        <v>#REF!</v>
      </c>
      <c r="H10" s="106"/>
      <c r="I10" s="33" t="e">
        <f t="shared" si="7"/>
        <v>#REF!</v>
      </c>
      <c r="K10" s="102" t="s">
        <v>29</v>
      </c>
      <c r="L10" s="33">
        <f>'خطة الإمداد'!L47</f>
        <v>0</v>
      </c>
      <c r="M10" s="33">
        <f>'خطة الإمداد'!M47</f>
        <v>17</v>
      </c>
      <c r="N10" s="33">
        <f>'خطة الإمداد'!N47</f>
        <v>0</v>
      </c>
      <c r="O10" s="33">
        <f>'خطة الإمداد'!O47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67" t="s">
        <v>50</v>
      </c>
      <c r="C14" s="44" t="s">
        <v>83</v>
      </c>
      <c r="D14" s="49">
        <f>[1]مصرملخص!$D$6</f>
        <v>0</v>
      </c>
    </row>
    <row r="15" spans="1:15" ht="16.5" thickBot="1" x14ac:dyDescent="0.3">
      <c r="B15" s="568"/>
      <c r="C15" s="44" t="s">
        <v>93</v>
      </c>
      <c r="D15" s="49">
        <f>[1]التعاون.ملخص!$D$7</f>
        <v>149</v>
      </c>
    </row>
    <row r="16" spans="1:15" ht="16.5" thickBot="1" x14ac:dyDescent="0.3">
      <c r="B16" s="569"/>
      <c r="C16" s="44" t="s">
        <v>87</v>
      </c>
      <c r="D16" s="49" t="e">
        <f>[1]موبيل.ملخص!$D$8</f>
        <v>#REF!</v>
      </c>
    </row>
    <row r="17" spans="2:4" ht="16.5" thickBot="1" x14ac:dyDescent="0.3">
      <c r="B17" s="56">
        <v>80</v>
      </c>
      <c r="C17" s="47" t="s">
        <v>93</v>
      </c>
      <c r="D17" s="57">
        <f>[1]التعاون.ملخص!$D$8</f>
        <v>83</v>
      </c>
    </row>
    <row r="18" spans="2:4" ht="16.5" thickBot="1" x14ac:dyDescent="0.3">
      <c r="B18" s="56">
        <v>95</v>
      </c>
      <c r="C18" s="40" t="s">
        <v>87</v>
      </c>
      <c r="D18" s="59" t="e">
        <f>[1]موبيل.ملخص!$D$10</f>
        <v>#REF!</v>
      </c>
    </row>
    <row r="19" spans="2:4" ht="16.5" thickBot="1" x14ac:dyDescent="0.3">
      <c r="B19" s="567">
        <v>92</v>
      </c>
      <c r="C19" s="62" t="s">
        <v>83</v>
      </c>
      <c r="D19" s="63">
        <f>[1]مصرملخص!$D$7</f>
        <v>0</v>
      </c>
    </row>
    <row r="20" spans="2:4" ht="16.5" thickBot="1" x14ac:dyDescent="0.3">
      <c r="B20" s="568"/>
      <c r="C20" s="62" t="s">
        <v>93</v>
      </c>
      <c r="D20" s="63">
        <f>[1]التعاون.ملخص!$D$9</f>
        <v>215</v>
      </c>
    </row>
    <row r="21" spans="2:4" ht="16.5" thickBot="1" x14ac:dyDescent="0.3">
      <c r="B21" s="569"/>
      <c r="C21" s="62" t="s">
        <v>87</v>
      </c>
      <c r="D21" s="63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22"/>
      <c r="B1" s="116" t="s">
        <v>5</v>
      </c>
      <c r="C1" s="116" t="s">
        <v>11</v>
      </c>
      <c r="D1" s="117" t="s">
        <v>50</v>
      </c>
      <c r="E1" s="127" t="s">
        <v>11</v>
      </c>
      <c r="F1" s="30" t="s">
        <v>50</v>
      </c>
      <c r="G1" s="113" t="s">
        <v>11</v>
      </c>
      <c r="H1" s="116" t="s">
        <v>12</v>
      </c>
      <c r="I1" s="116" t="s">
        <v>50</v>
      </c>
    </row>
    <row r="2" spans="1:9" ht="16.5" thickBot="1" x14ac:dyDescent="0.3">
      <c r="A2" s="122" t="s">
        <v>25</v>
      </c>
      <c r="B2" s="126">
        <f>'منطقة الاسكندرية'!B7</f>
        <v>0</v>
      </c>
      <c r="C2" s="5" t="e">
        <f>'منطقة الاسكندرية'!C7</f>
        <v>#REF!</v>
      </c>
      <c r="D2" s="20" t="e">
        <f>'منطقة الاسكندرية'!D7</f>
        <v>#REF!</v>
      </c>
      <c r="E2" s="21">
        <f>'منطقة الاسكندرية'!E7</f>
        <v>0</v>
      </c>
      <c r="F2" s="30">
        <f>'منطقة الاسكندرية'!F7</f>
        <v>0</v>
      </c>
      <c r="G2" s="21" t="e">
        <f>'منطقة الاسكندرية'!G7</f>
        <v>#REF!</v>
      </c>
      <c r="H2" s="5">
        <f>'منطقة الاسكندرية'!H7</f>
        <v>0</v>
      </c>
      <c r="I2" s="33" t="e">
        <f>'منطقة الاسكندرية'!I7</f>
        <v>#REF!</v>
      </c>
    </row>
    <row r="3" spans="1:9" ht="16.5" thickBot="1" x14ac:dyDescent="0.3">
      <c r="A3" s="122" t="s">
        <v>27</v>
      </c>
      <c r="B3" s="126">
        <f>'منطقة الاسكندرية'!B8</f>
        <v>0</v>
      </c>
      <c r="C3" s="5" t="e">
        <f>'منطقة الاسكندرية'!C8</f>
        <v>#REF!</v>
      </c>
      <c r="D3" s="22">
        <f>'منطقة الاسكندرية'!D8</f>
        <v>0</v>
      </c>
      <c r="E3" s="21">
        <f>'منطقة الاسكندرية'!E8</f>
        <v>0</v>
      </c>
      <c r="F3" s="31">
        <f>'منطقة الاسكندرية'!F8</f>
        <v>0</v>
      </c>
      <c r="G3" s="21" t="e">
        <f>'منطقة الاسكندرية'!G8</f>
        <v>#REF!</v>
      </c>
      <c r="H3" s="5">
        <f>'منطقة الاسكندرية'!H8</f>
        <v>17</v>
      </c>
      <c r="I3" s="72">
        <f>'منطقة الاسكندرية'!I8</f>
        <v>0</v>
      </c>
    </row>
    <row r="4" spans="1:9" ht="16.5" thickBot="1" x14ac:dyDescent="0.3">
      <c r="A4" s="122" t="s">
        <v>28</v>
      </c>
      <c r="B4" s="5">
        <f>'منطقة الاسكندرية'!B9</f>
        <v>0</v>
      </c>
      <c r="C4" s="5" t="e">
        <f>'منطقة الاسكندرية'!C9</f>
        <v>#REF!</v>
      </c>
      <c r="D4" s="20" t="e">
        <f>'منطقة الاسكندرية'!D9</f>
        <v>#REF!</v>
      </c>
      <c r="E4" s="21">
        <f>'منطقة الاسكندرية'!E9</f>
        <v>0</v>
      </c>
      <c r="F4" s="30">
        <f>'منطقة الاسكندرية'!F9</f>
        <v>0</v>
      </c>
      <c r="G4" s="21" t="e">
        <f>'منطقة الاسكندرية'!G9</f>
        <v>#REF!</v>
      </c>
      <c r="H4" s="126">
        <f>'منطقة الاسكندرية'!H9</f>
        <v>0</v>
      </c>
      <c r="I4" s="33" t="e">
        <f>'منطقة الاسكندرية'!I9</f>
        <v>#REF!</v>
      </c>
    </row>
    <row r="5" spans="1:9" ht="16.5" thickBot="1" x14ac:dyDescent="0.3">
      <c r="A5" s="122" t="s">
        <v>29</v>
      </c>
      <c r="B5" s="126">
        <f>'منطقة الاسكندرية'!B10</f>
        <v>0</v>
      </c>
      <c r="C5" s="5" t="e">
        <f>'منطقة الاسكندرية'!C10</f>
        <v>#REF!</v>
      </c>
      <c r="D5" s="20" t="e">
        <f>'منطقة الاسكندرية'!D10</f>
        <v>#REF!</v>
      </c>
      <c r="E5" s="21">
        <f>'منطقة الاسكندرية'!E10</f>
        <v>0</v>
      </c>
      <c r="F5" s="30">
        <f>'منطقة الاسكندرية'!F10</f>
        <v>0</v>
      </c>
      <c r="G5" s="21" t="e">
        <f>'منطقة الاسكندرية'!G10</f>
        <v>#REF!</v>
      </c>
      <c r="H5" s="126">
        <f>'منطقة الاسكندرية'!H10</f>
        <v>0</v>
      </c>
      <c r="I5" s="33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5" t="s">
        <v>0</v>
      </c>
      <c r="B1" s="405"/>
      <c r="C1" s="405"/>
      <c r="D1" s="405"/>
      <c r="E1" s="405"/>
      <c r="Q1" s="403"/>
      <c r="R1" s="403"/>
    </row>
    <row r="2" spans="1:18" ht="15.75" x14ac:dyDescent="0.25">
      <c r="A2" s="405" t="s">
        <v>1</v>
      </c>
      <c r="B2" s="405"/>
      <c r="C2" s="405"/>
      <c r="D2" s="405"/>
      <c r="E2" s="405"/>
    </row>
    <row r="3" spans="1:18" ht="15.75" x14ac:dyDescent="0.25">
      <c r="A3" s="405" t="s">
        <v>2</v>
      </c>
      <c r="B3" s="405"/>
      <c r="C3" s="405"/>
      <c r="D3" s="405"/>
      <c r="E3" s="405"/>
    </row>
    <row r="4" spans="1:18" ht="48.75" customHeight="1" thickBot="1" x14ac:dyDescent="0.3">
      <c r="F4" s="402" t="s">
        <v>194</v>
      </c>
      <c r="G4" s="402"/>
      <c r="H4" s="402"/>
      <c r="I4" s="402"/>
      <c r="J4" s="402"/>
      <c r="K4" s="402"/>
      <c r="L4" s="402"/>
      <c r="M4" s="402"/>
      <c r="P4" s="402" t="s">
        <v>51</v>
      </c>
      <c r="Q4" s="402"/>
      <c r="R4" s="26"/>
    </row>
    <row r="5" spans="1:18" ht="20.100000000000001" customHeight="1" thickBot="1" x14ac:dyDescent="0.25">
      <c r="A5" s="412" t="s">
        <v>14</v>
      </c>
      <c r="B5" s="412" t="s">
        <v>3</v>
      </c>
      <c r="C5" s="393" t="s">
        <v>5</v>
      </c>
      <c r="D5" s="393"/>
      <c r="E5" s="393"/>
      <c r="F5" s="393" t="s">
        <v>11</v>
      </c>
      <c r="G5" s="393"/>
      <c r="H5" s="393"/>
      <c r="I5" s="393" t="s">
        <v>12</v>
      </c>
      <c r="J5" s="393"/>
      <c r="K5" s="393"/>
      <c r="L5" s="393" t="s">
        <v>50</v>
      </c>
      <c r="M5" s="393"/>
      <c r="N5" s="393"/>
      <c r="O5" s="400" t="s">
        <v>45</v>
      </c>
      <c r="P5" s="401"/>
      <c r="Q5" s="409" t="s">
        <v>49</v>
      </c>
    </row>
    <row r="6" spans="1:18" ht="20.100000000000001" customHeight="1" thickBot="1" x14ac:dyDescent="0.25">
      <c r="A6" s="412"/>
      <c r="B6" s="412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4" t="s">
        <v>74</v>
      </c>
      <c r="Q6" s="410"/>
    </row>
    <row r="7" spans="1:18" ht="20.100000000000001" customHeight="1" thickBot="1" x14ac:dyDescent="0.25">
      <c r="A7" s="27">
        <v>1</v>
      </c>
      <c r="B7" s="27" t="s">
        <v>15</v>
      </c>
      <c r="C7" s="6"/>
      <c r="D7" s="6"/>
      <c r="E7" s="6"/>
      <c r="F7" s="2">
        <f>'أخذ التمام الصباحي'!H5</f>
        <v>25236</v>
      </c>
      <c r="G7" s="2">
        <f>F7*6.75</f>
        <v>170343</v>
      </c>
      <c r="H7" s="2">
        <f>F7*0.33</f>
        <v>8327.880000000001</v>
      </c>
      <c r="I7" s="2">
        <f>'أخذ التمام الصباحي'!K5</f>
        <v>7775</v>
      </c>
      <c r="J7" s="2">
        <f>I7*7.75</f>
        <v>60256.25</v>
      </c>
      <c r="K7" s="2">
        <f>I7*0.45</f>
        <v>3498.75</v>
      </c>
      <c r="L7" s="6"/>
      <c r="M7" s="6"/>
      <c r="N7" s="6"/>
      <c r="O7" s="7">
        <f>SUM(D7,G7,J7,M7)/100</f>
        <v>2305.9924999999998</v>
      </c>
      <c r="P7" s="10">
        <f>'أخذ التمام الصباحي'!Q5</f>
        <v>2150</v>
      </c>
      <c r="Q7" s="7">
        <f t="shared" ref="Q7:Q27" si="0">P7-O7</f>
        <v>-155.99249999999984</v>
      </c>
    </row>
    <row r="8" spans="1:18" ht="20.100000000000001" customHeight="1" thickBot="1" x14ac:dyDescent="0.25">
      <c r="A8" s="275">
        <v>2</v>
      </c>
      <c r="B8" s="275" t="s">
        <v>163</v>
      </c>
      <c r="C8" s="6"/>
      <c r="D8" s="6"/>
      <c r="E8" s="6"/>
      <c r="F8" s="279">
        <f>'أخذ التمام الصباحي'!H6</f>
        <v>29824</v>
      </c>
      <c r="G8" s="279">
        <f>F8*6.75</f>
        <v>201312</v>
      </c>
      <c r="H8" s="279">
        <f>F8*0.33</f>
        <v>9841.92</v>
      </c>
      <c r="I8" s="279">
        <f>'أخذ التمام الصباحي'!K6</f>
        <v>8526</v>
      </c>
      <c r="J8" s="279">
        <f>I8*7.75</f>
        <v>66076.5</v>
      </c>
      <c r="K8" s="279">
        <f>I8*0.45</f>
        <v>3836.7000000000003</v>
      </c>
      <c r="L8" s="6"/>
      <c r="M8" s="6"/>
      <c r="N8" s="6"/>
      <c r="O8" s="7">
        <f>SUM(D8,G8,J8,M8)/100</f>
        <v>2673.8850000000002</v>
      </c>
      <c r="P8" s="10">
        <f>'أخذ التمام الصباحي'!Q6</f>
        <v>2400</v>
      </c>
      <c r="Q8" s="7">
        <f t="shared" si="0"/>
        <v>-273.88500000000022</v>
      </c>
    </row>
    <row r="9" spans="1:18" ht="20.100000000000001" customHeight="1" thickBot="1" x14ac:dyDescent="0.25">
      <c r="A9" s="281">
        <v>3</v>
      </c>
      <c r="B9" s="281" t="s">
        <v>158</v>
      </c>
      <c r="C9" s="288">
        <f>'أخذ التمام الصباحي'!E7</f>
        <v>37982</v>
      </c>
      <c r="D9" s="5">
        <f t="shared" ref="D9" si="1">C9*5.5</f>
        <v>208901</v>
      </c>
      <c r="E9" s="5">
        <f>C9*0.25</f>
        <v>9495.5</v>
      </c>
      <c r="F9" s="284">
        <f>'أخذ التمام الصباحي'!H7</f>
        <v>21346</v>
      </c>
      <c r="G9" s="284">
        <f t="shared" ref="G9:G27" si="2">F9*6.75</f>
        <v>144085.5</v>
      </c>
      <c r="H9" s="284">
        <f t="shared" ref="H9:H27" si="3">F9*0.33</f>
        <v>7044.18</v>
      </c>
      <c r="I9" s="284">
        <f>'أخذ التمام الصباحي'!K7</f>
        <v>3208</v>
      </c>
      <c r="J9" s="284">
        <f t="shared" ref="J9:J27" si="4">I9*7.75</f>
        <v>24862</v>
      </c>
      <c r="K9" s="284">
        <f t="shared" ref="K9:K27" si="5">I9*0.45</f>
        <v>1443.6000000000001</v>
      </c>
      <c r="L9" s="284">
        <f>'أخذ التمام الصباحي'!N7</f>
        <v>0</v>
      </c>
      <c r="M9" s="284">
        <f t="shared" ref="M9" si="6">L9*5.5</f>
        <v>0</v>
      </c>
      <c r="N9" s="284">
        <f>L9*0.26</f>
        <v>0</v>
      </c>
      <c r="O9" s="7">
        <f>SUM(D9,G9,J9,M9)/100</f>
        <v>3778.4850000000001</v>
      </c>
      <c r="P9" s="10">
        <f>'أخذ التمام الصباحي'!Q7</f>
        <v>3535</v>
      </c>
      <c r="Q9" s="7">
        <f t="shared" si="0"/>
        <v>-243.48500000000013</v>
      </c>
    </row>
    <row r="10" spans="1:18" ht="20.100000000000001" customHeight="1" thickBot="1" x14ac:dyDescent="0.25">
      <c r="A10" s="281">
        <v>4</v>
      </c>
      <c r="B10" s="27" t="s">
        <v>16</v>
      </c>
      <c r="C10" s="2">
        <f>'أخذ التمام الصباحي'!E8</f>
        <v>3237</v>
      </c>
      <c r="D10" s="5">
        <f t="shared" ref="D10:D22" si="7">C10*5.5</f>
        <v>17803.5</v>
      </c>
      <c r="E10" s="5">
        <f>C10*0.25</f>
        <v>809.25</v>
      </c>
      <c r="F10" s="284">
        <f>'أخذ التمام الصباحي'!H8</f>
        <v>20829</v>
      </c>
      <c r="G10" s="284">
        <f t="shared" si="2"/>
        <v>140595.75</v>
      </c>
      <c r="H10" s="284">
        <f t="shared" si="3"/>
        <v>6873.5700000000006</v>
      </c>
      <c r="I10" s="284">
        <f>'أخذ التمام الصباحي'!K8</f>
        <v>8014</v>
      </c>
      <c r="J10" s="284">
        <f t="shared" si="4"/>
        <v>62108.5</v>
      </c>
      <c r="K10" s="284">
        <f t="shared" si="5"/>
        <v>3606.3</v>
      </c>
      <c r="L10" s="2">
        <f>'أخذ التمام الصباحي'!N8</f>
        <v>5432</v>
      </c>
      <c r="M10" s="2">
        <f t="shared" ref="M10:M27" si="8">L10*5.5</f>
        <v>29876</v>
      </c>
      <c r="N10" s="2">
        <f>L10*0.26</f>
        <v>1412.32</v>
      </c>
      <c r="O10" s="7">
        <f t="shared" ref="O10:O27" si="9">SUM(D10,G10,J10,M10)/100</f>
        <v>2503.8375000000001</v>
      </c>
      <c r="P10" s="10">
        <f>'أخذ التمام الصباحي'!Q8</f>
        <v>3080</v>
      </c>
      <c r="Q10" s="7">
        <f t="shared" si="0"/>
        <v>576.16249999999991</v>
      </c>
    </row>
    <row r="11" spans="1:18" ht="20.100000000000001" customHeight="1" thickBot="1" x14ac:dyDescent="0.25">
      <c r="A11" s="281">
        <v>5</v>
      </c>
      <c r="B11" s="27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84">
        <f>'أخذ التمام الصباحي'!H9</f>
        <v>34131</v>
      </c>
      <c r="G11" s="284">
        <f t="shared" si="2"/>
        <v>230384.25</v>
      </c>
      <c r="H11" s="284">
        <f t="shared" si="3"/>
        <v>11263.230000000001</v>
      </c>
      <c r="I11" s="284">
        <f>'أخذ التمام الصباحي'!K9</f>
        <v>8831</v>
      </c>
      <c r="J11" s="284">
        <f t="shared" si="4"/>
        <v>68440.25</v>
      </c>
      <c r="K11" s="284">
        <f t="shared" si="5"/>
        <v>3973.9500000000003</v>
      </c>
      <c r="L11" s="6"/>
      <c r="M11" s="6"/>
      <c r="N11" s="6"/>
      <c r="O11" s="7">
        <f t="shared" si="9"/>
        <v>2988.2449999999999</v>
      </c>
      <c r="P11" s="10">
        <f>'أخذ التمام الصباحي'!Q9</f>
        <v>2940</v>
      </c>
      <c r="Q11" s="7">
        <f t="shared" si="0"/>
        <v>-48.244999999999891</v>
      </c>
    </row>
    <row r="12" spans="1:18" ht="20.100000000000001" customHeight="1" thickBot="1" x14ac:dyDescent="0.25">
      <c r="A12" s="281">
        <v>6</v>
      </c>
      <c r="B12" s="27" t="s">
        <v>18</v>
      </c>
      <c r="C12" s="11">
        <f>'أخذ التمام الصباحي'!E10</f>
        <v>4557</v>
      </c>
      <c r="D12" s="5">
        <f t="shared" si="7"/>
        <v>25063.5</v>
      </c>
      <c r="E12" s="5">
        <f t="shared" si="10"/>
        <v>1139.25</v>
      </c>
      <c r="F12" s="284">
        <f>'أخذ التمام الصباحي'!H10</f>
        <v>28194</v>
      </c>
      <c r="G12" s="284">
        <f t="shared" si="2"/>
        <v>190309.5</v>
      </c>
      <c r="H12" s="284">
        <f t="shared" si="3"/>
        <v>9304.02</v>
      </c>
      <c r="I12" s="6"/>
      <c r="J12" s="6"/>
      <c r="K12" s="6"/>
      <c r="L12" s="19">
        <f>'أخذ التمام الصباحي'!N10</f>
        <v>8928</v>
      </c>
      <c r="M12" s="2">
        <f t="shared" si="8"/>
        <v>49104</v>
      </c>
      <c r="N12" s="2">
        <f>L12*0.26</f>
        <v>2321.2800000000002</v>
      </c>
      <c r="O12" s="7">
        <f t="shared" si="9"/>
        <v>2644.77</v>
      </c>
      <c r="P12" s="10">
        <f>'أخذ التمام الصباحي'!Q10</f>
        <v>3055</v>
      </c>
      <c r="Q12" s="7">
        <f t="shared" si="0"/>
        <v>410.23</v>
      </c>
    </row>
    <row r="13" spans="1:18" ht="20.100000000000001" customHeight="1" thickBot="1" x14ac:dyDescent="0.25">
      <c r="A13" s="281">
        <v>7</v>
      </c>
      <c r="B13" s="27" t="s">
        <v>19</v>
      </c>
      <c r="C13" s="11">
        <f>'أخذ التمام الصباحي'!E11</f>
        <v>7556</v>
      </c>
      <c r="D13" s="5">
        <f t="shared" si="7"/>
        <v>41558</v>
      </c>
      <c r="E13" s="5">
        <f t="shared" si="10"/>
        <v>1889</v>
      </c>
      <c r="F13" s="284">
        <f>'أخذ التمام الصباحي'!H11</f>
        <v>16596</v>
      </c>
      <c r="G13" s="284">
        <f t="shared" si="2"/>
        <v>112023</v>
      </c>
      <c r="H13" s="284">
        <f t="shared" si="3"/>
        <v>5476.68</v>
      </c>
      <c r="I13" s="6"/>
      <c r="J13" s="6"/>
      <c r="K13" s="6"/>
      <c r="L13" s="19">
        <f>'أخذ التمام الصباحي'!N11</f>
        <v>19336</v>
      </c>
      <c r="M13" s="2">
        <f t="shared" si="8"/>
        <v>106348</v>
      </c>
      <c r="N13" s="2">
        <f>L13*0.26</f>
        <v>5027.3600000000006</v>
      </c>
      <c r="O13" s="7">
        <f t="shared" si="9"/>
        <v>2599.29</v>
      </c>
      <c r="P13" s="10">
        <f>'أخذ التمام الصباحي'!Q11</f>
        <v>2800</v>
      </c>
      <c r="Q13" s="7">
        <f t="shared" si="0"/>
        <v>200.71000000000004</v>
      </c>
    </row>
    <row r="14" spans="1:18" ht="20.100000000000001" customHeight="1" thickBot="1" x14ac:dyDescent="0.25">
      <c r="A14" s="281">
        <v>8</v>
      </c>
      <c r="B14" s="27" t="s">
        <v>20</v>
      </c>
      <c r="C14" s="6"/>
      <c r="D14" s="6"/>
      <c r="E14" s="6"/>
      <c r="F14" s="284">
        <f>'أخذ التمام الصباحي'!H12</f>
        <v>40678</v>
      </c>
      <c r="G14" s="284">
        <f t="shared" si="2"/>
        <v>274576.5</v>
      </c>
      <c r="H14" s="284">
        <f t="shared" si="3"/>
        <v>13423.74</v>
      </c>
      <c r="I14" s="284">
        <f>'أخذ التمام الصباحي'!K12</f>
        <v>11813</v>
      </c>
      <c r="J14" s="284">
        <f t="shared" si="4"/>
        <v>91550.75</v>
      </c>
      <c r="K14" s="284">
        <f t="shared" si="5"/>
        <v>5315.85</v>
      </c>
      <c r="L14" s="6"/>
      <c r="M14" s="6"/>
      <c r="N14" s="6"/>
      <c r="O14" s="7">
        <f t="shared" si="9"/>
        <v>3661.2725</v>
      </c>
      <c r="P14" s="10">
        <f>'أخذ التمام الصباحي'!Q12</f>
        <v>3240</v>
      </c>
      <c r="Q14" s="7">
        <f t="shared" si="0"/>
        <v>-421.27250000000004</v>
      </c>
    </row>
    <row r="15" spans="1:18" ht="20.100000000000001" customHeight="1" thickBot="1" x14ac:dyDescent="0.25">
      <c r="A15" s="281">
        <v>9</v>
      </c>
      <c r="B15" s="27" t="s">
        <v>21</v>
      </c>
      <c r="C15" s="6"/>
      <c r="D15" s="6"/>
      <c r="E15" s="6"/>
      <c r="F15" s="284">
        <f>'أخذ التمام الصباحي'!H13</f>
        <v>39837</v>
      </c>
      <c r="G15" s="284">
        <f t="shared" si="2"/>
        <v>268899.75</v>
      </c>
      <c r="H15" s="284">
        <f t="shared" si="3"/>
        <v>13146.210000000001</v>
      </c>
      <c r="I15" s="284">
        <f>'أخذ التمام الصباحي'!K13</f>
        <v>11272</v>
      </c>
      <c r="J15" s="284">
        <f t="shared" si="4"/>
        <v>87358</v>
      </c>
      <c r="K15" s="284">
        <f t="shared" si="5"/>
        <v>5072.4000000000005</v>
      </c>
      <c r="L15" s="19">
        <f>'أخذ التمام الصباحي'!N13</f>
        <v>33511</v>
      </c>
      <c r="M15" s="2">
        <f t="shared" si="8"/>
        <v>184310.5</v>
      </c>
      <c r="N15" s="2">
        <f>L15*0.26</f>
        <v>8712.86</v>
      </c>
      <c r="O15" s="7">
        <f t="shared" si="9"/>
        <v>5405.6824999999999</v>
      </c>
      <c r="P15" s="10">
        <f>'أخذ التمام الصباحي'!Q13</f>
        <v>0</v>
      </c>
      <c r="Q15" s="7">
        <f t="shared" si="0"/>
        <v>-5405.6824999999999</v>
      </c>
    </row>
    <row r="16" spans="1:18" ht="20.100000000000001" customHeight="1" thickBot="1" x14ac:dyDescent="0.25">
      <c r="A16" s="281">
        <v>10</v>
      </c>
      <c r="B16" s="27" t="s">
        <v>22</v>
      </c>
      <c r="C16" s="6"/>
      <c r="D16" s="6"/>
      <c r="E16" s="6"/>
      <c r="F16" s="284">
        <f>'أخذ التمام الصباحي'!H14</f>
        <v>8007</v>
      </c>
      <c r="G16" s="284">
        <f t="shared" si="2"/>
        <v>54047.25</v>
      </c>
      <c r="H16" s="284">
        <f t="shared" si="3"/>
        <v>2642.31</v>
      </c>
      <c r="I16" s="284">
        <f>'أخذ التمام الصباحي'!K14</f>
        <v>3849</v>
      </c>
      <c r="J16" s="284">
        <f t="shared" si="4"/>
        <v>29829.75</v>
      </c>
      <c r="K16" s="284">
        <f t="shared" si="5"/>
        <v>1732.05</v>
      </c>
      <c r="L16" s="19">
        <f>'أخذ التمام الصباحي'!N14</f>
        <v>52745</v>
      </c>
      <c r="M16" s="2">
        <f t="shared" si="8"/>
        <v>290097.5</v>
      </c>
      <c r="N16" s="131">
        <f>L16*0.26</f>
        <v>13713.7</v>
      </c>
      <c r="O16" s="7">
        <f t="shared" si="9"/>
        <v>3739.7449999999999</v>
      </c>
      <c r="P16" s="10">
        <f>'أخذ التمام الصباحي'!Q14</f>
        <v>6358</v>
      </c>
      <c r="Q16" s="7">
        <f t="shared" si="0"/>
        <v>2618.2550000000001</v>
      </c>
    </row>
    <row r="17" spans="1:17" ht="20.100000000000001" customHeight="1" thickBot="1" x14ac:dyDescent="0.25">
      <c r="A17" s="281">
        <v>11</v>
      </c>
      <c r="B17" s="27" t="s">
        <v>23</v>
      </c>
      <c r="C17" s="6"/>
      <c r="D17" s="6"/>
      <c r="E17" s="6"/>
      <c r="F17" s="284">
        <f>'أخذ التمام الصباحي'!H15</f>
        <v>8434</v>
      </c>
      <c r="G17" s="284">
        <f t="shared" si="2"/>
        <v>56929.5</v>
      </c>
      <c r="H17" s="284">
        <f t="shared" si="3"/>
        <v>2783.2200000000003</v>
      </c>
      <c r="I17" s="284">
        <f>'أخذ التمام الصباحي'!K15</f>
        <v>2206</v>
      </c>
      <c r="J17" s="284">
        <f t="shared" si="4"/>
        <v>17096.5</v>
      </c>
      <c r="K17" s="284">
        <f t="shared" si="5"/>
        <v>992.7</v>
      </c>
      <c r="L17" s="19">
        <f>'أخذ التمام الصباحي'!N15</f>
        <v>3376</v>
      </c>
      <c r="M17" s="2">
        <f t="shared" si="8"/>
        <v>18568</v>
      </c>
      <c r="N17" s="131">
        <f>L17*0.26</f>
        <v>877.76</v>
      </c>
      <c r="O17" s="7">
        <f t="shared" si="9"/>
        <v>925.94</v>
      </c>
      <c r="P17" s="10">
        <f>'أخذ التمام الصباحي'!Q15</f>
        <v>1182</v>
      </c>
      <c r="Q17" s="7">
        <f t="shared" si="0"/>
        <v>256.05999999999995</v>
      </c>
    </row>
    <row r="18" spans="1:17" ht="20.100000000000001" customHeight="1" thickBot="1" x14ac:dyDescent="0.25">
      <c r="A18" s="281">
        <v>12</v>
      </c>
      <c r="B18" s="27" t="s">
        <v>24</v>
      </c>
      <c r="C18" s="6"/>
      <c r="D18" s="6"/>
      <c r="E18" s="6"/>
      <c r="F18" s="284">
        <f>'أخذ التمام الصباحي'!H16</f>
        <v>4047</v>
      </c>
      <c r="G18" s="284">
        <f t="shared" si="2"/>
        <v>27317.25</v>
      </c>
      <c r="H18" s="284">
        <f t="shared" si="3"/>
        <v>1335.51</v>
      </c>
      <c r="I18" s="284">
        <f>'أخذ التمام الصباحي'!K16</f>
        <v>1344</v>
      </c>
      <c r="J18" s="284">
        <f t="shared" si="4"/>
        <v>10416</v>
      </c>
      <c r="K18" s="284">
        <f t="shared" si="5"/>
        <v>604.80000000000007</v>
      </c>
      <c r="L18" s="6"/>
      <c r="M18" s="6"/>
      <c r="N18" s="6"/>
      <c r="O18" s="7">
        <f t="shared" si="9"/>
        <v>377.33249999999998</v>
      </c>
      <c r="P18" s="10">
        <f>'أخذ التمام الصباحي'!Q16</f>
        <v>625</v>
      </c>
      <c r="Q18" s="7">
        <f t="shared" si="0"/>
        <v>247.66750000000002</v>
      </c>
    </row>
    <row r="19" spans="1:17" ht="20.100000000000001" customHeight="1" thickBot="1" x14ac:dyDescent="0.25">
      <c r="A19" s="281">
        <v>13</v>
      </c>
      <c r="B19" s="27" t="s">
        <v>26</v>
      </c>
      <c r="C19" s="6"/>
      <c r="D19" s="6"/>
      <c r="E19" s="6"/>
      <c r="F19" s="284">
        <f>'أخذ التمام الصباحي'!H17</f>
        <v>3816</v>
      </c>
      <c r="G19" s="284">
        <f t="shared" si="2"/>
        <v>25758</v>
      </c>
      <c r="H19" s="284">
        <f t="shared" si="3"/>
        <v>1259.28</v>
      </c>
      <c r="I19" s="284">
        <f>'أخذ التمام الصباحي'!K17</f>
        <v>1093</v>
      </c>
      <c r="J19" s="284">
        <f t="shared" si="4"/>
        <v>8470.75</v>
      </c>
      <c r="K19" s="284">
        <f t="shared" si="5"/>
        <v>491.85</v>
      </c>
      <c r="L19" s="19">
        <f>'أخذ التمام الصباحي'!N17</f>
        <v>8090</v>
      </c>
      <c r="M19" s="2">
        <f t="shared" si="8"/>
        <v>44495</v>
      </c>
      <c r="N19" s="2">
        <f>L19*0.26</f>
        <v>2103.4</v>
      </c>
      <c r="O19" s="7">
        <f t="shared" si="9"/>
        <v>787.23749999999995</v>
      </c>
      <c r="P19" s="10">
        <f>'أخذ التمام الصباحي'!Q17</f>
        <v>1421</v>
      </c>
      <c r="Q19" s="7">
        <f t="shared" si="0"/>
        <v>633.76250000000005</v>
      </c>
    </row>
    <row r="20" spans="1:17" ht="20.100000000000001" customHeight="1" thickBot="1" x14ac:dyDescent="0.25">
      <c r="A20" s="281">
        <v>14</v>
      </c>
      <c r="B20" s="27" t="s">
        <v>25</v>
      </c>
      <c r="C20" s="6"/>
      <c r="D20" s="6"/>
      <c r="E20" s="6"/>
      <c r="F20" s="284">
        <f>'أخذ التمام الصباحي'!H18</f>
        <v>18429</v>
      </c>
      <c r="G20" s="284">
        <f t="shared" si="2"/>
        <v>124395.75</v>
      </c>
      <c r="H20" s="284">
        <f t="shared" si="3"/>
        <v>6081.5700000000006</v>
      </c>
      <c r="I20" s="284">
        <f>'أخذ التمام الصباحي'!K18</f>
        <v>4396</v>
      </c>
      <c r="J20" s="284">
        <f t="shared" si="4"/>
        <v>34069</v>
      </c>
      <c r="K20" s="284">
        <f t="shared" si="5"/>
        <v>1978.2</v>
      </c>
      <c r="L20" s="19">
        <f>'أخذ التمام الصباحي'!N18</f>
        <v>26082</v>
      </c>
      <c r="M20" s="2">
        <f t="shared" si="8"/>
        <v>143451</v>
      </c>
      <c r="N20" s="131">
        <f>L20*0.26</f>
        <v>6781.3200000000006</v>
      </c>
      <c r="O20" s="7">
        <f t="shared" si="9"/>
        <v>3019.1574999999998</v>
      </c>
      <c r="P20" s="10">
        <f>'أخذ التمام الصباحي'!Q18</f>
        <v>3859</v>
      </c>
      <c r="Q20" s="7">
        <f t="shared" si="0"/>
        <v>839.8425000000002</v>
      </c>
    </row>
    <row r="21" spans="1:17" ht="20.100000000000001" customHeight="1" thickBot="1" x14ac:dyDescent="0.25">
      <c r="A21" s="281">
        <v>15</v>
      </c>
      <c r="B21" s="27" t="s">
        <v>27</v>
      </c>
      <c r="C21" s="6"/>
      <c r="D21" s="6"/>
      <c r="E21" s="6"/>
      <c r="F21" s="284">
        <f>'أخذ التمام الصباحي'!H19</f>
        <v>6751</v>
      </c>
      <c r="G21" s="284">
        <f t="shared" si="2"/>
        <v>45569.25</v>
      </c>
      <c r="H21" s="284">
        <f t="shared" si="3"/>
        <v>2227.83</v>
      </c>
      <c r="I21" s="284">
        <f>'أخذ التمام الصباحي'!K19</f>
        <v>1640</v>
      </c>
      <c r="J21" s="284">
        <f t="shared" si="4"/>
        <v>12710</v>
      </c>
      <c r="K21" s="284">
        <f t="shared" si="5"/>
        <v>738</v>
      </c>
      <c r="L21" s="6"/>
      <c r="M21" s="6"/>
      <c r="N21" s="6"/>
      <c r="O21" s="7">
        <f t="shared" si="9"/>
        <v>582.79250000000002</v>
      </c>
      <c r="P21" s="10">
        <f>'أخذ التمام الصباحي'!Q19</f>
        <v>760</v>
      </c>
      <c r="Q21" s="7">
        <f t="shared" si="0"/>
        <v>177.20749999999998</v>
      </c>
    </row>
    <row r="22" spans="1:17" ht="20.100000000000001" customHeight="1" thickBot="1" x14ac:dyDescent="0.25">
      <c r="A22" s="281">
        <v>16</v>
      </c>
      <c r="B22" s="27" t="s">
        <v>28</v>
      </c>
      <c r="C22" s="2">
        <f>'أخذ التمام الصباحي'!E20</f>
        <v>277</v>
      </c>
      <c r="D22" s="5">
        <f t="shared" si="7"/>
        <v>1523.5</v>
      </c>
      <c r="E22" s="5">
        <f>C22*0.25</f>
        <v>69.25</v>
      </c>
      <c r="F22" s="284">
        <f>'أخذ التمام الصباحي'!H20</f>
        <v>1205</v>
      </c>
      <c r="G22" s="284">
        <f t="shared" si="2"/>
        <v>8133.75</v>
      </c>
      <c r="H22" s="284">
        <f t="shared" si="3"/>
        <v>397.65000000000003</v>
      </c>
      <c r="I22" s="6"/>
      <c r="J22" s="6"/>
      <c r="K22" s="6"/>
      <c r="L22" s="19">
        <f>'أخذ التمام الصباحي'!N20</f>
        <v>9010</v>
      </c>
      <c r="M22" s="2">
        <f t="shared" si="8"/>
        <v>49555</v>
      </c>
      <c r="N22" s="2">
        <f t="shared" ref="N22:N27" si="11">L22*0.26</f>
        <v>2342.6</v>
      </c>
      <c r="O22" s="7">
        <f t="shared" si="9"/>
        <v>592.12249999999995</v>
      </c>
      <c r="P22" s="10">
        <f>'أخذ التمام الصباحي'!Q20</f>
        <v>800</v>
      </c>
      <c r="Q22" s="7">
        <f t="shared" si="0"/>
        <v>207.87750000000005</v>
      </c>
    </row>
    <row r="23" spans="1:17" ht="20.100000000000001" customHeight="1" thickBot="1" x14ac:dyDescent="0.25">
      <c r="A23" s="281">
        <v>17</v>
      </c>
      <c r="B23" s="27" t="s">
        <v>29</v>
      </c>
      <c r="C23" s="6"/>
      <c r="D23" s="6"/>
      <c r="E23" s="6"/>
      <c r="F23" s="284">
        <f>'أخذ التمام الصباحي'!H21</f>
        <v>3277</v>
      </c>
      <c r="G23" s="284">
        <f t="shared" si="2"/>
        <v>22119.75</v>
      </c>
      <c r="H23" s="284">
        <f t="shared" si="3"/>
        <v>1081.4100000000001</v>
      </c>
      <c r="I23" s="6"/>
      <c r="J23" s="6"/>
      <c r="K23" s="6"/>
      <c r="L23" s="19">
        <f>'أخذ التمام الصباحي'!N21</f>
        <v>3709</v>
      </c>
      <c r="M23" s="2">
        <f t="shared" si="8"/>
        <v>20399.5</v>
      </c>
      <c r="N23" s="175">
        <f t="shared" si="11"/>
        <v>964.34</v>
      </c>
      <c r="O23" s="7">
        <f t="shared" si="9"/>
        <v>425.1925</v>
      </c>
      <c r="P23" s="10">
        <f>'أخذ التمام الصباحي'!Q21</f>
        <v>490</v>
      </c>
      <c r="Q23" s="7">
        <f t="shared" si="0"/>
        <v>64.807500000000005</v>
      </c>
    </row>
    <row r="24" spans="1:17" ht="20.100000000000001" customHeight="1" thickBot="1" x14ac:dyDescent="0.25">
      <c r="A24" s="281">
        <v>18</v>
      </c>
      <c r="B24" s="27" t="s">
        <v>30</v>
      </c>
      <c r="C24" s="6"/>
      <c r="D24" s="6"/>
      <c r="E24" s="6"/>
      <c r="F24" s="284">
        <f>'أخذ التمام الصباحي'!H22</f>
        <v>15866</v>
      </c>
      <c r="G24" s="284">
        <f t="shared" si="2"/>
        <v>107095.5</v>
      </c>
      <c r="H24" s="284">
        <f t="shared" si="3"/>
        <v>5235.7800000000007</v>
      </c>
      <c r="I24" s="284">
        <f>'أخذ التمام الصباحي'!K22</f>
        <v>2138</v>
      </c>
      <c r="J24" s="284">
        <f t="shared" si="4"/>
        <v>16569.5</v>
      </c>
      <c r="K24" s="284">
        <f t="shared" si="5"/>
        <v>962.1</v>
      </c>
      <c r="L24" s="19">
        <f>'أخذ التمام الصباحي'!N22</f>
        <v>56235</v>
      </c>
      <c r="M24" s="2">
        <f t="shared" si="8"/>
        <v>309292.5</v>
      </c>
      <c r="N24" s="175">
        <f t="shared" si="11"/>
        <v>14621.1</v>
      </c>
      <c r="O24" s="7">
        <f t="shared" si="9"/>
        <v>4329.5749999999998</v>
      </c>
      <c r="P24" s="10">
        <f>'أخذ التمام الصباحي'!Q22</f>
        <v>3040</v>
      </c>
      <c r="Q24" s="7">
        <f t="shared" si="0"/>
        <v>-1289.5749999999998</v>
      </c>
    </row>
    <row r="25" spans="1:17" ht="20.100000000000001" customHeight="1" thickBot="1" x14ac:dyDescent="0.25">
      <c r="A25" s="281">
        <v>19</v>
      </c>
      <c r="B25" s="27" t="s">
        <v>31</v>
      </c>
      <c r="C25" s="6"/>
      <c r="D25" s="6"/>
      <c r="E25" s="6"/>
      <c r="F25" s="284">
        <f>'أخذ التمام الصباحي'!H23</f>
        <v>15122</v>
      </c>
      <c r="G25" s="284">
        <f t="shared" si="2"/>
        <v>102073.5</v>
      </c>
      <c r="H25" s="284">
        <f t="shared" si="3"/>
        <v>4990.26</v>
      </c>
      <c r="I25" s="284">
        <f>'أخذ التمام الصباحي'!K23</f>
        <v>3222</v>
      </c>
      <c r="J25" s="284">
        <f t="shared" si="4"/>
        <v>24970.5</v>
      </c>
      <c r="K25" s="284">
        <f t="shared" si="5"/>
        <v>1449.9</v>
      </c>
      <c r="L25" s="19">
        <f>'أخذ التمام الصباحي'!N23</f>
        <v>49245</v>
      </c>
      <c r="M25" s="2">
        <f t="shared" si="8"/>
        <v>270847.5</v>
      </c>
      <c r="N25" s="175">
        <f t="shared" si="11"/>
        <v>12803.7</v>
      </c>
      <c r="O25" s="7">
        <f t="shared" si="9"/>
        <v>3978.915</v>
      </c>
      <c r="P25" s="10">
        <f>'أخذ التمام الصباحي'!Q23</f>
        <v>5140</v>
      </c>
      <c r="Q25" s="7">
        <f t="shared" si="0"/>
        <v>1161.085</v>
      </c>
    </row>
    <row r="26" spans="1:17" ht="20.100000000000001" customHeight="1" thickBot="1" x14ac:dyDescent="0.25">
      <c r="A26" s="281">
        <v>20</v>
      </c>
      <c r="B26" s="27" t="s">
        <v>32</v>
      </c>
      <c r="C26" s="6"/>
      <c r="D26" s="6"/>
      <c r="E26" s="6"/>
      <c r="F26" s="284">
        <f>'أخذ التمام الصباحي'!H24</f>
        <v>11425</v>
      </c>
      <c r="G26" s="284">
        <f t="shared" si="2"/>
        <v>77118.75</v>
      </c>
      <c r="H26" s="284">
        <f t="shared" si="3"/>
        <v>3770.25</v>
      </c>
      <c r="I26" s="284">
        <f>'أخذ التمام الصباحي'!K24</f>
        <v>2548</v>
      </c>
      <c r="J26" s="284">
        <f t="shared" si="4"/>
        <v>19747</v>
      </c>
      <c r="K26" s="284">
        <f t="shared" si="5"/>
        <v>1146.6000000000001</v>
      </c>
      <c r="L26" s="19">
        <f>'أخذ التمام الصباحي'!N24</f>
        <v>22259</v>
      </c>
      <c r="M26" s="2">
        <f t="shared" si="8"/>
        <v>122424.5</v>
      </c>
      <c r="N26" s="175">
        <f t="shared" si="11"/>
        <v>5787.34</v>
      </c>
      <c r="O26" s="7">
        <f t="shared" si="9"/>
        <v>2192.9025000000001</v>
      </c>
      <c r="P26" s="10">
        <f>'أخذ التمام الصباحي'!Q24</f>
        <v>2520</v>
      </c>
      <c r="Q26" s="7">
        <f t="shared" si="0"/>
        <v>327.09749999999985</v>
      </c>
    </row>
    <row r="27" spans="1:17" ht="25.5" customHeight="1" thickBot="1" x14ac:dyDescent="0.25">
      <c r="A27" s="281">
        <v>21</v>
      </c>
      <c r="B27" s="27" t="s">
        <v>33</v>
      </c>
      <c r="C27" s="6"/>
      <c r="D27" s="6"/>
      <c r="E27" s="6"/>
      <c r="F27" s="284">
        <f>'أخذ التمام الصباحي'!H25</f>
        <v>8599</v>
      </c>
      <c r="G27" s="284">
        <f t="shared" si="2"/>
        <v>58043.25</v>
      </c>
      <c r="H27" s="284">
        <f t="shared" si="3"/>
        <v>2837.67</v>
      </c>
      <c r="I27" s="284">
        <f>'أخذ التمام الصباحي'!K25</f>
        <v>1078</v>
      </c>
      <c r="J27" s="284">
        <f t="shared" si="4"/>
        <v>8354.5</v>
      </c>
      <c r="K27" s="284">
        <f t="shared" si="5"/>
        <v>485.1</v>
      </c>
      <c r="L27" s="19">
        <f>'أخذ التمام الصباحي'!N25</f>
        <v>24386</v>
      </c>
      <c r="M27" s="2">
        <f t="shared" si="8"/>
        <v>134123</v>
      </c>
      <c r="N27" s="175">
        <f t="shared" si="11"/>
        <v>6340.3600000000006</v>
      </c>
      <c r="O27" s="7">
        <f t="shared" si="9"/>
        <v>2005.2075</v>
      </c>
      <c r="P27" s="10">
        <f>'أخذ التمام الصباحي'!Q25</f>
        <v>2790</v>
      </c>
      <c r="Q27" s="7">
        <f t="shared" si="0"/>
        <v>784.79250000000002</v>
      </c>
    </row>
    <row r="28" spans="1:17" ht="25.5" customHeight="1" thickBot="1" x14ac:dyDescent="0.25">
      <c r="A28" s="289">
        <v>22</v>
      </c>
      <c r="B28" s="289" t="s">
        <v>112</v>
      </c>
      <c r="C28" s="293">
        <f>'أخذ التمام الصباحي'!E26</f>
        <v>3681</v>
      </c>
      <c r="D28" s="5">
        <f t="shared" ref="D28" si="12">C28*5.5</f>
        <v>20245.5</v>
      </c>
      <c r="E28" s="5">
        <f t="shared" ref="E28" si="13">C28*0.25</f>
        <v>920.25</v>
      </c>
      <c r="F28" s="291">
        <f>'أخذ التمام الصباحي'!H26</f>
        <v>9266</v>
      </c>
      <c r="G28" s="291">
        <f t="shared" ref="G28" si="14">F28*6.75</f>
        <v>62545.5</v>
      </c>
      <c r="H28" s="291">
        <f t="shared" ref="H28" si="15">F28*0.33</f>
        <v>3057.78</v>
      </c>
      <c r="I28" s="291">
        <f>'أخذ التمام الصباحي'!K26</f>
        <v>1058</v>
      </c>
      <c r="J28" s="291">
        <f t="shared" ref="J28" si="16">I28*7.75</f>
        <v>8199.5</v>
      </c>
      <c r="K28" s="291">
        <f t="shared" ref="K28" si="17">I28*0.45</f>
        <v>476.1</v>
      </c>
      <c r="L28" s="291">
        <f>'أخذ التمام الصباحي'!N26</f>
        <v>15203</v>
      </c>
      <c r="M28" s="291">
        <f t="shared" ref="M28" si="18">L28*5.5</f>
        <v>83616.5</v>
      </c>
      <c r="N28" s="291">
        <f t="shared" ref="N28" si="19">L28*0.26</f>
        <v>3952.78</v>
      </c>
      <c r="O28" s="7">
        <f t="shared" ref="O28" si="20">SUM(D28,G28,J28,M28)/100</f>
        <v>1746.07</v>
      </c>
      <c r="P28" s="10">
        <f>'أخذ التمام الصباحي'!Q26</f>
        <v>1250</v>
      </c>
      <c r="Q28" s="7">
        <f t="shared" ref="Q28" si="21">P28-O28</f>
        <v>-496.06999999999994</v>
      </c>
    </row>
    <row r="29" spans="1:17" ht="25.5" customHeight="1" thickBot="1" x14ac:dyDescent="0.25">
      <c r="A29" s="299">
        <v>23</v>
      </c>
      <c r="B29" s="29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7941</v>
      </c>
      <c r="G29" s="311">
        <f t="shared" ref="G29:G33" si="24">F29*6.75</f>
        <v>53601.75</v>
      </c>
      <c r="H29" s="311">
        <f t="shared" ref="H29:H33" si="25">F29*0.33</f>
        <v>2620.5300000000002</v>
      </c>
      <c r="I29" s="5">
        <f>'أخذ التمام الصباحي'!K27</f>
        <v>1749</v>
      </c>
      <c r="J29" s="311">
        <f t="shared" ref="J29:J33" si="26">I29*7.75</f>
        <v>13554.75</v>
      </c>
      <c r="K29" s="311">
        <f t="shared" ref="K29:K33" si="27">I29*0.45</f>
        <v>787.05000000000007</v>
      </c>
      <c r="L29" s="5">
        <f>'أخذ التمام الصباحي'!N27</f>
        <v>0</v>
      </c>
      <c r="M29" s="311">
        <f t="shared" ref="M29:M33" si="28">L29*5.5</f>
        <v>0</v>
      </c>
      <c r="N29" s="311">
        <f t="shared" ref="N29:N33" si="29">L29*0.26</f>
        <v>0</v>
      </c>
      <c r="O29" s="7">
        <f t="shared" ref="O29:O33" si="30">SUM(D29,G29,J29,M29)/100</f>
        <v>671.56500000000005</v>
      </c>
      <c r="P29" s="10">
        <f>'أخذ التمام الصباحي'!Q27</f>
        <v>670</v>
      </c>
      <c r="Q29" s="7">
        <f t="shared" ref="Q29:Q33" si="31">P29-O29</f>
        <v>-1.5650000000000546</v>
      </c>
    </row>
    <row r="30" spans="1:17" ht="25.5" customHeight="1" thickBot="1" x14ac:dyDescent="0.25">
      <c r="A30" s="299">
        <v>24</v>
      </c>
      <c r="B30" s="29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28760</v>
      </c>
      <c r="G30" s="311">
        <f t="shared" si="24"/>
        <v>194130</v>
      </c>
      <c r="H30" s="311">
        <f t="shared" si="25"/>
        <v>9490.8000000000011</v>
      </c>
      <c r="I30" s="5">
        <f>'أخذ التمام الصباحي'!K28</f>
        <v>10425</v>
      </c>
      <c r="J30" s="311">
        <f t="shared" si="26"/>
        <v>80793.75</v>
      </c>
      <c r="K30" s="311">
        <f t="shared" si="27"/>
        <v>4691.25</v>
      </c>
      <c r="L30" s="5">
        <f>'أخذ التمام الصباحي'!N28</f>
        <v>0</v>
      </c>
      <c r="M30" s="311">
        <f t="shared" si="28"/>
        <v>0</v>
      </c>
      <c r="N30" s="311">
        <f t="shared" si="29"/>
        <v>0</v>
      </c>
      <c r="O30" s="7">
        <f t="shared" si="30"/>
        <v>2749.2375000000002</v>
      </c>
      <c r="P30" s="10">
        <f>'أخذ التمام الصباحي'!Q28</f>
        <v>1440</v>
      </c>
      <c r="Q30" s="7">
        <f t="shared" si="31"/>
        <v>-1309.2375000000002</v>
      </c>
    </row>
    <row r="31" spans="1:17" ht="25.5" customHeight="1" thickBot="1" x14ac:dyDescent="0.25">
      <c r="A31" s="299">
        <v>25</v>
      </c>
      <c r="B31" s="29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31365</v>
      </c>
      <c r="G31" s="311">
        <f t="shared" si="24"/>
        <v>211713.75</v>
      </c>
      <c r="H31" s="311">
        <f t="shared" si="25"/>
        <v>10350.450000000001</v>
      </c>
      <c r="I31" s="5">
        <f>'أخذ التمام الصباحي'!K29</f>
        <v>10961</v>
      </c>
      <c r="J31" s="311">
        <f t="shared" si="26"/>
        <v>84947.75</v>
      </c>
      <c r="K31" s="311">
        <f t="shared" si="27"/>
        <v>4932.45</v>
      </c>
      <c r="L31" s="5">
        <f>'أخذ التمام الصباحي'!N29</f>
        <v>0</v>
      </c>
      <c r="M31" s="311">
        <f t="shared" si="28"/>
        <v>0</v>
      </c>
      <c r="N31" s="311">
        <f t="shared" si="29"/>
        <v>0</v>
      </c>
      <c r="O31" s="7">
        <f t="shared" si="30"/>
        <v>2966.6149999999998</v>
      </c>
      <c r="P31" s="10">
        <f>'أخذ التمام الصباحي'!Q29</f>
        <v>3540</v>
      </c>
      <c r="Q31" s="7">
        <f t="shared" si="31"/>
        <v>573.38500000000022</v>
      </c>
    </row>
    <row r="32" spans="1:17" ht="25.5" customHeight="1" thickBot="1" x14ac:dyDescent="0.25">
      <c r="A32" s="299">
        <v>26</v>
      </c>
      <c r="B32" s="30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32098</v>
      </c>
      <c r="G32" s="311">
        <f t="shared" si="24"/>
        <v>216661.5</v>
      </c>
      <c r="H32" s="311">
        <f t="shared" si="25"/>
        <v>10592.34</v>
      </c>
      <c r="I32" s="5">
        <f>'أخذ التمام الصباحي'!K30</f>
        <v>8550</v>
      </c>
      <c r="J32" s="311">
        <f t="shared" si="26"/>
        <v>66262.5</v>
      </c>
      <c r="K32" s="311">
        <f t="shared" si="27"/>
        <v>3847.5</v>
      </c>
      <c r="L32" s="5">
        <f>'أخذ التمام الصباحي'!N30</f>
        <v>0</v>
      </c>
      <c r="M32" s="311">
        <f t="shared" si="28"/>
        <v>0</v>
      </c>
      <c r="N32" s="311">
        <f t="shared" si="29"/>
        <v>0</v>
      </c>
      <c r="O32" s="7">
        <f t="shared" si="30"/>
        <v>2829.24</v>
      </c>
      <c r="P32" s="10">
        <f>'أخذ التمام الصباحي'!Q30</f>
        <v>0</v>
      </c>
      <c r="Q32" s="7">
        <f t="shared" si="31"/>
        <v>-2829.24</v>
      </c>
    </row>
    <row r="33" spans="1:17" ht="25.5" customHeight="1" thickBot="1" x14ac:dyDescent="0.25">
      <c r="A33" s="299">
        <v>27</v>
      </c>
      <c r="B33" s="30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57598</v>
      </c>
      <c r="G33" s="311">
        <f t="shared" si="24"/>
        <v>388786.5</v>
      </c>
      <c r="H33" s="311">
        <f t="shared" si="25"/>
        <v>19007.34</v>
      </c>
      <c r="I33" s="5">
        <f>'أخذ التمام الصباحي'!K31</f>
        <v>11812</v>
      </c>
      <c r="J33" s="311">
        <f t="shared" si="26"/>
        <v>91543</v>
      </c>
      <c r="K33" s="311">
        <f t="shared" si="27"/>
        <v>5315.4000000000005</v>
      </c>
      <c r="L33" s="5">
        <f>'أخذ التمام الصباحي'!N31</f>
        <v>0</v>
      </c>
      <c r="M33" s="311">
        <f t="shared" si="28"/>
        <v>0</v>
      </c>
      <c r="N33" s="311">
        <f t="shared" si="29"/>
        <v>0</v>
      </c>
      <c r="O33" s="7">
        <f t="shared" si="30"/>
        <v>4803.2950000000001</v>
      </c>
      <c r="P33" s="10">
        <f>'أخذ التمام الصباحي'!Q31</f>
        <v>5680</v>
      </c>
      <c r="Q33" s="7">
        <f t="shared" si="31"/>
        <v>876.70499999999993</v>
      </c>
    </row>
    <row r="34" spans="1:17" ht="25.5" customHeight="1" thickBot="1" x14ac:dyDescent="0.25">
      <c r="A34" s="347">
        <v>28</v>
      </c>
      <c r="B34" s="30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49">
        <f t="shared" ref="G34:G37" si="34">F34*6.75</f>
        <v>0</v>
      </c>
      <c r="H34" s="349">
        <f t="shared" ref="H34:H37" si="35">F34*0.33</f>
        <v>0</v>
      </c>
      <c r="I34" s="5">
        <f>'أخذ التمام الصباحي'!K32</f>
        <v>0</v>
      </c>
      <c r="J34" s="349">
        <f t="shared" ref="J34:J37" si="36">I34*7.75</f>
        <v>0</v>
      </c>
      <c r="K34" s="349">
        <f t="shared" ref="K34:K37" si="37">I34*0.45</f>
        <v>0</v>
      </c>
      <c r="L34" s="5">
        <f>'أخذ التمام الصباحي'!N32</f>
        <v>0</v>
      </c>
      <c r="M34" s="349">
        <f t="shared" ref="M34:M37" si="38">L34*5.5</f>
        <v>0</v>
      </c>
      <c r="N34" s="349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47">
        <v>29</v>
      </c>
      <c r="B35" s="30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49">
        <f t="shared" si="34"/>
        <v>0</v>
      </c>
      <c r="H35" s="349">
        <f t="shared" si="35"/>
        <v>0</v>
      </c>
      <c r="I35" s="5">
        <f>'أخذ التمام الصباحي'!K33</f>
        <v>0</v>
      </c>
      <c r="J35" s="349">
        <f t="shared" si="36"/>
        <v>0</v>
      </c>
      <c r="K35" s="349">
        <f t="shared" si="37"/>
        <v>0</v>
      </c>
      <c r="L35" s="5">
        <f>'أخذ التمام الصباحي'!N33</f>
        <v>0</v>
      </c>
      <c r="M35" s="349">
        <f t="shared" si="38"/>
        <v>0</v>
      </c>
      <c r="N35" s="349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47">
        <v>30</v>
      </c>
      <c r="B36" s="30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49">
        <f t="shared" si="34"/>
        <v>0</v>
      </c>
      <c r="H36" s="349">
        <f t="shared" si="35"/>
        <v>0</v>
      </c>
      <c r="I36" s="5">
        <f>'أخذ التمام الصباحي'!K34</f>
        <v>0</v>
      </c>
      <c r="J36" s="349">
        <f t="shared" si="36"/>
        <v>0</v>
      </c>
      <c r="K36" s="349">
        <f t="shared" si="37"/>
        <v>0</v>
      </c>
      <c r="L36" s="5">
        <f>'أخذ التمام الصباحي'!N34</f>
        <v>0</v>
      </c>
      <c r="M36" s="349">
        <f t="shared" si="38"/>
        <v>0</v>
      </c>
      <c r="N36" s="349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47">
        <v>31</v>
      </c>
      <c r="B37" s="30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49">
        <f t="shared" si="34"/>
        <v>0</v>
      </c>
      <c r="H37" s="349">
        <f t="shared" si="35"/>
        <v>0</v>
      </c>
      <c r="I37" s="5">
        <f>'أخذ التمام الصباحي'!K35</f>
        <v>0</v>
      </c>
      <c r="J37" s="349">
        <f t="shared" si="36"/>
        <v>0</v>
      </c>
      <c r="K37" s="349">
        <f t="shared" si="37"/>
        <v>0</v>
      </c>
      <c r="L37" s="5">
        <f>'أخذ التمام الصباحي'!N35</f>
        <v>0</v>
      </c>
      <c r="M37" s="349">
        <f t="shared" si="38"/>
        <v>0</v>
      </c>
      <c r="N37" s="349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11" t="s">
        <v>34</v>
      </c>
      <c r="B38" s="411"/>
      <c r="C38" s="35">
        <f>SUM(C7:C37)</f>
        <v>57290</v>
      </c>
      <c r="D38" s="35">
        <f t="shared" ref="D38:Q38" si="42">SUM(D7:D37)</f>
        <v>315095</v>
      </c>
      <c r="E38" s="35">
        <f t="shared" si="42"/>
        <v>14322.5</v>
      </c>
      <c r="F38" s="35">
        <f t="shared" si="42"/>
        <v>528677</v>
      </c>
      <c r="G38" s="35">
        <f t="shared" si="42"/>
        <v>3568569.75</v>
      </c>
      <c r="H38" s="35">
        <f t="shared" si="42"/>
        <v>174463.41</v>
      </c>
      <c r="I38" s="35">
        <f t="shared" si="42"/>
        <v>127508</v>
      </c>
      <c r="J38" s="35">
        <f t="shared" si="42"/>
        <v>988187</v>
      </c>
      <c r="K38" s="35">
        <f t="shared" si="42"/>
        <v>57378.6</v>
      </c>
      <c r="L38" s="35">
        <f t="shared" si="42"/>
        <v>337547</v>
      </c>
      <c r="M38" s="35">
        <f t="shared" si="42"/>
        <v>1856508.5</v>
      </c>
      <c r="N38" s="35">
        <f t="shared" si="42"/>
        <v>87762.219999999987</v>
      </c>
      <c r="O38" s="35">
        <f t="shared" si="42"/>
        <v>67283.602499999994</v>
      </c>
      <c r="P38" s="35">
        <f t="shared" si="42"/>
        <v>64765</v>
      </c>
      <c r="Q38" s="35">
        <f t="shared" si="42"/>
        <v>-2518.6024999999991</v>
      </c>
    </row>
    <row r="39" spans="1:17" ht="32.25" customHeight="1" thickBot="1" x14ac:dyDescent="0.25">
      <c r="A39" s="404" t="s">
        <v>75</v>
      </c>
      <c r="B39" s="404"/>
      <c r="C39" s="394">
        <f>C38+F38+I38+L38</f>
        <v>1051022</v>
      </c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5"/>
      <c r="Q39" s="396"/>
    </row>
    <row r="40" spans="1:17" ht="30.75" customHeight="1" thickBot="1" x14ac:dyDescent="0.25">
      <c r="A40" s="404" t="s">
        <v>47</v>
      </c>
      <c r="B40" s="404"/>
      <c r="C40" s="397">
        <f>D38+G38+J38+M38</f>
        <v>6728360.25</v>
      </c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9"/>
    </row>
    <row r="41" spans="1:17" ht="30.75" customHeight="1" thickBot="1" x14ac:dyDescent="0.25">
      <c r="A41" s="404" t="s">
        <v>48</v>
      </c>
      <c r="B41" s="404"/>
      <c r="C41" s="406">
        <f>E38+H38+K38+N38</f>
        <v>333926.73</v>
      </c>
      <c r="D41" s="407"/>
      <c r="E41" s="407"/>
      <c r="F41" s="407"/>
      <c r="G41" s="407"/>
      <c r="H41" s="407"/>
      <c r="I41" s="407"/>
      <c r="J41" s="407"/>
      <c r="K41" s="407"/>
      <c r="L41" s="407"/>
      <c r="M41" s="407"/>
      <c r="N41" s="407"/>
      <c r="O41" s="407"/>
      <c r="P41" s="407"/>
      <c r="Q41" s="408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57" t="s">
        <v>108</v>
      </c>
      <c r="C2" s="557"/>
      <c r="D2" s="557"/>
      <c r="E2" s="557"/>
    </row>
    <row r="3" spans="1:13" ht="15" thickBot="1" x14ac:dyDescent="0.25"/>
    <row r="4" spans="1:13" ht="15.75" thickBot="1" x14ac:dyDescent="0.25">
      <c r="A4" s="497" t="s">
        <v>3</v>
      </c>
      <c r="B4" s="400" t="s">
        <v>90</v>
      </c>
      <c r="C4" s="444"/>
      <c r="D4" s="444"/>
      <c r="E4" s="444"/>
      <c r="F4" s="401"/>
    </row>
    <row r="5" spans="1:13" ht="15.75" thickBot="1" x14ac:dyDescent="0.25">
      <c r="A5" s="498"/>
      <c r="B5" s="400" t="s">
        <v>83</v>
      </c>
      <c r="C5" s="444"/>
      <c r="D5" s="443" t="s">
        <v>81</v>
      </c>
      <c r="E5" s="447"/>
      <c r="F5" s="101" t="s">
        <v>107</v>
      </c>
      <c r="I5" s="497" t="s">
        <v>3</v>
      </c>
      <c r="J5" s="97">
        <v>80</v>
      </c>
      <c r="K5" s="97">
        <v>92</v>
      </c>
      <c r="L5" s="97">
        <v>95</v>
      </c>
      <c r="M5" s="97" t="s">
        <v>50</v>
      </c>
    </row>
    <row r="6" spans="1:13" ht="15.75" thickBot="1" x14ac:dyDescent="0.25">
      <c r="A6" s="499"/>
      <c r="B6" s="100" t="s">
        <v>11</v>
      </c>
      <c r="C6" s="105" t="s">
        <v>50</v>
      </c>
      <c r="D6" s="104" t="s">
        <v>11</v>
      </c>
      <c r="E6" s="103" t="s">
        <v>50</v>
      </c>
      <c r="F6" s="101" t="s">
        <v>12</v>
      </c>
      <c r="I6" s="499"/>
      <c r="J6" s="100" t="s">
        <v>7</v>
      </c>
      <c r="K6" s="100" t="s">
        <v>7</v>
      </c>
      <c r="L6" s="100" t="s">
        <v>7</v>
      </c>
      <c r="M6" s="100" t="s">
        <v>7</v>
      </c>
    </row>
    <row r="7" spans="1:13" ht="16.5" thickBot="1" x14ac:dyDescent="0.3">
      <c r="A7" s="102" t="s">
        <v>30</v>
      </c>
      <c r="B7" s="96" t="e">
        <f>IF($D$17&gt;$D$18,K7,0)</f>
        <v>#VALUE!</v>
      </c>
      <c r="C7" s="98">
        <f>IF($D$15&gt;$D$16,M7,0)</f>
        <v>0</v>
      </c>
      <c r="D7" s="114" t="e">
        <f>IF($D$18&gt;$D$17,K7,0)</f>
        <v>#VALUE!</v>
      </c>
      <c r="E7" s="115">
        <f>IF($D$16&gt;$D$15,M7,0)</f>
        <v>0</v>
      </c>
      <c r="F7" s="99">
        <f>L7</f>
        <v>0</v>
      </c>
      <c r="I7" s="102" t="s">
        <v>30</v>
      </c>
      <c r="J7" s="33">
        <f>'خطة الإمداد'!L48</f>
        <v>0</v>
      </c>
      <c r="K7" s="33">
        <f>'خطة الإمداد'!M48</f>
        <v>17</v>
      </c>
      <c r="L7" s="33">
        <f>'خطة الإمداد'!N48</f>
        <v>0</v>
      </c>
      <c r="M7" s="33">
        <f>'خطة الإمداد'!O48</f>
        <v>17</v>
      </c>
    </row>
    <row r="8" spans="1:13" ht="16.5" thickBot="1" x14ac:dyDescent="0.3">
      <c r="A8" s="102" t="s">
        <v>31</v>
      </c>
      <c r="B8" s="96" t="e">
        <f t="shared" ref="B8:B10" si="0">IF($D$17&gt;$D$18,K8,0)</f>
        <v>#VALUE!</v>
      </c>
      <c r="C8" s="98">
        <f t="shared" ref="C8:C10" si="1">IF($D$15&gt;$D$16,M8,0)</f>
        <v>0</v>
      </c>
      <c r="D8" s="114" t="e">
        <f t="shared" ref="D8:D10" si="2">IF($D$18&gt;$D$17,K8,0)</f>
        <v>#VALUE!</v>
      </c>
      <c r="E8" s="115">
        <f t="shared" ref="E8:E10" si="3">IF($D$16&gt;$D$15,M8,0)</f>
        <v>0</v>
      </c>
      <c r="F8" s="99">
        <f t="shared" ref="F8:F10" si="4">L8</f>
        <v>0</v>
      </c>
      <c r="I8" s="102" t="s">
        <v>31</v>
      </c>
      <c r="J8" s="33">
        <f>'خطة الإمداد'!L49</f>
        <v>0</v>
      </c>
      <c r="K8" s="33">
        <f>'خطة الإمداد'!M49</f>
        <v>17</v>
      </c>
      <c r="L8" s="33">
        <f>'خطة الإمداد'!N49</f>
        <v>0</v>
      </c>
      <c r="M8" s="33">
        <f>'خطة الإمداد'!O49</f>
        <v>68</v>
      </c>
    </row>
    <row r="9" spans="1:13" ht="16.5" thickBot="1" x14ac:dyDescent="0.3">
      <c r="A9" s="102" t="s">
        <v>32</v>
      </c>
      <c r="B9" s="96" t="e">
        <f t="shared" si="0"/>
        <v>#VALUE!</v>
      </c>
      <c r="C9" s="98">
        <f t="shared" si="1"/>
        <v>0</v>
      </c>
      <c r="D9" s="114" t="e">
        <f t="shared" si="2"/>
        <v>#VALUE!</v>
      </c>
      <c r="E9" s="115">
        <f t="shared" si="3"/>
        <v>0</v>
      </c>
      <c r="F9" s="99">
        <f t="shared" si="4"/>
        <v>0</v>
      </c>
      <c r="I9" s="102" t="s">
        <v>32</v>
      </c>
      <c r="J9" s="33">
        <f>'خطة الإمداد'!L50</f>
        <v>0</v>
      </c>
      <c r="K9" s="33">
        <f>'خطة الإمداد'!M50</f>
        <v>51</v>
      </c>
      <c r="L9" s="33">
        <f>'خطة الإمداد'!N50</f>
        <v>0</v>
      </c>
      <c r="M9" s="33">
        <f>'خطة الإمداد'!O50</f>
        <v>85</v>
      </c>
    </row>
    <row r="10" spans="1:13" ht="16.5" thickBot="1" x14ac:dyDescent="0.3">
      <c r="A10" s="102" t="s">
        <v>33</v>
      </c>
      <c r="B10" s="96" t="e">
        <f t="shared" si="0"/>
        <v>#VALUE!</v>
      </c>
      <c r="C10" s="98">
        <f t="shared" si="1"/>
        <v>0</v>
      </c>
      <c r="D10" s="114" t="e">
        <f t="shared" si="2"/>
        <v>#VALUE!</v>
      </c>
      <c r="E10" s="115">
        <f t="shared" si="3"/>
        <v>0</v>
      </c>
      <c r="F10" s="99">
        <f t="shared" si="4"/>
        <v>0</v>
      </c>
      <c r="I10" s="102" t="s">
        <v>33</v>
      </c>
      <c r="J10" s="33">
        <f>'خطة الإمداد'!L51</f>
        <v>0</v>
      </c>
      <c r="K10" s="33">
        <f>'خطة الإمداد'!M51</f>
        <v>34</v>
      </c>
      <c r="L10" s="33">
        <f>'خطة الإمداد'!N51</f>
        <v>0</v>
      </c>
      <c r="M10" s="33">
        <f>'خطة الإمداد'!O51</f>
        <v>34</v>
      </c>
    </row>
    <row r="14" spans="1:13" ht="16.5" thickBot="1" x14ac:dyDescent="0.3">
      <c r="B14" s="70" t="s">
        <v>90</v>
      </c>
      <c r="C14" s="70"/>
      <c r="D14" s="70"/>
    </row>
    <row r="15" spans="1:13" ht="16.5" thickBot="1" x14ac:dyDescent="0.25">
      <c r="B15" s="563" t="s">
        <v>50</v>
      </c>
      <c r="C15" s="44" t="s">
        <v>83</v>
      </c>
      <c r="D15" s="45">
        <f>[1]مصرملخص!$D$8</f>
        <v>0</v>
      </c>
    </row>
    <row r="16" spans="1:13" ht="16.5" thickBot="1" x14ac:dyDescent="0.25">
      <c r="B16" s="562"/>
      <c r="C16" s="44" t="s">
        <v>93</v>
      </c>
      <c r="D16" s="45">
        <f>[1]التعاون.ملخص!$D$10</f>
        <v>0</v>
      </c>
    </row>
    <row r="17" spans="2:4" ht="16.5" thickBot="1" x14ac:dyDescent="0.25">
      <c r="B17" s="563">
        <v>92</v>
      </c>
      <c r="C17" s="53" t="s">
        <v>83</v>
      </c>
      <c r="D17" s="54">
        <f>[1]مصرملخص!$D$9</f>
        <v>0</v>
      </c>
    </row>
    <row r="18" spans="2:4" ht="16.5" thickBot="1" x14ac:dyDescent="0.25">
      <c r="B18" s="562"/>
      <c r="C18" s="53" t="s">
        <v>93</v>
      </c>
      <c r="D18" s="54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57" t="s">
        <v>108</v>
      </c>
      <c r="C2" s="557"/>
      <c r="D2" s="557"/>
      <c r="E2" s="557"/>
    </row>
    <row r="3" spans="1:13" ht="15" thickBot="1" x14ac:dyDescent="0.25"/>
    <row r="4" spans="1:13" ht="15.75" thickBot="1" x14ac:dyDescent="0.25">
      <c r="A4" s="497" t="s">
        <v>3</v>
      </c>
      <c r="B4" s="400" t="s">
        <v>165</v>
      </c>
      <c r="C4" s="444"/>
      <c r="D4" s="444"/>
      <c r="E4" s="444"/>
      <c r="F4" s="401"/>
    </row>
    <row r="5" spans="1:13" ht="15.75" thickBot="1" x14ac:dyDescent="0.25">
      <c r="A5" s="498"/>
      <c r="B5" s="400" t="s">
        <v>83</v>
      </c>
      <c r="C5" s="444"/>
      <c r="D5" s="443" t="s">
        <v>81</v>
      </c>
      <c r="E5" s="447"/>
      <c r="F5" s="298" t="s">
        <v>107</v>
      </c>
      <c r="I5" s="497" t="s">
        <v>3</v>
      </c>
      <c r="J5" s="299">
        <v>80</v>
      </c>
      <c r="K5" s="299">
        <v>92</v>
      </c>
      <c r="L5" s="299">
        <v>95</v>
      </c>
      <c r="M5" s="299" t="s">
        <v>50</v>
      </c>
    </row>
    <row r="6" spans="1:13" ht="15.75" thickBot="1" x14ac:dyDescent="0.25">
      <c r="A6" s="499"/>
      <c r="B6" s="296" t="s">
        <v>11</v>
      </c>
      <c r="C6" s="297" t="s">
        <v>50</v>
      </c>
      <c r="D6" s="302" t="s">
        <v>11</v>
      </c>
      <c r="E6" s="301" t="s">
        <v>50</v>
      </c>
      <c r="F6" s="298" t="s">
        <v>12</v>
      </c>
      <c r="I6" s="499"/>
      <c r="J6" s="296" t="s">
        <v>7</v>
      </c>
      <c r="K6" s="296" t="s">
        <v>7</v>
      </c>
      <c r="L6" s="296" t="s">
        <v>7</v>
      </c>
      <c r="M6" s="296" t="s">
        <v>7</v>
      </c>
    </row>
    <row r="7" spans="1:13" ht="16.5" thickBot="1" x14ac:dyDescent="0.3">
      <c r="A7" s="300" t="s">
        <v>168</v>
      </c>
      <c r="B7" s="303" t="e">
        <f>IF($D$17&gt;$D$18,K7,0)</f>
        <v>#VALUE!</v>
      </c>
      <c r="C7" s="304">
        <f>IF($D$15&gt;$D$16,M7,0)</f>
        <v>0</v>
      </c>
      <c r="D7" s="306" t="e">
        <f>IF($D$18&gt;$D$17,K7,0)</f>
        <v>#VALUE!</v>
      </c>
      <c r="E7" s="307">
        <f>IF($D$16&gt;$D$15,M7,0)</f>
        <v>0</v>
      </c>
      <c r="F7" s="305">
        <f>L7</f>
        <v>0</v>
      </c>
      <c r="I7" s="300" t="s">
        <v>30</v>
      </c>
      <c r="J7" s="33">
        <f>'خطة الإمداد'!L48</f>
        <v>0</v>
      </c>
      <c r="K7" s="33">
        <f>'خطة الإمداد'!M48</f>
        <v>17</v>
      </c>
      <c r="L7" s="33">
        <f>'خطة الإمداد'!N48</f>
        <v>0</v>
      </c>
      <c r="M7" s="33">
        <f>'خطة الإمداد'!O48</f>
        <v>17</v>
      </c>
    </row>
    <row r="8" spans="1:13" ht="16.5" thickBot="1" x14ac:dyDescent="0.3">
      <c r="A8" s="300" t="s">
        <v>169</v>
      </c>
      <c r="B8" s="303" t="e">
        <f t="shared" ref="B8:B10" si="0">IF($D$17&gt;$D$18,K8,0)</f>
        <v>#VALUE!</v>
      </c>
      <c r="C8" s="304">
        <f t="shared" ref="C8:C10" si="1">IF($D$15&gt;$D$16,M8,0)</f>
        <v>0</v>
      </c>
      <c r="D8" s="306" t="e">
        <f t="shared" ref="D8:D10" si="2">IF($D$18&gt;$D$17,K8,0)</f>
        <v>#VALUE!</v>
      </c>
      <c r="E8" s="307">
        <f t="shared" ref="E8:E10" si="3">IF($D$16&gt;$D$15,M8,0)</f>
        <v>0</v>
      </c>
      <c r="F8" s="305">
        <f t="shared" ref="F8:F10" si="4">L8</f>
        <v>0</v>
      </c>
      <c r="I8" s="300" t="s">
        <v>31</v>
      </c>
      <c r="J8" s="33">
        <f>'خطة الإمداد'!L49</f>
        <v>0</v>
      </c>
      <c r="K8" s="33">
        <f>'خطة الإمداد'!M49</f>
        <v>17</v>
      </c>
      <c r="L8" s="33">
        <f>'خطة الإمداد'!N49</f>
        <v>0</v>
      </c>
      <c r="M8" s="33">
        <f>'خطة الإمداد'!O49</f>
        <v>68</v>
      </c>
    </row>
    <row r="9" spans="1:13" ht="16.5" thickBot="1" x14ac:dyDescent="0.3">
      <c r="A9" s="308" t="s">
        <v>170</v>
      </c>
      <c r="B9" s="303" t="e">
        <f t="shared" si="0"/>
        <v>#VALUE!</v>
      </c>
      <c r="C9" s="304">
        <f t="shared" si="1"/>
        <v>0</v>
      </c>
      <c r="D9" s="306" t="e">
        <f t="shared" si="2"/>
        <v>#VALUE!</v>
      </c>
      <c r="E9" s="307">
        <f t="shared" si="3"/>
        <v>0</v>
      </c>
      <c r="F9" s="305">
        <f t="shared" si="4"/>
        <v>0</v>
      </c>
      <c r="I9" s="300" t="s">
        <v>32</v>
      </c>
      <c r="J9" s="33">
        <f>'خطة الإمداد'!L50</f>
        <v>0</v>
      </c>
      <c r="K9" s="33">
        <f>'خطة الإمداد'!M50</f>
        <v>51</v>
      </c>
      <c r="L9" s="33">
        <f>'خطة الإمداد'!N50</f>
        <v>0</v>
      </c>
      <c r="M9" s="33">
        <f>'خطة الإمداد'!O50</f>
        <v>85</v>
      </c>
    </row>
    <row r="10" spans="1:13" ht="16.5" thickBot="1" x14ac:dyDescent="0.3">
      <c r="A10" s="308" t="s">
        <v>171</v>
      </c>
      <c r="B10" s="303" t="e">
        <f t="shared" si="0"/>
        <v>#VALUE!</v>
      </c>
      <c r="C10" s="304">
        <f t="shared" si="1"/>
        <v>0</v>
      </c>
      <c r="D10" s="306" t="e">
        <f t="shared" si="2"/>
        <v>#VALUE!</v>
      </c>
      <c r="E10" s="307">
        <f t="shared" si="3"/>
        <v>0</v>
      </c>
      <c r="F10" s="305">
        <f t="shared" si="4"/>
        <v>0</v>
      </c>
      <c r="I10" s="300" t="s">
        <v>33</v>
      </c>
      <c r="J10" s="33">
        <f>'خطة الإمداد'!L51</f>
        <v>0</v>
      </c>
      <c r="K10" s="33">
        <f>'خطة الإمداد'!M51</f>
        <v>34</v>
      </c>
      <c r="L10" s="33">
        <f>'خطة الإمداد'!N51</f>
        <v>0</v>
      </c>
      <c r="M10" s="33">
        <f>'خطة الإمداد'!O51</f>
        <v>34</v>
      </c>
    </row>
    <row r="14" spans="1:13" ht="16.5" thickBot="1" x14ac:dyDescent="0.3">
      <c r="B14" s="70" t="s">
        <v>90</v>
      </c>
      <c r="C14" s="70"/>
      <c r="D14" s="70"/>
    </row>
    <row r="15" spans="1:13" ht="16.5" thickBot="1" x14ac:dyDescent="0.25">
      <c r="B15" s="563" t="s">
        <v>50</v>
      </c>
      <c r="C15" s="44" t="s">
        <v>83</v>
      </c>
      <c r="D15" s="45">
        <f>[1]مصرملخص!$D$8</f>
        <v>0</v>
      </c>
    </row>
    <row r="16" spans="1:13" ht="16.5" thickBot="1" x14ac:dyDescent="0.25">
      <c r="B16" s="562"/>
      <c r="C16" s="44" t="s">
        <v>93</v>
      </c>
      <c r="D16" s="45">
        <f>[1]التعاون.ملخص!$D$10</f>
        <v>0</v>
      </c>
    </row>
    <row r="17" spans="2:4" ht="16.5" thickBot="1" x14ac:dyDescent="0.25">
      <c r="B17" s="563">
        <v>92</v>
      </c>
      <c r="C17" s="53" t="s">
        <v>83</v>
      </c>
      <c r="D17" s="54">
        <f>[1]مصرملخص!$D$9</f>
        <v>0</v>
      </c>
    </row>
    <row r="18" spans="2:4" ht="16.5" thickBot="1" x14ac:dyDescent="0.25">
      <c r="B18" s="562"/>
      <c r="C18" s="53" t="s">
        <v>93</v>
      </c>
      <c r="D18" s="54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558" t="str">
        <f>'منطقة القاهرة'!A4</f>
        <v>المحطة</v>
      </c>
      <c r="B1" s="393" t="str">
        <f>'منطقة القاهرة'!B4</f>
        <v xml:space="preserve">الهايكستب </v>
      </c>
      <c r="C1" s="393">
        <f>'منطقة القاهرة'!C4</f>
        <v>0</v>
      </c>
      <c r="D1" s="559">
        <f>'منطقة القاهرة'!D4</f>
        <v>0</v>
      </c>
      <c r="E1" s="443" t="str">
        <f>'منطقة القاهرة'!E4</f>
        <v>مسطرد</v>
      </c>
      <c r="F1" s="444">
        <f>'منطقة القاهرة'!F4</f>
        <v>0</v>
      </c>
      <c r="G1" s="444">
        <f>'منطقة القاهرة'!G4</f>
        <v>0</v>
      </c>
      <c r="H1" s="401">
        <f>'منطقة القاهرة'!H4</f>
        <v>0</v>
      </c>
      <c r="K1" s="70" t="str">
        <f>'منطقة القاهرة'!D16</f>
        <v>الهايكستب</v>
      </c>
      <c r="L1" s="70"/>
      <c r="M1" s="70"/>
    </row>
    <row r="2" spans="1:13" ht="16.5" thickBot="1" x14ac:dyDescent="0.3">
      <c r="A2" s="558">
        <f>'منطقة القاهرة'!A5</f>
        <v>0</v>
      </c>
      <c r="B2" s="400" t="str">
        <f>'منطقة القاهرة'!B5</f>
        <v>تعاون</v>
      </c>
      <c r="C2" s="444">
        <f>'منطقة القاهرة'!C5</f>
        <v>0</v>
      </c>
      <c r="D2" s="447">
        <f>'منطقة القاهرة'!D5</f>
        <v>0</v>
      </c>
      <c r="E2" s="261" t="str">
        <f>'منطقة القاهرة'!E5</f>
        <v>تعاون</v>
      </c>
      <c r="F2" s="400" t="str">
        <f>'منطقة القاهرة'!F5</f>
        <v>موبيل</v>
      </c>
      <c r="G2" s="444">
        <f>'منطقة القاهرة'!G5</f>
        <v>0</v>
      </c>
      <c r="H2" s="401">
        <f>'منطقة القاهرة'!H5</f>
        <v>0</v>
      </c>
      <c r="K2" s="269">
        <f>'منطقة القاهرة'!D17</f>
        <v>80</v>
      </c>
      <c r="L2" s="47" t="str">
        <f>'منطقة القاهرة'!E17</f>
        <v>التعاون</v>
      </c>
      <c r="M2" s="48">
        <f>'منطقة القاهرة'!F17</f>
        <v>1409</v>
      </c>
    </row>
    <row r="3" spans="1:13" ht="16.5" thickBot="1" x14ac:dyDescent="0.3">
      <c r="A3" s="558">
        <f>'منطقة القاهرة'!A6</f>
        <v>0</v>
      </c>
      <c r="B3" s="256">
        <f>'منطقة القاهرة'!B6</f>
        <v>80</v>
      </c>
      <c r="C3" s="256">
        <f>'منطقة القاهرة'!C6</f>
        <v>92</v>
      </c>
      <c r="D3" s="257">
        <f>'منطقة القاهرة'!D6</f>
        <v>95</v>
      </c>
      <c r="E3" s="261" t="str">
        <f>'منطقة القاهرة'!E6</f>
        <v>سولار</v>
      </c>
      <c r="F3" s="256">
        <f>'منطقة القاهرة'!F6</f>
        <v>92</v>
      </c>
      <c r="G3" s="257">
        <f>'منطقة القاهرة'!G6</f>
        <v>95</v>
      </c>
      <c r="H3" s="256" t="str">
        <f>'منطقة القاهرة'!H6</f>
        <v>سولار</v>
      </c>
      <c r="K3" s="269">
        <f>'منطقة القاهرة'!D18</f>
        <v>95</v>
      </c>
      <c r="L3" s="40" t="str">
        <f>'منطقة القاهرة'!E18</f>
        <v>التعاون</v>
      </c>
      <c r="M3" s="50">
        <f>'منطقة القاهرة'!F18</f>
        <v>928</v>
      </c>
    </row>
    <row r="4" spans="1:13" ht="16.5" thickBot="1" x14ac:dyDescent="0.3">
      <c r="A4" s="259" t="str">
        <f>'منطقة القاهرة'!A7</f>
        <v>ماستر</v>
      </c>
      <c r="B4" s="184"/>
      <c r="C4" s="5" t="e">
        <f>'منطقة القاهرة'!C7</f>
        <v>#REF!</v>
      </c>
      <c r="D4" s="20" t="e">
        <f>'منطقة القاهرة'!D7</f>
        <v>#REF!</v>
      </c>
      <c r="E4" s="23"/>
      <c r="F4" s="5" t="e">
        <f>'منطقة القاهرة'!F7</f>
        <v>#REF!</v>
      </c>
      <c r="G4" s="20" t="e">
        <f>'منطقة القاهرة'!G7</f>
        <v>#REF!</v>
      </c>
      <c r="H4" s="184"/>
      <c r="K4" s="269">
        <f>'منطقة القاهرة'!D19</f>
        <v>92</v>
      </c>
      <c r="L4" s="53" t="str">
        <f>'منطقة القاهرة'!E19</f>
        <v>التعاون</v>
      </c>
      <c r="M4" s="54">
        <f>'منطقة القاهرة'!F19</f>
        <v>2827</v>
      </c>
    </row>
    <row r="5" spans="1:13" ht="16.5" thickBot="1" x14ac:dyDescent="0.3">
      <c r="A5" s="276" t="str">
        <f>'منطقة القاهرة'!A8</f>
        <v>النخيل</v>
      </c>
      <c r="B5" s="184"/>
      <c r="C5" s="5" t="e">
        <f>'منطقة القاهرة'!C8</f>
        <v>#REF!</v>
      </c>
      <c r="D5" s="20" t="e">
        <f>'منطقة القاهرة'!D8</f>
        <v>#REF!</v>
      </c>
      <c r="E5" s="23"/>
      <c r="F5" s="5" t="e">
        <f>'منطقة القاهرة'!F8</f>
        <v>#REF!</v>
      </c>
      <c r="G5" s="20" t="e">
        <f>'منطقة القاهرة'!G8</f>
        <v>#REF!</v>
      </c>
      <c r="H5" s="184"/>
      <c r="K5" s="70" t="str">
        <f>'منطقة القاهرة'!D20</f>
        <v>مسطرد</v>
      </c>
      <c r="L5" s="70"/>
      <c r="M5" s="70"/>
    </row>
    <row r="6" spans="1:13" ht="16.5" thickBot="1" x14ac:dyDescent="0.25">
      <c r="A6" s="259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0" t="e">
        <f>'منطقة القاهرة'!D9</f>
        <v>#REF!</v>
      </c>
      <c r="E6" s="21">
        <f>'منطقة القاهرة'!E9</f>
        <v>0</v>
      </c>
      <c r="F6" s="5" t="e">
        <f>'منطقة القاهرة'!F9</f>
        <v>#REF!</v>
      </c>
      <c r="G6" s="20" t="e">
        <f>'منطقة القاهرة'!G9</f>
        <v>#REF!</v>
      </c>
      <c r="H6" s="5" t="e">
        <f>'منطقة القاهرة'!H9</f>
        <v>#REF!</v>
      </c>
      <c r="K6" s="563" t="str">
        <f>'منطقة القاهرة'!D21</f>
        <v>سولار</v>
      </c>
      <c r="L6" s="44" t="str">
        <f>'منطقة القاهرة'!E21</f>
        <v>التعاون</v>
      </c>
      <c r="M6" s="45">
        <f>'منطقة القاهرة'!F21</f>
        <v>1939</v>
      </c>
    </row>
    <row r="7" spans="1:13" ht="16.5" thickBot="1" x14ac:dyDescent="0.25">
      <c r="A7" s="259" t="str">
        <f>'منطقة القاهرة'!A10</f>
        <v>شبرا 2</v>
      </c>
      <c r="B7" s="5">
        <f>'منطقة القاهرة'!B10</f>
        <v>34</v>
      </c>
      <c r="C7" s="5" t="e">
        <f>'منطقة القاهرة'!C10</f>
        <v>#REF!</v>
      </c>
      <c r="D7" s="20" t="e">
        <f>'منطقة القاهرة'!D10</f>
        <v>#REF!</v>
      </c>
      <c r="E7" s="23"/>
      <c r="F7" s="5" t="e">
        <f>'منطقة القاهرة'!F10</f>
        <v>#REF!</v>
      </c>
      <c r="G7" s="20" t="e">
        <f>'منطقة القاهرة'!G10</f>
        <v>#REF!</v>
      </c>
      <c r="H7" s="184"/>
      <c r="K7" s="562"/>
      <c r="L7" s="44" t="str">
        <f>'منطقة القاهرة'!E22</f>
        <v>موبيل</v>
      </c>
      <c r="M7" s="45" t="e">
        <f>'منطقة القاهرة'!F22</f>
        <v>#REF!</v>
      </c>
    </row>
    <row r="8" spans="1:13" ht="16.5" thickBot="1" x14ac:dyDescent="0.25">
      <c r="A8" s="259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2"/>
      <c r="E8" s="21">
        <f>'منطقة القاهرة'!E11</f>
        <v>0</v>
      </c>
      <c r="F8" s="5" t="e">
        <f>'منطقة القاهرة'!F11</f>
        <v>#REF!</v>
      </c>
      <c r="G8" s="22"/>
      <c r="H8" s="5" t="e">
        <f>'منطقة القاهرة'!H11</f>
        <v>#REF!</v>
      </c>
      <c r="K8" s="107">
        <f>'منطقة القاهرة'!D23</f>
        <v>95</v>
      </c>
      <c r="L8" s="40" t="str">
        <f>'منطقة القاهرة'!E23</f>
        <v>موبيل</v>
      </c>
      <c r="M8" s="50" t="e">
        <f>'منطقة القاهرة'!F23</f>
        <v>#REF!</v>
      </c>
    </row>
    <row r="9" spans="1:13" ht="16.5" thickBot="1" x14ac:dyDescent="0.25">
      <c r="A9" s="259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2"/>
      <c r="E9" s="21">
        <f>'منطقة القاهرة'!E12</f>
        <v>0</v>
      </c>
      <c r="F9" s="5" t="e">
        <f>'منطقة القاهرة'!F12</f>
        <v>#REF!</v>
      </c>
      <c r="G9" s="22"/>
      <c r="H9" s="5" t="e">
        <f>'منطقة القاهرة'!H12</f>
        <v>#REF!</v>
      </c>
      <c r="K9" s="107">
        <f>'منطقة القاهرة'!D24</f>
        <v>92</v>
      </c>
      <c r="L9" s="53" t="str">
        <f>'منطقة القاهرة'!E24</f>
        <v>موبيل</v>
      </c>
      <c r="M9" s="54" t="e">
        <f>'منطقة القاهرة'!F24</f>
        <v>#REF!</v>
      </c>
    </row>
    <row r="10" spans="1:13" ht="16.5" thickBot="1" x14ac:dyDescent="0.25">
      <c r="A10" s="259" t="str">
        <f>'منطقة القاهرة'!A13</f>
        <v>شل 1</v>
      </c>
      <c r="B10" s="184"/>
      <c r="C10" s="5" t="e">
        <f>'منطقة القاهرة'!C13</f>
        <v>#REF!</v>
      </c>
      <c r="D10" s="20" t="e">
        <f>'منطقة القاهرة'!D13</f>
        <v>#REF!</v>
      </c>
      <c r="E10" s="23"/>
      <c r="F10" s="5" t="e">
        <f>'منطقة القاهرة'!F13</f>
        <v>#REF!</v>
      </c>
      <c r="G10" s="20" t="e">
        <f>'منطقة القاهرة'!G13</f>
        <v>#REF!</v>
      </c>
      <c r="H10" s="184"/>
    </row>
    <row r="11" spans="1:13" ht="16.5" thickBot="1" x14ac:dyDescent="0.25">
      <c r="A11" s="259" t="str">
        <f>'منطقة القاهرة'!A14</f>
        <v>شل 2</v>
      </c>
      <c r="B11" s="184"/>
      <c r="C11" s="5" t="e">
        <f>'منطقة القاهرة'!C14</f>
        <v>#REF!</v>
      </c>
      <c r="D11" s="20" t="e">
        <f>'منطقة القاهرة'!D14</f>
        <v>#REF!</v>
      </c>
      <c r="E11" s="21">
        <f>'منطقة القاهرة'!E14</f>
        <v>0</v>
      </c>
      <c r="F11" s="5" t="e">
        <f>'منطقة القاهرة'!F14</f>
        <v>#REF!</v>
      </c>
      <c r="G11" s="20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3" t="str">
        <f>'منطقة السويس'!B15</f>
        <v>سولار</v>
      </c>
      <c r="L12" s="44" t="str">
        <f>'منطقة السويس'!C15</f>
        <v>مصر</v>
      </c>
      <c r="M12" s="45">
        <f>'منطقة السويس'!D15</f>
        <v>0</v>
      </c>
    </row>
    <row r="13" spans="1:13" ht="16.5" thickBot="1" x14ac:dyDescent="0.25">
      <c r="A13" s="558" t="str">
        <f>'منطقة السويس'!A4</f>
        <v>المحطة</v>
      </c>
      <c r="B13" s="400" t="str">
        <f>'منطقة السويس'!B4</f>
        <v>السويس</v>
      </c>
      <c r="C13" s="444">
        <f>'منطقة السويس'!C4</f>
        <v>0</v>
      </c>
      <c r="D13" s="444">
        <f>'منطقة السويس'!D4</f>
        <v>0</v>
      </c>
      <c r="E13" s="444">
        <f>'منطقة السويس'!E4</f>
        <v>0</v>
      </c>
      <c r="F13" s="444">
        <f>'منطقة السويس'!F4</f>
        <v>0</v>
      </c>
      <c r="G13" s="444">
        <f>'منطقة السويس'!G4</f>
        <v>0</v>
      </c>
      <c r="H13" s="401">
        <f>'منطقة السويس'!H4</f>
        <v>0</v>
      </c>
      <c r="I13" s="268" t="s">
        <v>119</v>
      </c>
      <c r="K13" s="564">
        <f>'منطقة السويس'!B16</f>
        <v>0</v>
      </c>
      <c r="L13" s="44" t="str">
        <f>'منطقة السويس'!C16</f>
        <v>التعاون</v>
      </c>
      <c r="M13" s="45">
        <f>'منطقة السويس'!D16</f>
        <v>0</v>
      </c>
    </row>
    <row r="14" spans="1:13" ht="16.5" thickBot="1" x14ac:dyDescent="0.25">
      <c r="A14" s="558">
        <f>'منطقة السويس'!A5</f>
        <v>0</v>
      </c>
      <c r="B14" s="112" t="str">
        <f>'منطقة السويس'!B5</f>
        <v>تعاون</v>
      </c>
      <c r="C14" s="565" t="str">
        <f>'منطقة السويس'!C5</f>
        <v>موبيل</v>
      </c>
      <c r="D14" s="536">
        <f>'منطقة السويس'!D5</f>
        <v>0</v>
      </c>
      <c r="E14" s="566">
        <f>'منطقة السويس'!E5</f>
        <v>0</v>
      </c>
      <c r="F14" s="536" t="str">
        <f>'منطقة السويس'!F5</f>
        <v>مصر</v>
      </c>
      <c r="G14" s="536">
        <f>'منطقة السويس'!G5</f>
        <v>0</v>
      </c>
      <c r="H14" s="537">
        <f>'منطقة السويس'!H5</f>
        <v>0</v>
      </c>
      <c r="I14" s="267" t="s">
        <v>83</v>
      </c>
      <c r="K14" s="564">
        <f>'منطقة السويس'!B17</f>
        <v>0</v>
      </c>
      <c r="L14" s="51" t="str">
        <f>'منطقة السويس'!C17</f>
        <v>موبيل</v>
      </c>
      <c r="M14" s="52" t="e">
        <f>'منطقة السويس'!D17</f>
        <v>#REF!</v>
      </c>
    </row>
    <row r="15" spans="1:13" ht="16.5" thickBot="1" x14ac:dyDescent="0.25">
      <c r="A15" s="558">
        <f>'منطقة السويس'!A6</f>
        <v>0</v>
      </c>
      <c r="B15" s="260" t="str">
        <f>'منطقة السويس'!B6</f>
        <v>سولار</v>
      </c>
      <c r="C15" s="261">
        <f>'منطقة السويس'!C6</f>
        <v>92</v>
      </c>
      <c r="D15" s="257">
        <f>'منطقة السويس'!D6</f>
        <v>95</v>
      </c>
      <c r="E15" s="260" t="str">
        <f>'منطقة السويس'!E6</f>
        <v>سولار</v>
      </c>
      <c r="F15" s="258">
        <f>'منطقة السويس'!F6</f>
        <v>92</v>
      </c>
      <c r="G15" s="257">
        <f>'منطقة السويس'!G6</f>
        <v>95</v>
      </c>
      <c r="H15" s="256" t="str">
        <f>'منطقة السويس'!H6</f>
        <v>سولار</v>
      </c>
      <c r="I15" s="268" t="s">
        <v>50</v>
      </c>
      <c r="K15" s="561">
        <f>'منطقة السويس'!B18</f>
        <v>0</v>
      </c>
      <c r="L15" s="44" t="str">
        <f>'منطقة السويس'!C18</f>
        <v>بورسعيد</v>
      </c>
      <c r="M15" s="45">
        <f>'منطقة السويس'!D18</f>
        <v>0</v>
      </c>
    </row>
    <row r="16" spans="1:13" ht="17.25" thickTop="1" thickBot="1" x14ac:dyDescent="0.25">
      <c r="A16" s="259" t="str">
        <f>'منطقة السويس'!A7</f>
        <v>أول الجلالة</v>
      </c>
      <c r="B16" s="30">
        <f>'منطقة السويس'!B7</f>
        <v>68</v>
      </c>
      <c r="C16" s="21" t="e">
        <f>'منطقة السويس'!C7</f>
        <v>#REF!</v>
      </c>
      <c r="D16" s="20" t="e">
        <f>'منطقة السويس'!D7</f>
        <v>#REF!</v>
      </c>
      <c r="E16" s="30" t="e">
        <f>'منطقة السويس'!E7</f>
        <v>#REF!</v>
      </c>
      <c r="F16" s="113" t="e">
        <f>'منطقة السويس'!F7</f>
        <v>#VALUE!</v>
      </c>
      <c r="G16" s="20" t="e">
        <f>'منطقة السويس'!G7</f>
        <v>#REF!</v>
      </c>
      <c r="H16" s="5" t="e">
        <f>'منطقة السويس'!H7</f>
        <v>#REF!</v>
      </c>
      <c r="I16" s="5"/>
      <c r="K16" s="560">
        <f>'منطقة السويس'!B19</f>
        <v>95</v>
      </c>
      <c r="L16" s="41" t="str">
        <f>'منطقة السويس'!C19</f>
        <v>مصر</v>
      </c>
      <c r="M16" s="55">
        <f>'منطقة السويس'!D19</f>
        <v>0</v>
      </c>
    </row>
    <row r="17" spans="1:13" ht="16.5" thickBot="1" x14ac:dyDescent="0.25">
      <c r="A17" s="259" t="str">
        <f>'منطقة السويس'!A8</f>
        <v>واحة 1</v>
      </c>
      <c r="B17" s="30">
        <f>'منطقة السويس'!B8</f>
        <v>68</v>
      </c>
      <c r="C17" s="21" t="e">
        <f>'منطقة السويس'!C8</f>
        <v>#REF!</v>
      </c>
      <c r="D17" s="20" t="e">
        <f>'منطقة السويس'!D8</f>
        <v>#REF!</v>
      </c>
      <c r="E17" s="30" t="e">
        <f>'منطقة السويس'!E8</f>
        <v>#REF!</v>
      </c>
      <c r="F17" s="113" t="e">
        <f>'منطقة السويس'!F8</f>
        <v>#VALUE!</v>
      </c>
      <c r="G17" s="20" t="e">
        <f>'منطقة السويس'!G8</f>
        <v>#REF!</v>
      </c>
      <c r="H17" s="5" t="e">
        <f>'منطقة السويس'!H8</f>
        <v>#REF!</v>
      </c>
      <c r="I17" s="5"/>
      <c r="K17" s="561">
        <f>'منطقة السويس'!B20</f>
        <v>0</v>
      </c>
      <c r="L17" s="42" t="str">
        <f>'منطقة السويس'!C20</f>
        <v>موبيل</v>
      </c>
      <c r="M17" s="58" t="e">
        <f>'منطقة السويس'!D20</f>
        <v>#REF!</v>
      </c>
    </row>
    <row r="18" spans="1:13" ht="17.25" thickTop="1" thickBot="1" x14ac:dyDescent="0.25">
      <c r="A18" s="259" t="str">
        <f>'منطقة السويس'!A9</f>
        <v>واحة 2</v>
      </c>
      <c r="B18" s="31"/>
      <c r="C18" s="21" t="e">
        <f>'منطقة السويس'!C9</f>
        <v>#REF!</v>
      </c>
      <c r="D18" s="20" t="e">
        <f>'منطقة السويس'!D9</f>
        <v>#REF!</v>
      </c>
      <c r="E18" s="31"/>
      <c r="F18" s="113" t="e">
        <f>'منطقة السويس'!F9</f>
        <v>#VALUE!</v>
      </c>
      <c r="G18" s="20" t="e">
        <f>'منطقة السويس'!G9</f>
        <v>#REF!</v>
      </c>
      <c r="H18" s="184"/>
      <c r="I18" s="5"/>
      <c r="K18" s="560">
        <f>'منطقة السويس'!B21</f>
        <v>92</v>
      </c>
      <c r="L18" s="60" t="str">
        <f>'منطقة السويس'!C21</f>
        <v>مصر</v>
      </c>
      <c r="M18" s="61" t="e">
        <f>'منطقة السويس'!D21</f>
        <v>#VALUE!</v>
      </c>
    </row>
    <row r="19" spans="1:13" ht="16.5" thickBot="1" x14ac:dyDescent="0.25">
      <c r="A19" s="259" t="str">
        <f>'منطقة السويس'!A10</f>
        <v>الكاب</v>
      </c>
      <c r="B19" s="30">
        <f>'منطقة السويس'!B10</f>
        <v>0</v>
      </c>
      <c r="C19" s="21" t="e">
        <f>'منطقة السويس'!C10</f>
        <v>#REF!</v>
      </c>
      <c r="D19" s="20" t="e">
        <f>'منطقة السويس'!D10</f>
        <v>#REF!</v>
      </c>
      <c r="E19" s="30" t="e">
        <f>'منطقة السويس'!E10</f>
        <v>#REF!</v>
      </c>
      <c r="F19" s="113" t="e">
        <f>'منطقة السويس'!F10</f>
        <v>#VALUE!</v>
      </c>
      <c r="G19" s="20" t="e">
        <f>'منطقة السويس'!G10</f>
        <v>#REF!</v>
      </c>
      <c r="H19" s="5" t="e">
        <f>'منطقة السويس'!H10</f>
        <v>#REF!</v>
      </c>
      <c r="I19" s="5"/>
      <c r="K19" s="562">
        <f>'منطقة السويس'!B22</f>
        <v>0</v>
      </c>
      <c r="L19" s="53" t="str">
        <f>'منطقة السويس'!C22</f>
        <v>موبيل</v>
      </c>
      <c r="M19" s="54" t="e">
        <f>'منطقة السويس'!D22</f>
        <v>#REF!</v>
      </c>
    </row>
    <row r="20" spans="1:13" ht="15" thickBot="1" x14ac:dyDescent="0.25"/>
    <row r="21" spans="1:13" ht="16.5" thickBot="1" x14ac:dyDescent="0.3">
      <c r="K21" s="567" t="str">
        <f>'منطقة الاسكندرية'!B14</f>
        <v>سولار</v>
      </c>
      <c r="L21" s="44" t="str">
        <f>'منطقة الاسكندرية'!C14</f>
        <v>مصر</v>
      </c>
      <c r="M21" s="49">
        <f>'منطقة الاسكندرية'!D14</f>
        <v>0</v>
      </c>
    </row>
    <row r="22" spans="1:13" ht="16.5" thickBot="1" x14ac:dyDescent="0.3">
      <c r="A22" s="558" t="str">
        <f>'منطقة الاسكندرية'!A4</f>
        <v>المحطة</v>
      </c>
      <c r="B22" s="400" t="str">
        <f>'منطقة الاسكندرية'!B4</f>
        <v>الماكس</v>
      </c>
      <c r="C22" s="444">
        <f>'منطقة الاسكندرية'!C4</f>
        <v>0</v>
      </c>
      <c r="D22" s="444">
        <f>'منطقة الاسكندرية'!D4</f>
        <v>0</v>
      </c>
      <c r="E22" s="444">
        <f>'منطقة الاسكندرية'!E4</f>
        <v>0</v>
      </c>
      <c r="F22" s="444">
        <f>'منطقة الاسكندرية'!F4</f>
        <v>0</v>
      </c>
      <c r="G22" s="444">
        <f>'منطقة الاسكندرية'!G4</f>
        <v>0</v>
      </c>
      <c r="H22" s="444">
        <f>'منطقة الاسكندرية'!H4</f>
        <v>0</v>
      </c>
      <c r="I22" s="401">
        <f>'منطقة الاسكندرية'!I4</f>
        <v>0</v>
      </c>
      <c r="K22" s="568">
        <f>'منطقة الاسكندرية'!B15</f>
        <v>0</v>
      </c>
      <c r="L22" s="44" t="str">
        <f>'منطقة الاسكندرية'!C15</f>
        <v>التعاون</v>
      </c>
      <c r="M22" s="49">
        <f>'منطقة الاسكندرية'!D15</f>
        <v>149</v>
      </c>
    </row>
    <row r="23" spans="1:13" ht="16.5" thickBot="1" x14ac:dyDescent="0.3">
      <c r="A23" s="558">
        <f>'منطقة الاسكندرية'!A5</f>
        <v>0</v>
      </c>
      <c r="B23" s="538" t="str">
        <f>'منطقة الاسكندرية'!B5</f>
        <v>تعاون</v>
      </c>
      <c r="C23" s="538">
        <f>'منطقة الاسكندرية'!C5</f>
        <v>0</v>
      </c>
      <c r="D23" s="554">
        <f>'منطقة الاسكندرية'!D5</f>
        <v>0</v>
      </c>
      <c r="E23" s="570" t="str">
        <f>'منطقة الاسكندرية'!E5</f>
        <v>مصر</v>
      </c>
      <c r="F23" s="571">
        <f>'منطقة الاسكندرية'!F5</f>
        <v>0</v>
      </c>
      <c r="G23" s="555" t="str">
        <f>'منطقة الاسكندرية'!G5</f>
        <v>موبيل</v>
      </c>
      <c r="H23" s="538">
        <f>'منطقة الاسكندرية'!H5</f>
        <v>0</v>
      </c>
      <c r="I23" s="538">
        <f>'منطقة الاسكندرية'!I5</f>
        <v>0</v>
      </c>
      <c r="K23" s="569">
        <f>'منطقة الاسكندرية'!B16</f>
        <v>0</v>
      </c>
      <c r="L23" s="44" t="str">
        <f>'منطقة الاسكندرية'!C16</f>
        <v>موبيل</v>
      </c>
      <c r="M23" s="49" t="e">
        <f>'منطقة الاسكندرية'!D16</f>
        <v>#REF!</v>
      </c>
    </row>
    <row r="24" spans="1:13" ht="16.5" thickBot="1" x14ac:dyDescent="0.3">
      <c r="A24" s="558">
        <f>'منطقة الاسكندرية'!A6</f>
        <v>0</v>
      </c>
      <c r="B24" s="262" t="str">
        <f>'منطقة الاسكندرية'!B6</f>
        <v>بنزين 80</v>
      </c>
      <c r="C24" s="262" t="str">
        <f>'منطقة الاسكندرية'!C6</f>
        <v>بنزين 92</v>
      </c>
      <c r="D24" s="263" t="str">
        <f>'منطقة الاسكندرية'!D6</f>
        <v>سولار</v>
      </c>
      <c r="E24" s="265" t="str">
        <f>'منطقة الاسكندرية'!E6</f>
        <v>بنزين 92</v>
      </c>
      <c r="F24" s="30" t="str">
        <f>'منطقة الاسكندرية'!F6</f>
        <v>سولار</v>
      </c>
      <c r="G24" s="113" t="str">
        <f>'منطقة الاسكندرية'!G6</f>
        <v>بنزين 92</v>
      </c>
      <c r="H24" s="262" t="str">
        <f>'منطقة الاسكندرية'!H6</f>
        <v>بنزين 95</v>
      </c>
      <c r="I24" s="262" t="str">
        <f>'منطقة الاسكندرية'!I6</f>
        <v>سولار</v>
      </c>
      <c r="K24" s="56">
        <f>'منطقة الاسكندرية'!B17</f>
        <v>80</v>
      </c>
      <c r="L24" s="47" t="str">
        <f>'منطقة الاسكندرية'!C17</f>
        <v>التعاون</v>
      </c>
      <c r="M24" s="57">
        <f>'منطقة الاسكندرية'!D17</f>
        <v>83</v>
      </c>
    </row>
    <row r="25" spans="1:13" ht="16.5" thickBot="1" x14ac:dyDescent="0.3">
      <c r="A25" s="259" t="str">
        <f>'منطقة الاسكندرية'!A7</f>
        <v>الساحل</v>
      </c>
      <c r="B25" s="184"/>
      <c r="C25" s="5" t="e">
        <f>'منطقة الاسكندرية'!C7</f>
        <v>#REF!</v>
      </c>
      <c r="D25" s="20" t="e">
        <f>'منطقة الاسكندرية'!D7</f>
        <v>#REF!</v>
      </c>
      <c r="E25" s="21">
        <f>'منطقة الاسكندرية'!E7</f>
        <v>0</v>
      </c>
      <c r="F25" s="30">
        <f>'منطقة الاسكندرية'!F7</f>
        <v>0</v>
      </c>
      <c r="G25" s="21" t="e">
        <f>'منطقة الاسكندرية'!G7</f>
        <v>#REF!</v>
      </c>
      <c r="H25" s="5">
        <f>'منطقة الاسكندرية'!H7</f>
        <v>0</v>
      </c>
      <c r="I25" s="33" t="e">
        <f>'منطقة الاسكندرية'!I7</f>
        <v>#REF!</v>
      </c>
      <c r="K25" s="56">
        <f>'منطقة الاسكندرية'!B18</f>
        <v>95</v>
      </c>
      <c r="L25" s="40" t="str">
        <f>'منطقة الاسكندرية'!C18</f>
        <v>موبيل</v>
      </c>
      <c r="M25" s="59" t="e">
        <f>'منطقة الاسكندرية'!D18</f>
        <v>#REF!</v>
      </c>
    </row>
    <row r="26" spans="1:13" ht="16.5" thickBot="1" x14ac:dyDescent="0.3">
      <c r="A26" s="259" t="str">
        <f>'منطقة الاسكندرية'!A8</f>
        <v>العامرية</v>
      </c>
      <c r="B26" s="184"/>
      <c r="C26" s="5" t="e">
        <f>'منطقة الاسكندرية'!C8</f>
        <v>#REF!</v>
      </c>
      <c r="D26" s="22"/>
      <c r="E26" s="21">
        <f>'منطقة الاسكندرية'!E8</f>
        <v>0</v>
      </c>
      <c r="F26" s="31"/>
      <c r="G26" s="21" t="e">
        <f>'منطقة الاسكندرية'!G8</f>
        <v>#REF!</v>
      </c>
      <c r="H26" s="5">
        <f>'منطقة الاسكندرية'!H8</f>
        <v>17</v>
      </c>
      <c r="I26" s="72"/>
      <c r="K26" s="567">
        <f>'منطقة الاسكندرية'!B19</f>
        <v>92</v>
      </c>
      <c r="L26" s="62" t="str">
        <f>'منطقة الاسكندرية'!C19</f>
        <v>مصر</v>
      </c>
      <c r="M26" s="63">
        <f>'منطقة الاسكندرية'!D19</f>
        <v>0</v>
      </c>
    </row>
    <row r="27" spans="1:13" ht="16.5" thickBot="1" x14ac:dyDescent="0.3">
      <c r="A27" s="259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0" t="e">
        <f>'منطقة الاسكندرية'!D9</f>
        <v>#REF!</v>
      </c>
      <c r="E27" s="21">
        <f>'منطقة الاسكندرية'!E9</f>
        <v>0</v>
      </c>
      <c r="F27" s="30">
        <f>'منطقة الاسكندرية'!F9</f>
        <v>0</v>
      </c>
      <c r="G27" s="21" t="e">
        <f>'منطقة الاسكندرية'!G9</f>
        <v>#REF!</v>
      </c>
      <c r="H27" s="184"/>
      <c r="I27" s="33" t="e">
        <f>'منطقة الاسكندرية'!I9</f>
        <v>#REF!</v>
      </c>
      <c r="K27" s="568">
        <f>'منطقة الاسكندرية'!B20</f>
        <v>0</v>
      </c>
      <c r="L27" s="62" t="str">
        <f>'منطقة الاسكندرية'!C20</f>
        <v>التعاون</v>
      </c>
      <c r="M27" s="63">
        <f>'منطقة الاسكندرية'!D20</f>
        <v>215</v>
      </c>
    </row>
    <row r="28" spans="1:13" ht="16.5" thickBot="1" x14ac:dyDescent="0.3">
      <c r="A28" s="259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0" t="e">
        <f>'منطقة الاسكندرية'!D10</f>
        <v>#REF!</v>
      </c>
      <c r="E28" s="21">
        <f>'منطقة الاسكندرية'!E10</f>
        <v>0</v>
      </c>
      <c r="F28" s="30">
        <f>'منطقة الاسكندرية'!F10</f>
        <v>0</v>
      </c>
      <c r="G28" s="21" t="e">
        <f>'منطقة الاسكندرية'!G10</f>
        <v>#REF!</v>
      </c>
      <c r="H28" s="184"/>
      <c r="I28" s="33" t="e">
        <f>'منطقة الاسكندرية'!I10</f>
        <v>#REF!</v>
      </c>
      <c r="K28" s="569">
        <f>'منطقة الاسكندرية'!B21</f>
        <v>0</v>
      </c>
      <c r="L28" s="62" t="str">
        <f>'منطقة الاسكندرية'!C21</f>
        <v>موبيل</v>
      </c>
      <c r="M28" s="63" t="e">
        <f>'منطقة الاسكندرية'!D21</f>
        <v>#REF!</v>
      </c>
    </row>
    <row r="30" spans="1:13" ht="15" thickBot="1" x14ac:dyDescent="0.25">
      <c r="C30" s="572"/>
      <c r="D30" s="572"/>
    </row>
    <row r="31" spans="1:13" ht="16.5" thickBot="1" x14ac:dyDescent="0.3">
      <c r="A31" s="497" t="str">
        <f>'منطقة طنطا'!A4</f>
        <v>المحطة</v>
      </c>
      <c r="B31" s="400" t="str">
        <f>'منطقة طنطا'!B4</f>
        <v>طنطا</v>
      </c>
      <c r="C31" s="444">
        <f>'منطقة طنطا'!C4</f>
        <v>0</v>
      </c>
      <c r="D31" s="444">
        <f>'منطقة طنطا'!D4</f>
        <v>0</v>
      </c>
      <c r="E31" s="444">
        <f>'منطقة طنطا'!E4</f>
        <v>0</v>
      </c>
      <c r="F31" s="401">
        <f>'منطقة طنطا'!F4</f>
        <v>0</v>
      </c>
      <c r="H31" s="70"/>
      <c r="I31" s="70"/>
      <c r="J31" s="70"/>
      <c r="K31" s="563" t="str">
        <f>'منطقة طنطا'!B15</f>
        <v>سولار</v>
      </c>
      <c r="L31" s="44" t="str">
        <f>'منطقة طنطا'!C15</f>
        <v>مصر</v>
      </c>
      <c r="M31" s="45">
        <f>'منطقة طنطا'!D15</f>
        <v>0</v>
      </c>
    </row>
    <row r="32" spans="1:13" ht="16.5" thickBot="1" x14ac:dyDescent="0.25">
      <c r="A32" s="498">
        <f>'منطقة طنطا'!A5</f>
        <v>0</v>
      </c>
      <c r="B32" s="400" t="str">
        <f>'منطقة طنطا'!B5</f>
        <v>مصر</v>
      </c>
      <c r="C32" s="444">
        <f>'منطقة طنطا'!C5</f>
        <v>0</v>
      </c>
      <c r="D32" s="443" t="str">
        <f>'منطقة طنطا'!D5</f>
        <v>تعاون</v>
      </c>
      <c r="E32" s="447">
        <f>'منطقة طنطا'!E5</f>
        <v>0</v>
      </c>
      <c r="F32" s="258" t="str">
        <f>'منطقة طنطا'!F5</f>
        <v>تعاون هايكستب</v>
      </c>
      <c r="K32" s="562">
        <f>'منطقة طنطا'!B16</f>
        <v>0</v>
      </c>
      <c r="L32" s="44" t="str">
        <f>'منطقة طنطا'!C16</f>
        <v>التعاون</v>
      </c>
      <c r="M32" s="45">
        <f>'منطقة طنطا'!D16</f>
        <v>0</v>
      </c>
    </row>
    <row r="33" spans="1:13" ht="16.5" thickBot="1" x14ac:dyDescent="0.25">
      <c r="A33" s="499">
        <f>'منطقة طنطا'!A6</f>
        <v>0</v>
      </c>
      <c r="B33" s="256" t="str">
        <f>'منطقة طنطا'!B6</f>
        <v>بنزين 92</v>
      </c>
      <c r="C33" s="257" t="str">
        <f>'منطقة طنطا'!C6</f>
        <v>سولار</v>
      </c>
      <c r="D33" s="261" t="str">
        <f>'منطقة طنطا'!D6</f>
        <v>بنزين 92</v>
      </c>
      <c r="E33" s="260" t="str">
        <f>'منطقة طنطا'!E6</f>
        <v>سولار</v>
      </c>
      <c r="F33" s="258" t="str">
        <f>'منطقة طنطا'!F6</f>
        <v>بنزين 95</v>
      </c>
      <c r="K33" s="563">
        <f>'منطقة طنطا'!B17</f>
        <v>92</v>
      </c>
      <c r="L33" s="53" t="str">
        <f>'منطقة طنطا'!C17</f>
        <v>مصر</v>
      </c>
      <c r="M33" s="54">
        <f>'منطقة طنطا'!D17</f>
        <v>0</v>
      </c>
    </row>
    <row r="34" spans="1:13" ht="16.5" thickBot="1" x14ac:dyDescent="0.25">
      <c r="A34" s="259" t="str">
        <f>'منطقة طنطا'!A7</f>
        <v>الصنافين 1</v>
      </c>
      <c r="B34" s="262" t="e">
        <f>'منطقة طنطا'!B7</f>
        <v>#VALUE!</v>
      </c>
      <c r="C34" s="263">
        <f>'منطقة طنطا'!C7</f>
        <v>0</v>
      </c>
      <c r="D34" s="265" t="e">
        <f>'منطقة طنطا'!D7</f>
        <v>#VALUE!</v>
      </c>
      <c r="E34" s="266">
        <f>'منطقة طنطا'!E7</f>
        <v>0</v>
      </c>
      <c r="F34" s="264">
        <f>'منطقة طنطا'!F7</f>
        <v>0</v>
      </c>
      <c r="K34" s="562">
        <f>'منطقة طنطا'!B18</f>
        <v>0</v>
      </c>
      <c r="L34" s="53" t="str">
        <f>'منطقة طنطا'!C18</f>
        <v>التعاون</v>
      </c>
      <c r="M34" s="54" t="e">
        <f>'منطقة طنطا'!D18</f>
        <v>#VALUE!</v>
      </c>
    </row>
    <row r="35" spans="1:13" ht="16.5" thickBot="1" x14ac:dyDescent="0.25">
      <c r="A35" s="259" t="str">
        <f>'منطقة طنطا'!A8</f>
        <v>الصنافين 2</v>
      </c>
      <c r="B35" s="262" t="e">
        <f>'منطقة طنطا'!B8</f>
        <v>#VALUE!</v>
      </c>
      <c r="C35" s="263">
        <f>'منطقة طنطا'!C8</f>
        <v>0</v>
      </c>
      <c r="D35" s="265" t="e">
        <f>'منطقة طنطا'!D8</f>
        <v>#VALUE!</v>
      </c>
      <c r="E35" s="266">
        <f>'منطقة طنطا'!E8</f>
        <v>0</v>
      </c>
      <c r="F35" s="264">
        <f>'منطقة طنطا'!F8</f>
        <v>0</v>
      </c>
    </row>
    <row r="36" spans="1:13" ht="16.5" thickBot="1" x14ac:dyDescent="0.25">
      <c r="A36" s="259" t="str">
        <f>'منطقة طنطا'!A9</f>
        <v>الخطاطبة 1</v>
      </c>
      <c r="B36" s="262" t="e">
        <f>'منطقة طنطا'!B9</f>
        <v>#VALUE!</v>
      </c>
      <c r="C36" s="263">
        <f>'منطقة طنطا'!C9</f>
        <v>0</v>
      </c>
      <c r="D36" s="265" t="e">
        <f>'منطقة طنطا'!D9</f>
        <v>#VALUE!</v>
      </c>
      <c r="E36" s="266">
        <f>'منطقة طنطا'!E9</f>
        <v>0</v>
      </c>
      <c r="F36" s="264">
        <f>'منطقة طنطا'!F9</f>
        <v>0</v>
      </c>
    </row>
    <row r="37" spans="1:13" ht="16.5" thickBot="1" x14ac:dyDescent="0.25">
      <c r="A37" s="259" t="str">
        <f>'منطقة طنطا'!A10</f>
        <v>الخطاطبة 2</v>
      </c>
      <c r="B37" s="262" t="e">
        <f>'منطقة طنطا'!B10</f>
        <v>#VALUE!</v>
      </c>
      <c r="C37" s="263">
        <f>'منطقة طنطا'!C10</f>
        <v>0</v>
      </c>
      <c r="D37" s="265" t="e">
        <f>'منطقة طنطا'!D10</f>
        <v>#VALUE!</v>
      </c>
      <c r="E37" s="266">
        <f>'منطقة طنطا'!E10</f>
        <v>0</v>
      </c>
      <c r="F37" s="264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19"/>
      <c r="B1" s="120" t="s">
        <v>11</v>
      </c>
      <c r="C1" s="125" t="s">
        <v>50</v>
      </c>
      <c r="D1" s="124" t="s">
        <v>11</v>
      </c>
      <c r="E1" s="123" t="s">
        <v>50</v>
      </c>
      <c r="F1" s="121" t="s">
        <v>12</v>
      </c>
    </row>
    <row r="2" spans="1:6" ht="16.5" thickBot="1" x14ac:dyDescent="0.25">
      <c r="A2" s="122" t="s">
        <v>30</v>
      </c>
      <c r="B2" s="116" t="e">
        <f>'منطقة طنطا'!B7</f>
        <v>#VALUE!</v>
      </c>
      <c r="C2" s="117">
        <f>'منطقة طنطا'!C7</f>
        <v>0</v>
      </c>
      <c r="D2" s="127" t="e">
        <f>'منطقة طنطا'!D7</f>
        <v>#VALUE!</v>
      </c>
      <c r="E2" s="128">
        <f>'منطقة طنطا'!E7</f>
        <v>0</v>
      </c>
      <c r="F2" s="118">
        <f>'منطقة طنطا'!F7</f>
        <v>0</v>
      </c>
    </row>
    <row r="3" spans="1:6" ht="16.5" thickBot="1" x14ac:dyDescent="0.25">
      <c r="A3" s="122" t="s">
        <v>31</v>
      </c>
      <c r="B3" s="116" t="e">
        <f>'منطقة طنطا'!B8</f>
        <v>#VALUE!</v>
      </c>
      <c r="C3" s="117">
        <f>'منطقة طنطا'!C8</f>
        <v>0</v>
      </c>
      <c r="D3" s="127" t="e">
        <f>'منطقة طنطا'!D8</f>
        <v>#VALUE!</v>
      </c>
      <c r="E3" s="128">
        <f>'منطقة طنطا'!E8</f>
        <v>0</v>
      </c>
      <c r="F3" s="118">
        <f>'منطقة طنطا'!F8</f>
        <v>0</v>
      </c>
    </row>
    <row r="4" spans="1:6" ht="16.5" thickBot="1" x14ac:dyDescent="0.25">
      <c r="A4" s="122" t="s">
        <v>32</v>
      </c>
      <c r="B4" s="116" t="e">
        <f>'منطقة طنطا'!B9</f>
        <v>#VALUE!</v>
      </c>
      <c r="C4" s="117">
        <f>'منطقة طنطا'!C9</f>
        <v>0</v>
      </c>
      <c r="D4" s="127" t="e">
        <f>'منطقة طنطا'!D9</f>
        <v>#VALUE!</v>
      </c>
      <c r="E4" s="128">
        <f>'منطقة طنطا'!E9</f>
        <v>0</v>
      </c>
      <c r="F4" s="118">
        <f>'منطقة طنطا'!F9</f>
        <v>0</v>
      </c>
    </row>
    <row r="5" spans="1:6" ht="16.5" thickBot="1" x14ac:dyDescent="0.25">
      <c r="A5" s="122" t="s">
        <v>33</v>
      </c>
      <c r="B5" s="116" t="e">
        <f>'منطقة طنطا'!B10</f>
        <v>#VALUE!</v>
      </c>
      <c r="C5" s="117">
        <f>'منطقة طنطا'!C10</f>
        <v>0</v>
      </c>
      <c r="D5" s="127" t="e">
        <f>'منطقة طنطا'!D10</f>
        <v>#VALUE!</v>
      </c>
      <c r="E5" s="128">
        <f>'منطقة طنطا'!E10</f>
        <v>0</v>
      </c>
      <c r="F5" s="118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0" t="s">
        <v>0</v>
      </c>
      <c r="B1" s="420"/>
      <c r="C1" s="420"/>
      <c r="D1" s="420"/>
      <c r="O1" s="419"/>
      <c r="P1" s="419"/>
    </row>
    <row r="2" spans="1:17" ht="15" x14ac:dyDescent="0.2">
      <c r="A2" s="420" t="s">
        <v>1</v>
      </c>
      <c r="B2" s="420"/>
      <c r="C2" s="420"/>
      <c r="D2" s="420"/>
    </row>
    <row r="3" spans="1:17" ht="15" x14ac:dyDescent="0.2">
      <c r="A3" s="420" t="s">
        <v>2</v>
      </c>
      <c r="B3" s="420"/>
      <c r="C3" s="420"/>
      <c r="D3" s="420"/>
    </row>
    <row r="4" spans="1:17" ht="15" x14ac:dyDescent="0.2">
      <c r="A4" s="420" t="s">
        <v>53</v>
      </c>
      <c r="B4" s="420"/>
      <c r="C4" s="420"/>
      <c r="D4" s="420"/>
    </row>
    <row r="5" spans="1:17" ht="15" x14ac:dyDescent="0.2">
      <c r="A5" s="413" t="s">
        <v>195</v>
      </c>
      <c r="B5" s="413"/>
      <c r="C5" s="413"/>
      <c r="D5" s="413"/>
    </row>
    <row r="6" spans="1:17" ht="24" thickBot="1" x14ac:dyDescent="0.25">
      <c r="H6" s="424" t="s">
        <v>54</v>
      </c>
      <c r="I6" s="424"/>
      <c r="J6" s="424"/>
      <c r="K6" s="424"/>
    </row>
    <row r="7" spans="1:17" ht="20.25" customHeight="1" thickBot="1" x14ac:dyDescent="0.25">
      <c r="B7" s="415" t="s">
        <v>55</v>
      </c>
      <c r="C7" s="416"/>
      <c r="D7" s="416"/>
      <c r="E7" s="417"/>
      <c r="F7" s="17"/>
      <c r="G7" s="17"/>
      <c r="H7" s="17"/>
      <c r="I7" s="17"/>
      <c r="J7" s="17"/>
      <c r="K7" s="17"/>
      <c r="L7" s="17"/>
      <c r="M7" s="17"/>
      <c r="N7" s="17"/>
      <c r="O7" s="17"/>
      <c r="P7" s="415" t="s">
        <v>51</v>
      </c>
      <c r="Q7" s="417"/>
    </row>
    <row r="8" spans="1:17" ht="13.5" thickBot="1" x14ac:dyDescent="0.25">
      <c r="B8" s="418" t="s">
        <v>52</v>
      </c>
      <c r="C8" s="414" t="s">
        <v>5</v>
      </c>
      <c r="D8" s="414"/>
      <c r="E8" s="414"/>
      <c r="F8" s="414" t="s">
        <v>11</v>
      </c>
      <c r="G8" s="414"/>
      <c r="H8" s="414"/>
      <c r="I8" s="414" t="s">
        <v>12</v>
      </c>
      <c r="J8" s="414"/>
      <c r="K8" s="414"/>
      <c r="L8" s="414" t="s">
        <v>50</v>
      </c>
      <c r="M8" s="414"/>
      <c r="N8" s="414"/>
      <c r="O8" s="414" t="s">
        <v>56</v>
      </c>
      <c r="P8" s="414"/>
      <c r="Q8" s="414"/>
    </row>
    <row r="9" spans="1:17" ht="13.5" thickBot="1" x14ac:dyDescent="0.25">
      <c r="B9" s="418"/>
      <c r="C9" s="414"/>
      <c r="D9" s="414"/>
      <c r="E9" s="414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414"/>
    </row>
    <row r="10" spans="1:17" ht="20.100000000000001" customHeight="1" thickBot="1" x14ac:dyDescent="0.25">
      <c r="B10" s="418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02">
        <v>43709</v>
      </c>
      <c r="C11" s="132">
        <f>'[1]كوتة الاكسيل'!$F$15/30*1000</f>
        <v>0</v>
      </c>
      <c r="D11" s="132">
        <f>'التمام الصباحي'!F39*1000</f>
        <v>51000</v>
      </c>
      <c r="E11" s="13" t="e">
        <f>D11/C11</f>
        <v>#DIV/0!</v>
      </c>
      <c r="F11" s="132">
        <f>'[1]كوتة الاكسيل'!$N$15/30*1000</f>
        <v>0</v>
      </c>
      <c r="G11" s="132">
        <f>'التمام الصباحي'!L39*1000</f>
        <v>629000</v>
      </c>
      <c r="H11" s="13" t="e">
        <f>G11/F11</f>
        <v>#DIV/0!</v>
      </c>
      <c r="I11" s="132">
        <f>'[1]كوتة الاكسيل'!$J$15/30*1000</f>
        <v>0</v>
      </c>
      <c r="J11" s="132">
        <f>'التمام الصباحي'!R39*1000</f>
        <v>68000</v>
      </c>
      <c r="K11" s="13" t="e">
        <f>J11/I11</f>
        <v>#DIV/0!</v>
      </c>
      <c r="L11" s="132">
        <f>'[1]كوتة الاكسيل'!$B$15/30*1000</f>
        <v>0</v>
      </c>
      <c r="M11" s="132">
        <f>'التمام الصباحي'!X39*1000</f>
        <v>272000</v>
      </c>
      <c r="N11" s="13" t="e">
        <f>M11/L11</f>
        <v>#DIV/0!</v>
      </c>
      <c r="O11" s="132">
        <f>C11+F11+I11+L11</f>
        <v>0</v>
      </c>
      <c r="P11" s="132">
        <f>D11+G11+J11+M11</f>
        <v>1020000</v>
      </c>
      <c r="Q11" s="13" t="e">
        <f>P11/O11</f>
        <v>#DIV/0!</v>
      </c>
    </row>
    <row r="12" spans="1:17" ht="20.100000000000001" customHeight="1" x14ac:dyDescent="0.2"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</row>
    <row r="13" spans="1:17" ht="20.100000000000001" customHeight="1" x14ac:dyDescent="0.2">
      <c r="B13" s="142"/>
      <c r="C13" s="142"/>
      <c r="D13" s="142"/>
      <c r="E13" s="144"/>
      <c r="F13" s="142"/>
      <c r="G13" s="142"/>
      <c r="H13" s="144"/>
      <c r="I13" s="142"/>
      <c r="J13" s="143"/>
      <c r="K13" s="144"/>
      <c r="L13" s="142"/>
      <c r="M13" s="142"/>
      <c r="N13" s="144"/>
      <c r="O13" s="142"/>
      <c r="P13" s="142"/>
      <c r="Q13" s="144"/>
    </row>
    <row r="14" spans="1:17" ht="13.5" thickBot="1" x14ac:dyDescent="0.25"/>
    <row r="15" spans="1:17" ht="18" customHeight="1" thickBot="1" x14ac:dyDescent="0.25">
      <c r="B15" s="415" t="s">
        <v>61</v>
      </c>
      <c r="C15" s="416"/>
      <c r="D15" s="416"/>
      <c r="E15" s="417"/>
      <c r="P15" s="415" t="s">
        <v>51</v>
      </c>
      <c r="Q15" s="417"/>
    </row>
    <row r="16" spans="1:17" ht="13.5" thickBot="1" x14ac:dyDescent="0.25">
      <c r="B16" s="418" t="s">
        <v>52</v>
      </c>
      <c r="C16" s="414" t="s">
        <v>5</v>
      </c>
      <c r="D16" s="414"/>
      <c r="E16" s="414"/>
      <c r="F16" s="414" t="s">
        <v>11</v>
      </c>
      <c r="G16" s="414"/>
      <c r="H16" s="414"/>
      <c r="I16" s="414" t="s">
        <v>12</v>
      </c>
      <c r="J16" s="414"/>
      <c r="K16" s="414"/>
      <c r="L16" s="414" t="s">
        <v>50</v>
      </c>
      <c r="M16" s="414"/>
      <c r="N16" s="414"/>
      <c r="O16" s="414" t="s">
        <v>56</v>
      </c>
      <c r="P16" s="414"/>
      <c r="Q16" s="414"/>
    </row>
    <row r="17" spans="2:17" ht="13.5" thickBot="1" x14ac:dyDescent="0.25">
      <c r="B17" s="418"/>
      <c r="C17" s="414"/>
      <c r="D17" s="414"/>
      <c r="E17" s="414"/>
      <c r="F17" s="414"/>
      <c r="G17" s="414"/>
      <c r="H17" s="414"/>
      <c r="I17" s="414"/>
      <c r="J17" s="414"/>
      <c r="K17" s="414"/>
      <c r="L17" s="414"/>
      <c r="M17" s="414"/>
      <c r="N17" s="414"/>
      <c r="O17" s="414"/>
      <c r="P17" s="414"/>
      <c r="Q17" s="414"/>
    </row>
    <row r="18" spans="2:17" ht="20.100000000000001" customHeight="1" thickBot="1" x14ac:dyDescent="0.25">
      <c r="B18" s="418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37" t="s">
        <v>63</v>
      </c>
      <c r="C19" s="201">
        <f>'موقف المحطات'!$C$20</f>
        <v>57290</v>
      </c>
      <c r="D19" s="201">
        <f>'التمام الصباحي'!$F$27*1000</f>
        <v>0</v>
      </c>
      <c r="E19" s="13">
        <f>D19/C19</f>
        <v>0</v>
      </c>
      <c r="F19" s="201">
        <f>'موقف المحطات'!$F$20</f>
        <v>528677</v>
      </c>
      <c r="G19" s="201">
        <f>'موقف المحطات'!$G$20</f>
        <v>629000</v>
      </c>
      <c r="H19" s="13">
        <f>G19/F19</f>
        <v>1.1897623690835804</v>
      </c>
      <c r="I19" s="201">
        <f>'موقف المحطات'!$I$20</f>
        <v>127508</v>
      </c>
      <c r="J19" s="201">
        <f>'موقف المحطات'!$J$20</f>
        <v>68000</v>
      </c>
      <c r="K19" s="13">
        <f>J19/I19</f>
        <v>0.53329987138061929</v>
      </c>
      <c r="L19" s="201">
        <f>'موقف المحطات'!$L$20</f>
        <v>337547</v>
      </c>
      <c r="M19" s="201">
        <f>'موقف المحطات'!$M$20</f>
        <v>272000</v>
      </c>
      <c r="N19" s="13">
        <f>M19/L19</f>
        <v>0.80581370890572279</v>
      </c>
      <c r="O19" s="132">
        <f>C19+F19+I19+L19</f>
        <v>1051022</v>
      </c>
      <c r="P19" s="132">
        <f>D19+G19+J19+M19</f>
        <v>969000</v>
      </c>
      <c r="Q19" s="13">
        <f>P19/O19</f>
        <v>0.92195976868229212</v>
      </c>
    </row>
    <row r="20" spans="2:17" ht="22.5" customHeight="1" thickBot="1" x14ac:dyDescent="0.25">
      <c r="B20" s="137" t="s">
        <v>64</v>
      </c>
      <c r="C20" s="132">
        <f>المبيعات!C38</f>
        <v>57290</v>
      </c>
      <c r="D20" s="132">
        <f>D11</f>
        <v>51000</v>
      </c>
      <c r="E20" s="13">
        <f>IFERROR(D20/C20,0)</f>
        <v>0.89020771513353114</v>
      </c>
      <c r="F20" s="132">
        <f>المبيعات!F38</f>
        <v>528677</v>
      </c>
      <c r="G20" s="132">
        <f>G11</f>
        <v>629000</v>
      </c>
      <c r="H20" s="13">
        <f>IFERROR(G20/F20,0)</f>
        <v>1.1897623690835804</v>
      </c>
      <c r="I20" s="132">
        <f>المبيعات!I38</f>
        <v>127508</v>
      </c>
      <c r="J20" s="132">
        <f>J11</f>
        <v>68000</v>
      </c>
      <c r="K20" s="13">
        <f>IFERROR(J20/I20,0)</f>
        <v>0.53329987138061929</v>
      </c>
      <c r="L20" s="132">
        <f>المبيعات!L38</f>
        <v>337547</v>
      </c>
      <c r="M20" s="132">
        <f>M11</f>
        <v>272000</v>
      </c>
      <c r="N20" s="13">
        <f>IFERROR(M20/L20,0)</f>
        <v>0.80581370890572279</v>
      </c>
      <c r="O20" s="132">
        <f>C20+F20+I20+L20</f>
        <v>1051022</v>
      </c>
      <c r="P20" s="132">
        <f>P11</f>
        <v>1020000</v>
      </c>
      <c r="Q20" s="13">
        <f>IFERROR(P20/O20,0)</f>
        <v>0.97048396703399165</v>
      </c>
    </row>
    <row r="21" spans="2:17" ht="20.100000000000001" customHeight="1" x14ac:dyDescent="0.2">
      <c r="B21" s="142"/>
      <c r="C21" s="142"/>
      <c r="D21" s="142"/>
      <c r="E21" s="144"/>
      <c r="F21" s="142"/>
      <c r="G21" s="142"/>
      <c r="H21" s="144"/>
      <c r="I21" s="142"/>
      <c r="J21" s="142"/>
      <c r="K21" s="144"/>
      <c r="L21" s="142"/>
      <c r="M21" s="142"/>
      <c r="N21" s="144"/>
      <c r="O21" s="142"/>
      <c r="P21" s="142"/>
      <c r="Q21" s="144"/>
    </row>
    <row r="22" spans="2:17" ht="20.100000000000001" customHeight="1" x14ac:dyDescent="0.2">
      <c r="B22" s="142"/>
      <c r="C22" s="142"/>
      <c r="D22" s="142"/>
      <c r="E22" s="144"/>
      <c r="F22" s="142"/>
      <c r="G22" s="142"/>
      <c r="H22" s="144"/>
      <c r="I22" s="142"/>
      <c r="J22" s="142"/>
      <c r="K22" s="144"/>
      <c r="L22" s="142"/>
      <c r="M22" s="142"/>
      <c r="N22" s="144"/>
      <c r="O22" s="142"/>
      <c r="P22" s="142"/>
      <c r="Q22" s="144"/>
    </row>
    <row r="23" spans="2:17" ht="13.5" thickBot="1" x14ac:dyDescent="0.25"/>
    <row r="24" spans="2:17" ht="21" customHeight="1" thickBot="1" x14ac:dyDescent="0.25">
      <c r="B24" s="415" t="s">
        <v>72</v>
      </c>
      <c r="C24" s="416"/>
      <c r="D24" s="416"/>
      <c r="E24" s="417"/>
      <c r="P24" s="427" t="s">
        <v>51</v>
      </c>
      <c r="Q24" s="428"/>
    </row>
    <row r="25" spans="2:17" ht="18" customHeight="1" thickBot="1" x14ac:dyDescent="0.25">
      <c r="B25" s="425" t="s">
        <v>52</v>
      </c>
      <c r="C25" s="421" t="s">
        <v>163</v>
      </c>
      <c r="D25" s="422"/>
      <c r="E25" s="423"/>
      <c r="F25" s="421" t="s">
        <v>158</v>
      </c>
      <c r="G25" s="422"/>
      <c r="H25" s="423"/>
      <c r="I25" s="421" t="s">
        <v>121</v>
      </c>
      <c r="J25" s="422"/>
      <c r="K25" s="423"/>
      <c r="L25" s="421" t="s">
        <v>112</v>
      </c>
      <c r="M25" s="422"/>
      <c r="N25" s="423"/>
      <c r="O25" s="421" t="s">
        <v>113</v>
      </c>
      <c r="P25" s="422"/>
      <c r="Q25" s="423"/>
    </row>
    <row r="26" spans="2:17" ht="16.5" customHeight="1" thickBot="1" x14ac:dyDescent="0.25">
      <c r="B26" s="426"/>
      <c r="C26" s="137">
        <v>92</v>
      </c>
      <c r="D26" s="137">
        <v>95</v>
      </c>
      <c r="E26" s="215"/>
      <c r="F26" s="137">
        <v>92</v>
      </c>
      <c r="G26" s="137">
        <v>95</v>
      </c>
      <c r="H26" s="137" t="s">
        <v>50</v>
      </c>
      <c r="I26" s="215">
        <v>92</v>
      </c>
      <c r="J26" s="215">
        <v>95</v>
      </c>
      <c r="K26" s="215"/>
      <c r="L26" s="137">
        <v>92</v>
      </c>
      <c r="M26" s="137">
        <v>95</v>
      </c>
      <c r="N26" s="137" t="s">
        <v>50</v>
      </c>
      <c r="O26" s="137">
        <v>92</v>
      </c>
      <c r="P26" s="137">
        <v>95</v>
      </c>
      <c r="Q26" s="137" t="s">
        <v>50</v>
      </c>
    </row>
    <row r="27" spans="2:17" ht="20.100000000000001" customHeight="1" thickBot="1" x14ac:dyDescent="0.25">
      <c r="B27" s="215" t="s">
        <v>63</v>
      </c>
      <c r="C27" s="205"/>
      <c r="D27" s="205"/>
      <c r="E27" s="216"/>
      <c r="F27" s="139"/>
      <c r="G27" s="139"/>
      <c r="H27" s="134"/>
      <c r="I27" s="14"/>
      <c r="J27" s="139"/>
      <c r="K27" s="216"/>
      <c r="L27" s="14"/>
      <c r="M27" s="139"/>
      <c r="N27" s="134"/>
      <c r="O27" s="15"/>
      <c r="P27" s="139"/>
      <c r="Q27" s="134"/>
    </row>
    <row r="28" spans="2:17" ht="20.100000000000001" customHeight="1" thickBot="1" x14ac:dyDescent="0.25">
      <c r="B28" s="215" t="s">
        <v>64</v>
      </c>
      <c r="C28" s="139">
        <f>'أخذ التمام الصباحي'!H6</f>
        <v>29824</v>
      </c>
      <c r="D28" s="139">
        <f>'أخذ التمام الصباحي'!K6</f>
        <v>8526</v>
      </c>
      <c r="E28" s="216"/>
      <c r="F28" s="139">
        <f>'أخذ التمام الصباحي'!H7</f>
        <v>21346</v>
      </c>
      <c r="G28" s="139">
        <f>'أخذ التمام الصباحي'!K7</f>
        <v>3208</v>
      </c>
      <c r="H28" s="139">
        <f>'أخذ التمام الصباحي'!N7</f>
        <v>0</v>
      </c>
      <c r="I28" s="14"/>
      <c r="J28" s="139"/>
      <c r="K28" s="216"/>
      <c r="L28" s="14"/>
      <c r="M28" s="139"/>
      <c r="N28" s="134"/>
      <c r="O28" s="15"/>
      <c r="P28" s="139"/>
      <c r="Q28" s="134"/>
    </row>
    <row r="29" spans="2:17" ht="20.100000000000001" customHeight="1" x14ac:dyDescent="0.2">
      <c r="B29" s="143"/>
      <c r="C29" s="143"/>
      <c r="D29" s="143"/>
      <c r="E29" s="144"/>
      <c r="F29" s="143"/>
      <c r="G29" s="143"/>
      <c r="H29" s="144"/>
      <c r="I29" s="145"/>
      <c r="J29" s="143"/>
      <c r="K29" s="144"/>
      <c r="L29" s="145"/>
      <c r="M29" s="143"/>
      <c r="N29" s="144"/>
      <c r="O29" s="146"/>
      <c r="P29" s="143"/>
      <c r="Q29" s="144"/>
    </row>
    <row r="30" spans="2:17" ht="20.100000000000001" customHeight="1" x14ac:dyDescent="0.2">
      <c r="B30" s="143"/>
      <c r="C30" s="143"/>
      <c r="D30" s="143"/>
      <c r="E30" s="144"/>
      <c r="F30" s="143"/>
      <c r="G30" s="143"/>
      <c r="H30" s="144"/>
      <c r="I30" s="145"/>
      <c r="J30" s="143"/>
      <c r="K30" s="144"/>
      <c r="L30" s="145"/>
      <c r="M30" s="143"/>
      <c r="N30" s="144"/>
      <c r="O30" s="146"/>
      <c r="P30" s="143"/>
      <c r="Q30" s="144"/>
    </row>
    <row r="31" spans="2:17" ht="20.100000000000001" customHeight="1" thickBot="1" x14ac:dyDescent="0.25">
      <c r="L31" s="34"/>
      <c r="M31" s="34"/>
      <c r="N31" s="34"/>
      <c r="O31" s="34"/>
      <c r="P31" s="34"/>
    </row>
    <row r="32" spans="2:17" ht="21" customHeight="1" thickBot="1" x14ac:dyDescent="0.25">
      <c r="B32" s="429" t="s">
        <v>172</v>
      </c>
      <c r="C32" s="430"/>
      <c r="D32" s="430"/>
      <c r="E32" s="430"/>
      <c r="F32" s="431" t="s">
        <v>60</v>
      </c>
      <c r="G32" s="432"/>
      <c r="H32" s="147"/>
    </row>
    <row r="33" spans="2:8" ht="17.25" customHeight="1" thickBot="1" x14ac:dyDescent="0.25">
      <c r="B33" s="137" t="s">
        <v>65</v>
      </c>
      <c r="C33" s="137" t="s">
        <v>5</v>
      </c>
      <c r="D33" s="137" t="s">
        <v>11</v>
      </c>
      <c r="E33" s="140" t="s">
        <v>12</v>
      </c>
      <c r="F33" s="138" t="s">
        <v>50</v>
      </c>
      <c r="G33" s="138" t="s">
        <v>34</v>
      </c>
      <c r="H33" s="148"/>
    </row>
    <row r="34" spans="2:8" ht="24" customHeight="1" thickBot="1" x14ac:dyDescent="0.25">
      <c r="B34" s="32" t="s">
        <v>66</v>
      </c>
      <c r="C34" s="139">
        <f>'التمام الصباحي'!C39</f>
        <v>300</v>
      </c>
      <c r="D34" s="139">
        <f>'التمام الصباحي'!I39</f>
        <v>3525</v>
      </c>
      <c r="E34" s="135">
        <f>'التمام الصباحي'!O39</f>
        <v>1380</v>
      </c>
      <c r="F34" s="139">
        <f>'التمام الصباحي'!U39</f>
        <v>2580</v>
      </c>
      <c r="G34" s="139">
        <f>SUM(C34:F34)</f>
        <v>7785</v>
      </c>
    </row>
    <row r="35" spans="2:8" ht="20.25" customHeight="1" thickBot="1" x14ac:dyDescent="0.25">
      <c r="B35" s="32" t="s">
        <v>67</v>
      </c>
      <c r="C35" s="139">
        <f>'التمام الصباحي'!D39</f>
        <v>225</v>
      </c>
      <c r="D35" s="139">
        <f>'التمام الصباحي'!J39</f>
        <v>2153</v>
      </c>
      <c r="E35" s="135">
        <f>'التمام الصباحي'!P39</f>
        <v>765.5</v>
      </c>
      <c r="F35" s="139">
        <f>'التمام الصباحي'!V39</f>
        <v>1997</v>
      </c>
      <c r="G35" s="139">
        <f>SUM(C35:F35)</f>
        <v>5140.5</v>
      </c>
    </row>
    <row r="36" spans="2:8" ht="20.25" customHeight="1" thickBot="1" x14ac:dyDescent="0.25">
      <c r="B36" s="32" t="s">
        <v>37</v>
      </c>
      <c r="C36" s="415">
        <f>'التمام الصباحي'!C42:Z42</f>
        <v>2644.5</v>
      </c>
      <c r="D36" s="416"/>
      <c r="E36" s="416"/>
      <c r="F36" s="416"/>
      <c r="G36" s="417"/>
      <c r="H36" s="149"/>
    </row>
    <row r="37" spans="2:8" ht="18.75" customHeight="1" thickBot="1" x14ac:dyDescent="0.25">
      <c r="B37" s="32" t="s">
        <v>68</v>
      </c>
      <c r="C37" s="415">
        <f>'احتياجات المحطات'!M29</f>
        <v>578</v>
      </c>
      <c r="D37" s="416"/>
      <c r="E37" s="416"/>
      <c r="F37" s="416"/>
      <c r="G37" s="417"/>
      <c r="H37" s="149"/>
    </row>
    <row r="38" spans="2:8" ht="21" customHeight="1" thickBot="1" x14ac:dyDescent="0.25">
      <c r="B38" s="32" t="s">
        <v>69</v>
      </c>
      <c r="C38" s="415">
        <f>G35+C37</f>
        <v>5718.5</v>
      </c>
      <c r="D38" s="416"/>
      <c r="E38" s="416"/>
      <c r="F38" s="416"/>
      <c r="G38" s="417"/>
      <c r="H38" s="149"/>
    </row>
    <row r="39" spans="2:8" ht="19.5" customHeight="1" thickBot="1" x14ac:dyDescent="0.25">
      <c r="B39" s="133" t="s">
        <v>70</v>
      </c>
      <c r="C39" s="415">
        <f>C36-C37</f>
        <v>2066.5</v>
      </c>
      <c r="D39" s="416"/>
      <c r="E39" s="416"/>
      <c r="F39" s="416"/>
      <c r="G39" s="417"/>
      <c r="H39" s="149"/>
    </row>
    <row r="40" spans="2:8" ht="20.100000000000001" customHeight="1" thickBot="1" x14ac:dyDescent="0.25">
      <c r="B40" s="133" t="s">
        <v>71</v>
      </c>
      <c r="C40" s="415">
        <f>P19/1000</f>
        <v>969</v>
      </c>
      <c r="D40" s="416"/>
      <c r="E40" s="416"/>
      <c r="F40" s="416"/>
      <c r="G40" s="417"/>
      <c r="H40" s="149"/>
    </row>
    <row r="41" spans="2:8" ht="20.100000000000001" customHeight="1" thickBot="1" x14ac:dyDescent="0.25">
      <c r="B41" s="133" t="s">
        <v>110</v>
      </c>
      <c r="C41" s="433">
        <f>C37/C36</f>
        <v>0.21856683683115902</v>
      </c>
      <c r="D41" s="434"/>
      <c r="E41" s="434"/>
      <c r="F41" s="434"/>
      <c r="G41" s="435"/>
      <c r="H41" s="150"/>
    </row>
    <row r="42" spans="2:8" ht="20.100000000000001" customHeight="1" thickBot="1" x14ac:dyDescent="0.25">
      <c r="B42" s="139" t="s">
        <v>111</v>
      </c>
      <c r="C42" s="433">
        <f>'التمام الصباحي'!C45:Z45</f>
        <v>0.19842427779398891</v>
      </c>
      <c r="D42" s="434"/>
      <c r="E42" s="434"/>
      <c r="F42" s="434"/>
      <c r="G42" s="435"/>
      <c r="H42" s="150"/>
    </row>
    <row r="43" spans="2:8" ht="20.100000000000001" customHeight="1" x14ac:dyDescent="0.2">
      <c r="B43" s="143"/>
      <c r="C43" s="144"/>
      <c r="D43" s="144"/>
      <c r="E43" s="144"/>
      <c r="F43" s="144"/>
      <c r="G43" s="144"/>
      <c r="H43" s="144"/>
    </row>
    <row r="44" spans="2:8" ht="20.100000000000001" customHeight="1" x14ac:dyDescent="0.2">
      <c r="B44" s="143"/>
      <c r="C44" s="144"/>
      <c r="D44" s="144"/>
      <c r="E44" s="144"/>
      <c r="F44" s="144"/>
      <c r="G44" s="144"/>
      <c r="H44" s="144"/>
    </row>
    <row r="45" spans="2:8" ht="13.5" thickBot="1" x14ac:dyDescent="0.25"/>
    <row r="46" spans="2:8" ht="19.5" customHeight="1" thickBot="1" x14ac:dyDescent="0.25">
      <c r="B46" s="429" t="s">
        <v>173</v>
      </c>
      <c r="C46" s="430"/>
      <c r="D46" s="436"/>
      <c r="F46" s="432" t="s">
        <v>116</v>
      </c>
      <c r="G46" s="432"/>
    </row>
    <row r="47" spans="2:8" ht="18.75" customHeight="1" thickBot="1" x14ac:dyDescent="0.25">
      <c r="B47" s="136" t="s">
        <v>52</v>
      </c>
      <c r="C47" s="421" t="s">
        <v>114</v>
      </c>
      <c r="D47" s="423"/>
      <c r="E47" s="421" t="s">
        <v>115</v>
      </c>
      <c r="F47" s="423"/>
      <c r="G47" s="137" t="s">
        <v>34</v>
      </c>
    </row>
    <row r="48" spans="2:8" ht="18.75" customHeight="1" thickBot="1" x14ac:dyDescent="0.25">
      <c r="B48" s="202">
        <v>43647</v>
      </c>
      <c r="C48" s="440" t="e">
        <f>المستودعات!#REF!/51</f>
        <v>#REF!</v>
      </c>
      <c r="D48" s="417"/>
      <c r="E48" s="415"/>
      <c r="F48" s="417"/>
      <c r="G48" s="152" t="e">
        <f>C48+E48</f>
        <v>#REF!</v>
      </c>
      <c r="H48" s="149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29" t="s">
        <v>174</v>
      </c>
      <c r="C52" s="430"/>
      <c r="D52" s="430"/>
      <c r="E52" s="430"/>
      <c r="F52" s="430"/>
      <c r="G52" s="436"/>
    </row>
    <row r="53" spans="2:7" ht="20.100000000000001" customHeight="1" thickBot="1" x14ac:dyDescent="0.25">
      <c r="B53" s="425" t="s">
        <v>65</v>
      </c>
      <c r="C53" s="421" t="s">
        <v>73</v>
      </c>
      <c r="D53" s="422"/>
      <c r="E53" s="423"/>
      <c r="F53" s="441" t="s">
        <v>50</v>
      </c>
      <c r="G53" s="441" t="s">
        <v>74</v>
      </c>
    </row>
    <row r="54" spans="2:7" ht="20.100000000000001" customHeight="1" thickBot="1" x14ac:dyDescent="0.25">
      <c r="B54" s="426"/>
      <c r="C54" s="137">
        <v>80</v>
      </c>
      <c r="D54" s="137">
        <v>92</v>
      </c>
      <c r="E54" s="137">
        <v>95</v>
      </c>
      <c r="F54" s="442"/>
      <c r="G54" s="442"/>
    </row>
    <row r="55" spans="2:7" ht="19.5" customHeight="1" thickBot="1" x14ac:dyDescent="0.25">
      <c r="B55" s="25" t="s">
        <v>77</v>
      </c>
      <c r="C55" s="132">
        <f>المبيعات!D38</f>
        <v>315095</v>
      </c>
      <c r="D55" s="132">
        <f>المبيعات!G38</f>
        <v>3568569.75</v>
      </c>
      <c r="E55" s="141">
        <f>المبيعات!J38</f>
        <v>988187</v>
      </c>
      <c r="F55" s="132">
        <f>المبيعات!M38</f>
        <v>1856508.5</v>
      </c>
      <c r="G55" s="28">
        <f>C55+D55+E55+F55</f>
        <v>6728360.25</v>
      </c>
    </row>
    <row r="56" spans="2:7" ht="17.25" customHeight="1" thickBot="1" x14ac:dyDescent="0.25">
      <c r="B56" s="137" t="s">
        <v>78</v>
      </c>
      <c r="C56" s="132">
        <f>المبيعات!E38</f>
        <v>14322.5</v>
      </c>
      <c r="D56" s="132">
        <f>المبيعات!H38</f>
        <v>174463.41</v>
      </c>
      <c r="E56" s="132">
        <f>المبيعات!K38</f>
        <v>57378.6</v>
      </c>
      <c r="F56" s="132">
        <f>المبيعات!N38</f>
        <v>87762.219999999987</v>
      </c>
      <c r="G56" s="28">
        <f>F56+E56+D56+C56</f>
        <v>333926.73</v>
      </c>
    </row>
    <row r="57" spans="2:7" ht="17.25" customHeight="1" thickBot="1" x14ac:dyDescent="0.25">
      <c r="B57" s="137" t="s">
        <v>79</v>
      </c>
      <c r="C57" s="437">
        <f>المبيعات!P38</f>
        <v>64765</v>
      </c>
      <c r="D57" s="438"/>
      <c r="E57" s="438"/>
      <c r="F57" s="439"/>
      <c r="G57" s="29">
        <f>C57</f>
        <v>64765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A17" sqref="A17:XFD17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36"/>
      <c r="G2" s="36"/>
      <c r="H2" s="36"/>
      <c r="I2" s="36"/>
      <c r="J2" s="36"/>
      <c r="K2" s="36"/>
      <c r="L2" s="36"/>
      <c r="M2" s="36"/>
      <c r="O2" s="26"/>
    </row>
    <row r="3" spans="1:20" ht="15.75" customHeight="1" thickBot="1" x14ac:dyDescent="0.25">
      <c r="A3" s="445" t="s">
        <v>14</v>
      </c>
      <c r="B3" s="445" t="s">
        <v>3</v>
      </c>
      <c r="C3" s="400" t="s">
        <v>5</v>
      </c>
      <c r="D3" s="444"/>
      <c r="E3" s="447"/>
      <c r="F3" s="443" t="s">
        <v>11</v>
      </c>
      <c r="G3" s="444"/>
      <c r="H3" s="447"/>
      <c r="I3" s="443" t="s">
        <v>12</v>
      </c>
      <c r="J3" s="444"/>
      <c r="K3" s="447"/>
      <c r="L3" s="443" t="s">
        <v>50</v>
      </c>
      <c r="M3" s="444"/>
      <c r="N3" s="447"/>
      <c r="O3" s="443" t="s">
        <v>45</v>
      </c>
      <c r="P3" s="444"/>
      <c r="Q3" s="401"/>
      <c r="R3" s="409" t="s">
        <v>160</v>
      </c>
    </row>
    <row r="4" spans="1:20" ht="15.75" customHeight="1" thickBot="1" x14ac:dyDescent="0.25">
      <c r="A4" s="446"/>
      <c r="B4" s="446"/>
      <c r="C4" s="362" t="s">
        <v>6</v>
      </c>
      <c r="D4" s="362" t="s">
        <v>8</v>
      </c>
      <c r="E4" s="363" t="s">
        <v>76</v>
      </c>
      <c r="F4" s="367" t="s">
        <v>6</v>
      </c>
      <c r="G4" s="362" t="s">
        <v>8</v>
      </c>
      <c r="H4" s="363" t="s">
        <v>76</v>
      </c>
      <c r="I4" s="367" t="s">
        <v>217</v>
      </c>
      <c r="J4" s="362" t="s">
        <v>8</v>
      </c>
      <c r="K4" s="362" t="s">
        <v>76</v>
      </c>
      <c r="L4" s="367" t="s">
        <v>6</v>
      </c>
      <c r="M4" s="362" t="s">
        <v>8</v>
      </c>
      <c r="N4" s="366" t="s">
        <v>76</v>
      </c>
      <c r="O4" s="364" t="s">
        <v>80</v>
      </c>
      <c r="P4" s="362" t="s">
        <v>50</v>
      </c>
      <c r="Q4" s="362" t="s">
        <v>74</v>
      </c>
      <c r="R4" s="410"/>
    </row>
    <row r="5" spans="1:20" ht="16.5" thickBot="1" x14ac:dyDescent="0.3">
      <c r="A5" s="365">
        <v>1</v>
      </c>
      <c r="B5" s="365" t="s">
        <v>15</v>
      </c>
      <c r="C5" s="188"/>
      <c r="D5" s="184"/>
      <c r="E5" s="204"/>
      <c r="F5" s="203">
        <v>45</v>
      </c>
      <c r="G5" s="186">
        <v>34</v>
      </c>
      <c r="H5" s="205">
        <v>25236</v>
      </c>
      <c r="I5" s="203">
        <v>10</v>
      </c>
      <c r="J5" s="5">
        <v>17</v>
      </c>
      <c r="K5" s="205">
        <v>7775</v>
      </c>
      <c r="L5" s="206"/>
      <c r="M5" s="184"/>
      <c r="N5" s="207"/>
      <c r="O5" s="209">
        <v>2150</v>
      </c>
      <c r="P5" s="210"/>
      <c r="Q5" s="286">
        <f t="shared" ref="Q5:Q35" si="0">P5+O5</f>
        <v>2150</v>
      </c>
      <c r="R5" s="212" t="s">
        <v>220</v>
      </c>
      <c r="S5" s="187"/>
      <c r="T5" s="187"/>
    </row>
    <row r="6" spans="1:20" ht="16.5" thickBot="1" x14ac:dyDescent="0.3">
      <c r="A6" s="365">
        <v>2</v>
      </c>
      <c r="B6" s="365" t="s">
        <v>163</v>
      </c>
      <c r="C6" s="188"/>
      <c r="D6" s="184"/>
      <c r="E6" s="204"/>
      <c r="F6" s="203">
        <v>61</v>
      </c>
      <c r="G6" s="186">
        <v>34</v>
      </c>
      <c r="H6" s="205">
        <v>29824</v>
      </c>
      <c r="I6" s="203">
        <v>21</v>
      </c>
      <c r="J6" s="5"/>
      <c r="K6" s="205">
        <v>8526</v>
      </c>
      <c r="L6" s="206"/>
      <c r="M6" s="184"/>
      <c r="N6" s="207"/>
      <c r="O6" s="209">
        <v>2400</v>
      </c>
      <c r="P6" s="210"/>
      <c r="Q6" s="286">
        <f t="shared" si="0"/>
        <v>2400</v>
      </c>
      <c r="R6" s="212" t="s">
        <v>240</v>
      </c>
      <c r="S6" s="187"/>
      <c r="T6" s="187"/>
    </row>
    <row r="7" spans="1:20" ht="16.5" thickBot="1" x14ac:dyDescent="0.3">
      <c r="A7" s="365">
        <v>3</v>
      </c>
      <c r="B7" s="365" t="s">
        <v>158</v>
      </c>
      <c r="C7" s="189">
        <v>84</v>
      </c>
      <c r="D7" s="5">
        <v>34</v>
      </c>
      <c r="E7" s="205">
        <v>37982</v>
      </c>
      <c r="F7" s="203">
        <v>43</v>
      </c>
      <c r="G7" s="186">
        <v>17</v>
      </c>
      <c r="H7" s="205">
        <v>21346</v>
      </c>
      <c r="I7" s="203">
        <v>27</v>
      </c>
      <c r="J7" s="5"/>
      <c r="K7" s="205">
        <v>3208</v>
      </c>
      <c r="L7" s="206"/>
      <c r="M7" s="184"/>
      <c r="N7" s="207"/>
      <c r="O7" s="209">
        <v>3535</v>
      </c>
      <c r="P7" s="210"/>
      <c r="Q7" s="286">
        <f t="shared" si="0"/>
        <v>3535</v>
      </c>
      <c r="R7" s="212" t="s">
        <v>236</v>
      </c>
      <c r="S7" s="187"/>
      <c r="T7" s="187"/>
    </row>
    <row r="8" spans="1:20" ht="16.5" thickBot="1" x14ac:dyDescent="0.3">
      <c r="A8" s="365">
        <v>4</v>
      </c>
      <c r="B8" s="365" t="s">
        <v>16</v>
      </c>
      <c r="C8" s="189">
        <v>18</v>
      </c>
      <c r="D8" s="5"/>
      <c r="E8" s="205">
        <v>3237</v>
      </c>
      <c r="F8" s="203">
        <v>42</v>
      </c>
      <c r="G8" s="186">
        <v>17</v>
      </c>
      <c r="H8" s="205">
        <v>20829</v>
      </c>
      <c r="I8" s="203">
        <v>25</v>
      </c>
      <c r="J8" s="5"/>
      <c r="K8" s="205">
        <v>8014</v>
      </c>
      <c r="L8" s="203">
        <v>165</v>
      </c>
      <c r="M8" s="5"/>
      <c r="N8" s="208">
        <v>5432</v>
      </c>
      <c r="O8" s="209">
        <v>3080</v>
      </c>
      <c r="P8" s="211"/>
      <c r="Q8" s="286">
        <f t="shared" si="0"/>
        <v>3080</v>
      </c>
      <c r="R8" s="212" t="s">
        <v>227</v>
      </c>
      <c r="S8" s="187"/>
      <c r="T8" s="187"/>
    </row>
    <row r="9" spans="1:20" ht="16.5" thickBot="1" x14ac:dyDescent="0.3">
      <c r="A9" s="365">
        <v>5</v>
      </c>
      <c r="B9" s="365" t="s">
        <v>17</v>
      </c>
      <c r="C9" s="188"/>
      <c r="D9" s="184"/>
      <c r="E9" s="204"/>
      <c r="F9" s="203">
        <v>64</v>
      </c>
      <c r="G9" s="186">
        <v>34</v>
      </c>
      <c r="H9" s="205">
        <v>34131</v>
      </c>
      <c r="I9" s="203">
        <v>19</v>
      </c>
      <c r="J9" s="5"/>
      <c r="K9" s="205">
        <v>8831</v>
      </c>
      <c r="L9" s="206"/>
      <c r="M9" s="184"/>
      <c r="N9" s="207"/>
      <c r="O9" s="209">
        <v>2940</v>
      </c>
      <c r="P9" s="210"/>
      <c r="Q9" s="286">
        <f t="shared" si="0"/>
        <v>2940</v>
      </c>
      <c r="R9" s="212" t="s">
        <v>223</v>
      </c>
      <c r="S9" s="187"/>
      <c r="T9" s="187"/>
    </row>
    <row r="10" spans="1:20" ht="16.5" thickBot="1" x14ac:dyDescent="0.3">
      <c r="A10" s="365">
        <v>6</v>
      </c>
      <c r="B10" s="365" t="s">
        <v>18</v>
      </c>
      <c r="C10" s="189">
        <v>16</v>
      </c>
      <c r="D10" s="5"/>
      <c r="E10" s="205">
        <v>4557</v>
      </c>
      <c r="F10" s="203">
        <v>50</v>
      </c>
      <c r="G10" s="186">
        <v>34</v>
      </c>
      <c r="H10" s="205">
        <v>28194</v>
      </c>
      <c r="I10" s="206"/>
      <c r="J10" s="184"/>
      <c r="K10" s="204"/>
      <c r="L10" s="203">
        <v>152</v>
      </c>
      <c r="M10" s="5">
        <v>17</v>
      </c>
      <c r="N10" s="208">
        <v>8928</v>
      </c>
      <c r="O10" s="209">
        <v>3055</v>
      </c>
      <c r="P10" s="211"/>
      <c r="Q10" s="286">
        <f t="shared" si="0"/>
        <v>3055</v>
      </c>
      <c r="R10" s="212" t="s">
        <v>239</v>
      </c>
      <c r="S10" s="187"/>
      <c r="T10" s="187"/>
    </row>
    <row r="11" spans="1:20" ht="16.5" thickBot="1" x14ac:dyDescent="0.3">
      <c r="A11" s="365">
        <v>7</v>
      </c>
      <c r="B11" s="365" t="s">
        <v>19</v>
      </c>
      <c r="C11" s="189">
        <v>8</v>
      </c>
      <c r="D11" s="5">
        <v>17</v>
      </c>
      <c r="E11" s="205">
        <v>7556</v>
      </c>
      <c r="F11" s="203">
        <v>74</v>
      </c>
      <c r="G11" s="186">
        <v>17</v>
      </c>
      <c r="H11" s="205">
        <v>16596</v>
      </c>
      <c r="I11" s="206"/>
      <c r="J11" s="184"/>
      <c r="K11" s="204"/>
      <c r="L11" s="203">
        <v>158</v>
      </c>
      <c r="M11" s="5">
        <v>17</v>
      </c>
      <c r="N11" s="208">
        <v>19336</v>
      </c>
      <c r="O11" s="209">
        <v>2800</v>
      </c>
      <c r="P11" s="211"/>
      <c r="Q11" s="286">
        <f t="shared" si="0"/>
        <v>2800</v>
      </c>
      <c r="R11" s="212" t="s">
        <v>243</v>
      </c>
      <c r="S11" s="187"/>
      <c r="T11" s="187"/>
    </row>
    <row r="12" spans="1:20" ht="16.5" thickBot="1" x14ac:dyDescent="0.3">
      <c r="A12" s="365">
        <v>8</v>
      </c>
      <c r="B12" s="365" t="s">
        <v>20</v>
      </c>
      <c r="C12" s="188"/>
      <c r="D12" s="184"/>
      <c r="E12" s="204"/>
      <c r="F12" s="203">
        <v>168</v>
      </c>
      <c r="G12" s="186">
        <v>34</v>
      </c>
      <c r="H12" s="205">
        <v>40678</v>
      </c>
      <c r="I12" s="203">
        <v>56</v>
      </c>
      <c r="J12" s="5">
        <v>17</v>
      </c>
      <c r="K12" s="205">
        <v>11813</v>
      </c>
      <c r="L12" s="206"/>
      <c r="M12" s="184"/>
      <c r="N12" s="207"/>
      <c r="O12" s="209">
        <v>3240</v>
      </c>
      <c r="P12" s="210"/>
      <c r="Q12" s="286">
        <f t="shared" si="0"/>
        <v>3240</v>
      </c>
      <c r="R12" s="212" t="s">
        <v>241</v>
      </c>
      <c r="S12" s="187"/>
      <c r="T12" s="187"/>
    </row>
    <row r="13" spans="1:20" ht="16.5" thickBot="1" x14ac:dyDescent="0.3">
      <c r="A13" s="365">
        <v>9</v>
      </c>
      <c r="B13" s="365" t="s">
        <v>21</v>
      </c>
      <c r="C13" s="188"/>
      <c r="D13" s="184"/>
      <c r="E13" s="204"/>
      <c r="F13" s="203">
        <v>170</v>
      </c>
      <c r="G13" s="186">
        <v>85</v>
      </c>
      <c r="H13" s="205">
        <v>39837</v>
      </c>
      <c r="I13" s="203">
        <v>32</v>
      </c>
      <c r="J13" s="5">
        <v>17</v>
      </c>
      <c r="K13" s="205">
        <v>11272</v>
      </c>
      <c r="L13" s="203">
        <v>75</v>
      </c>
      <c r="M13" s="5">
        <v>51</v>
      </c>
      <c r="N13" s="208">
        <v>33511</v>
      </c>
      <c r="O13" s="209"/>
      <c r="P13" s="211"/>
      <c r="Q13" s="286">
        <f t="shared" si="0"/>
        <v>0</v>
      </c>
      <c r="R13" s="212" t="s">
        <v>218</v>
      </c>
      <c r="S13" s="187"/>
      <c r="T13" s="187"/>
    </row>
    <row r="14" spans="1:20" ht="16.5" thickBot="1" x14ac:dyDescent="0.3">
      <c r="A14" s="365">
        <v>10</v>
      </c>
      <c r="B14" s="365" t="s">
        <v>22</v>
      </c>
      <c r="C14" s="188"/>
      <c r="D14" s="184"/>
      <c r="E14" s="204"/>
      <c r="F14" s="203">
        <v>77</v>
      </c>
      <c r="G14" s="186"/>
      <c r="H14" s="205">
        <v>8007</v>
      </c>
      <c r="I14" s="203">
        <v>17.5</v>
      </c>
      <c r="J14" s="5"/>
      <c r="K14" s="205">
        <v>3849</v>
      </c>
      <c r="L14" s="203">
        <v>138</v>
      </c>
      <c r="M14" s="5">
        <v>51</v>
      </c>
      <c r="N14" s="208">
        <v>52745</v>
      </c>
      <c r="O14" s="209">
        <v>6358</v>
      </c>
      <c r="P14" s="211"/>
      <c r="Q14" s="286">
        <f t="shared" si="0"/>
        <v>6358</v>
      </c>
      <c r="R14" s="212" t="s">
        <v>233</v>
      </c>
      <c r="S14" s="187"/>
      <c r="T14" s="187"/>
    </row>
    <row r="15" spans="1:20" ht="16.5" thickBot="1" x14ac:dyDescent="0.3">
      <c r="A15" s="365">
        <v>11</v>
      </c>
      <c r="B15" s="365" t="s">
        <v>23</v>
      </c>
      <c r="C15" s="188"/>
      <c r="D15" s="184"/>
      <c r="E15" s="204"/>
      <c r="F15" s="203">
        <v>83</v>
      </c>
      <c r="G15" s="186"/>
      <c r="H15" s="205">
        <v>8434</v>
      </c>
      <c r="I15" s="203">
        <v>14</v>
      </c>
      <c r="J15" s="5"/>
      <c r="K15" s="205">
        <v>2206</v>
      </c>
      <c r="L15" s="203">
        <v>53</v>
      </c>
      <c r="M15" s="5"/>
      <c r="N15" s="208">
        <v>3376</v>
      </c>
      <c r="O15" s="209">
        <v>1182</v>
      </c>
      <c r="P15" s="211"/>
      <c r="Q15" s="286">
        <f t="shared" si="0"/>
        <v>1182</v>
      </c>
      <c r="R15" s="212" t="s">
        <v>219</v>
      </c>
      <c r="S15" s="187"/>
      <c r="T15" s="187"/>
    </row>
    <row r="16" spans="1:20" ht="16.5" thickBot="1" x14ac:dyDescent="0.3">
      <c r="A16" s="365">
        <v>12</v>
      </c>
      <c r="B16" s="365" t="s">
        <v>24</v>
      </c>
      <c r="C16" s="188"/>
      <c r="D16" s="184"/>
      <c r="E16" s="204"/>
      <c r="F16" s="203">
        <v>36</v>
      </c>
      <c r="G16" s="186"/>
      <c r="H16" s="205">
        <v>4047</v>
      </c>
      <c r="I16" s="203">
        <v>19</v>
      </c>
      <c r="J16" s="5"/>
      <c r="K16" s="205">
        <v>1344</v>
      </c>
      <c r="L16" s="206"/>
      <c r="M16" s="184"/>
      <c r="N16" s="207"/>
      <c r="O16" s="209">
        <v>625</v>
      </c>
      <c r="P16" s="210"/>
      <c r="Q16" s="286">
        <f t="shared" si="0"/>
        <v>625</v>
      </c>
      <c r="R16" s="212" t="s">
        <v>223</v>
      </c>
      <c r="S16" s="187"/>
      <c r="T16" s="187"/>
    </row>
    <row r="17" spans="1:20" ht="16.5" thickBot="1" x14ac:dyDescent="0.3">
      <c r="A17" s="365">
        <v>13</v>
      </c>
      <c r="B17" s="365" t="s">
        <v>26</v>
      </c>
      <c r="C17" s="188"/>
      <c r="D17" s="184"/>
      <c r="E17" s="204"/>
      <c r="F17" s="203">
        <v>68</v>
      </c>
      <c r="G17" s="186"/>
      <c r="H17" s="205">
        <v>3816</v>
      </c>
      <c r="I17" s="203">
        <v>17</v>
      </c>
      <c r="J17" s="5"/>
      <c r="K17" s="205">
        <v>1093</v>
      </c>
      <c r="L17" s="203">
        <v>155</v>
      </c>
      <c r="M17" s="5"/>
      <c r="N17" s="208">
        <v>8090</v>
      </c>
      <c r="O17" s="209">
        <v>1421</v>
      </c>
      <c r="P17" s="211"/>
      <c r="Q17" s="286">
        <f t="shared" si="0"/>
        <v>1421</v>
      </c>
      <c r="R17" s="212" t="s">
        <v>230</v>
      </c>
      <c r="S17" s="187"/>
      <c r="T17" s="187"/>
    </row>
    <row r="18" spans="1:20" ht="16.5" thickBot="1" x14ac:dyDescent="0.3">
      <c r="A18" s="365">
        <v>14</v>
      </c>
      <c r="B18" s="365" t="s">
        <v>25</v>
      </c>
      <c r="C18" s="188"/>
      <c r="D18" s="184"/>
      <c r="E18" s="204"/>
      <c r="F18" s="203">
        <v>75</v>
      </c>
      <c r="G18" s="186">
        <v>17</v>
      </c>
      <c r="H18" s="205">
        <v>18429</v>
      </c>
      <c r="I18" s="203">
        <v>24</v>
      </c>
      <c r="J18" s="5"/>
      <c r="K18" s="205">
        <v>4396</v>
      </c>
      <c r="L18" s="203">
        <v>160</v>
      </c>
      <c r="M18" s="5">
        <v>34</v>
      </c>
      <c r="N18" s="208">
        <v>26082</v>
      </c>
      <c r="O18" s="209">
        <v>1687</v>
      </c>
      <c r="P18" s="211">
        <v>2172</v>
      </c>
      <c r="Q18" s="286">
        <f t="shared" si="0"/>
        <v>3859</v>
      </c>
      <c r="R18" s="212" t="s">
        <v>232</v>
      </c>
      <c r="S18" s="187"/>
      <c r="T18" s="187"/>
    </row>
    <row r="19" spans="1:20" ht="16.5" thickBot="1" x14ac:dyDescent="0.3">
      <c r="A19" s="365">
        <v>15</v>
      </c>
      <c r="B19" s="365" t="s">
        <v>27</v>
      </c>
      <c r="C19" s="188"/>
      <c r="D19" s="184"/>
      <c r="E19" s="204"/>
      <c r="F19" s="203">
        <v>56</v>
      </c>
      <c r="G19" s="186"/>
      <c r="H19" s="205">
        <v>6751</v>
      </c>
      <c r="I19" s="203">
        <v>17</v>
      </c>
      <c r="J19" s="5"/>
      <c r="K19" s="205">
        <v>1640</v>
      </c>
      <c r="L19" s="206"/>
      <c r="M19" s="184"/>
      <c r="N19" s="207"/>
      <c r="O19" s="209">
        <v>760</v>
      </c>
      <c r="P19" s="210"/>
      <c r="Q19" s="286">
        <f t="shared" si="0"/>
        <v>760</v>
      </c>
      <c r="R19" s="212" t="s">
        <v>221</v>
      </c>
      <c r="S19" s="187"/>
      <c r="T19" s="187"/>
    </row>
    <row r="20" spans="1:20" ht="16.5" thickBot="1" x14ac:dyDescent="0.3">
      <c r="A20" s="365">
        <v>16</v>
      </c>
      <c r="B20" s="365" t="s">
        <v>28</v>
      </c>
      <c r="C20" s="189">
        <v>20</v>
      </c>
      <c r="D20" s="5"/>
      <c r="E20" s="205">
        <v>277</v>
      </c>
      <c r="F20" s="203">
        <v>44</v>
      </c>
      <c r="G20" s="186"/>
      <c r="H20" s="205">
        <v>1205</v>
      </c>
      <c r="I20" s="206"/>
      <c r="J20" s="184"/>
      <c r="K20" s="204"/>
      <c r="L20" s="203">
        <v>91</v>
      </c>
      <c r="M20" s="5"/>
      <c r="N20" s="208">
        <v>9010</v>
      </c>
      <c r="O20" s="209">
        <v>135</v>
      </c>
      <c r="P20" s="211">
        <v>665</v>
      </c>
      <c r="Q20" s="286">
        <f t="shared" si="0"/>
        <v>800</v>
      </c>
      <c r="R20" s="212" t="s">
        <v>237</v>
      </c>
      <c r="S20" s="187"/>
      <c r="T20" s="187"/>
    </row>
    <row r="21" spans="1:20" ht="16.5" thickBot="1" x14ac:dyDescent="0.3">
      <c r="A21" s="365">
        <v>17</v>
      </c>
      <c r="B21" s="365" t="s">
        <v>29</v>
      </c>
      <c r="C21" s="188"/>
      <c r="D21" s="184"/>
      <c r="E21" s="204"/>
      <c r="F21" s="203">
        <v>34</v>
      </c>
      <c r="G21" s="186"/>
      <c r="H21" s="205">
        <v>3277</v>
      </c>
      <c r="I21" s="206"/>
      <c r="J21" s="184"/>
      <c r="K21" s="204"/>
      <c r="L21" s="203">
        <v>104</v>
      </c>
      <c r="M21" s="5"/>
      <c r="N21" s="208">
        <v>3709</v>
      </c>
      <c r="O21" s="209">
        <v>490</v>
      </c>
      <c r="P21" s="211"/>
      <c r="Q21" s="286">
        <f t="shared" si="0"/>
        <v>490</v>
      </c>
      <c r="R21" s="212" t="s">
        <v>231</v>
      </c>
      <c r="S21" s="187"/>
      <c r="T21" s="187"/>
    </row>
    <row r="22" spans="1:20" ht="16.5" thickBot="1" x14ac:dyDescent="0.3">
      <c r="A22" s="365">
        <v>18</v>
      </c>
      <c r="B22" s="365" t="s">
        <v>30</v>
      </c>
      <c r="C22" s="188"/>
      <c r="D22" s="184"/>
      <c r="E22" s="204"/>
      <c r="F22" s="203">
        <v>79</v>
      </c>
      <c r="G22" s="186"/>
      <c r="H22" s="205">
        <v>15866</v>
      </c>
      <c r="I22" s="203">
        <v>23</v>
      </c>
      <c r="J22" s="5"/>
      <c r="K22" s="205">
        <v>2138</v>
      </c>
      <c r="L22" s="203">
        <v>144</v>
      </c>
      <c r="M22" s="5">
        <v>17</v>
      </c>
      <c r="N22" s="208">
        <v>56235</v>
      </c>
      <c r="O22" s="209">
        <v>1700</v>
      </c>
      <c r="P22" s="211">
        <v>1340</v>
      </c>
      <c r="Q22" s="286">
        <f t="shared" si="0"/>
        <v>3040</v>
      </c>
      <c r="R22" s="212" t="s">
        <v>228</v>
      </c>
      <c r="S22" s="187"/>
      <c r="T22" s="187"/>
    </row>
    <row r="23" spans="1:20" ht="16.5" thickBot="1" x14ac:dyDescent="0.3">
      <c r="A23" s="365">
        <v>19</v>
      </c>
      <c r="B23" s="365" t="s">
        <v>31</v>
      </c>
      <c r="C23" s="188"/>
      <c r="D23" s="184"/>
      <c r="E23" s="204"/>
      <c r="F23" s="203">
        <v>50</v>
      </c>
      <c r="G23" s="186">
        <v>34</v>
      </c>
      <c r="H23" s="205">
        <v>15122</v>
      </c>
      <c r="I23" s="203">
        <v>18</v>
      </c>
      <c r="J23" s="5"/>
      <c r="K23" s="205">
        <v>3222</v>
      </c>
      <c r="L23" s="203">
        <v>120</v>
      </c>
      <c r="M23" s="5">
        <v>51</v>
      </c>
      <c r="N23" s="208">
        <v>49245</v>
      </c>
      <c r="O23" s="209">
        <v>1505</v>
      </c>
      <c r="P23" s="211">
        <v>3635</v>
      </c>
      <c r="Q23" s="286">
        <f t="shared" si="0"/>
        <v>5140</v>
      </c>
      <c r="R23" s="212" t="s">
        <v>226</v>
      </c>
      <c r="S23" s="187"/>
      <c r="T23" s="187"/>
    </row>
    <row r="24" spans="1:20" ht="16.5" thickBot="1" x14ac:dyDescent="0.3">
      <c r="A24" s="365">
        <v>20</v>
      </c>
      <c r="B24" s="365" t="s">
        <v>32</v>
      </c>
      <c r="C24" s="188"/>
      <c r="D24" s="184"/>
      <c r="E24" s="204"/>
      <c r="F24" s="203">
        <v>52</v>
      </c>
      <c r="G24" s="186">
        <v>34</v>
      </c>
      <c r="H24" s="205">
        <v>11425</v>
      </c>
      <c r="I24" s="203">
        <v>24</v>
      </c>
      <c r="J24" s="5"/>
      <c r="K24" s="205">
        <v>2548</v>
      </c>
      <c r="L24" s="203">
        <v>162</v>
      </c>
      <c r="M24" s="5">
        <v>17</v>
      </c>
      <c r="N24" s="208">
        <v>22259</v>
      </c>
      <c r="O24" s="209">
        <v>1050</v>
      </c>
      <c r="P24" s="211">
        <v>1470</v>
      </c>
      <c r="Q24" s="286">
        <f t="shared" si="0"/>
        <v>2520</v>
      </c>
      <c r="R24" s="212" t="s">
        <v>229</v>
      </c>
      <c r="S24" s="187"/>
      <c r="T24" s="187"/>
    </row>
    <row r="25" spans="1:20" ht="16.5" thickBot="1" x14ac:dyDescent="0.3">
      <c r="A25" s="365">
        <v>21</v>
      </c>
      <c r="B25" s="365" t="s">
        <v>33</v>
      </c>
      <c r="C25" s="188"/>
      <c r="D25" s="184"/>
      <c r="E25" s="204"/>
      <c r="F25" s="203">
        <v>58</v>
      </c>
      <c r="G25" s="186">
        <v>34</v>
      </c>
      <c r="H25" s="205">
        <v>8599</v>
      </c>
      <c r="I25" s="203">
        <v>25</v>
      </c>
      <c r="J25" s="5"/>
      <c r="K25" s="205">
        <v>1078</v>
      </c>
      <c r="L25" s="203">
        <v>160</v>
      </c>
      <c r="M25" s="5">
        <v>17</v>
      </c>
      <c r="N25" s="208">
        <v>24386</v>
      </c>
      <c r="O25" s="209">
        <v>970</v>
      </c>
      <c r="P25" s="211">
        <v>1820</v>
      </c>
      <c r="Q25" s="286">
        <f t="shared" si="0"/>
        <v>2790</v>
      </c>
      <c r="R25" s="212" t="s">
        <v>235</v>
      </c>
    </row>
    <row r="26" spans="1:20" ht="16.5" thickBot="1" x14ac:dyDescent="0.3">
      <c r="A26" s="365">
        <v>22</v>
      </c>
      <c r="B26" s="365" t="s">
        <v>112</v>
      </c>
      <c r="C26" s="189">
        <v>79</v>
      </c>
      <c r="D26" s="186"/>
      <c r="E26" s="205">
        <v>3681</v>
      </c>
      <c r="F26" s="203">
        <v>33</v>
      </c>
      <c r="G26" s="186"/>
      <c r="H26" s="205">
        <v>9266</v>
      </c>
      <c r="I26" s="203">
        <v>37</v>
      </c>
      <c r="J26" s="5"/>
      <c r="K26" s="205">
        <v>1058</v>
      </c>
      <c r="L26" s="203">
        <v>160</v>
      </c>
      <c r="M26" s="5"/>
      <c r="N26" s="208">
        <v>15203</v>
      </c>
      <c r="O26" s="209">
        <v>1250</v>
      </c>
      <c r="P26" s="211"/>
      <c r="Q26" s="286">
        <f t="shared" si="0"/>
        <v>1250</v>
      </c>
      <c r="R26" s="212" t="s">
        <v>238</v>
      </c>
    </row>
    <row r="27" spans="1:20" ht="16.5" thickBot="1" x14ac:dyDescent="0.3">
      <c r="A27" s="365">
        <v>23</v>
      </c>
      <c r="B27" s="365" t="s">
        <v>121</v>
      </c>
      <c r="C27" s="188"/>
      <c r="D27" s="184"/>
      <c r="E27" s="204"/>
      <c r="F27" s="203">
        <v>108</v>
      </c>
      <c r="G27" s="186">
        <v>17</v>
      </c>
      <c r="H27" s="205">
        <v>7941</v>
      </c>
      <c r="I27" s="203">
        <v>38</v>
      </c>
      <c r="J27" s="5"/>
      <c r="K27" s="205">
        <v>1749</v>
      </c>
      <c r="L27" s="206"/>
      <c r="M27" s="184"/>
      <c r="N27" s="207"/>
      <c r="O27" s="209">
        <v>670</v>
      </c>
      <c r="P27" s="210"/>
      <c r="Q27" s="286">
        <f t="shared" si="0"/>
        <v>670</v>
      </c>
      <c r="R27" s="212" t="s">
        <v>225</v>
      </c>
    </row>
    <row r="28" spans="1:20" ht="16.5" thickBot="1" x14ac:dyDescent="0.3">
      <c r="A28" s="365">
        <v>24</v>
      </c>
      <c r="B28" s="365" t="s">
        <v>168</v>
      </c>
      <c r="C28" s="188"/>
      <c r="D28" s="184"/>
      <c r="E28" s="204"/>
      <c r="F28" s="203">
        <v>170</v>
      </c>
      <c r="G28" s="186">
        <v>34</v>
      </c>
      <c r="H28" s="205">
        <v>28760</v>
      </c>
      <c r="I28" s="203">
        <v>79</v>
      </c>
      <c r="J28" s="5">
        <v>17</v>
      </c>
      <c r="K28" s="205">
        <v>10425</v>
      </c>
      <c r="L28" s="206"/>
      <c r="M28" s="184"/>
      <c r="N28" s="207"/>
      <c r="O28" s="209">
        <v>1440</v>
      </c>
      <c r="P28" s="210"/>
      <c r="Q28" s="286">
        <f t="shared" si="0"/>
        <v>1440</v>
      </c>
      <c r="R28" s="212" t="s">
        <v>224</v>
      </c>
    </row>
    <row r="29" spans="1:20" ht="16.5" thickBot="1" x14ac:dyDescent="0.3">
      <c r="A29" s="365">
        <v>25</v>
      </c>
      <c r="B29" s="365" t="s">
        <v>169</v>
      </c>
      <c r="C29" s="188"/>
      <c r="D29" s="184"/>
      <c r="E29" s="204"/>
      <c r="F29" s="203">
        <v>119</v>
      </c>
      <c r="G29" s="186">
        <v>51</v>
      </c>
      <c r="H29" s="205">
        <v>31365</v>
      </c>
      <c r="I29" s="203">
        <v>73</v>
      </c>
      <c r="J29" s="5"/>
      <c r="K29" s="205">
        <v>10961</v>
      </c>
      <c r="L29" s="206"/>
      <c r="M29" s="184"/>
      <c r="N29" s="207"/>
      <c r="O29" s="209">
        <v>3540</v>
      </c>
      <c r="P29" s="210"/>
      <c r="Q29" s="286">
        <f t="shared" si="0"/>
        <v>3540</v>
      </c>
      <c r="R29" s="212" t="s">
        <v>242</v>
      </c>
    </row>
    <row r="30" spans="1:20" ht="16.5" thickBot="1" x14ac:dyDescent="0.3">
      <c r="A30" s="365">
        <v>26</v>
      </c>
      <c r="B30" s="308" t="s">
        <v>170</v>
      </c>
      <c r="C30" s="188"/>
      <c r="D30" s="184"/>
      <c r="E30" s="204"/>
      <c r="F30" s="203">
        <v>150</v>
      </c>
      <c r="G30" s="186">
        <v>51</v>
      </c>
      <c r="H30" s="205">
        <v>32098</v>
      </c>
      <c r="I30" s="203">
        <v>79</v>
      </c>
      <c r="J30" s="5"/>
      <c r="K30" s="205">
        <v>8550</v>
      </c>
      <c r="L30" s="206"/>
      <c r="M30" s="184"/>
      <c r="N30" s="207"/>
      <c r="O30" s="209"/>
      <c r="P30" s="210"/>
      <c r="Q30" s="286">
        <f t="shared" si="0"/>
        <v>0</v>
      </c>
      <c r="R30" s="212" t="s">
        <v>222</v>
      </c>
    </row>
    <row r="31" spans="1:20" ht="16.5" thickBot="1" x14ac:dyDescent="0.3">
      <c r="A31" s="365">
        <v>27</v>
      </c>
      <c r="B31" s="308" t="s">
        <v>171</v>
      </c>
      <c r="C31" s="188"/>
      <c r="D31" s="184"/>
      <c r="E31" s="204"/>
      <c r="F31" s="203">
        <v>144</v>
      </c>
      <c r="G31" s="186">
        <v>51</v>
      </c>
      <c r="H31" s="205">
        <v>57598</v>
      </c>
      <c r="I31" s="203">
        <v>71</v>
      </c>
      <c r="J31" s="5"/>
      <c r="K31" s="205">
        <v>11812</v>
      </c>
      <c r="L31" s="206"/>
      <c r="M31" s="184"/>
      <c r="N31" s="207"/>
      <c r="O31" s="209">
        <v>5680</v>
      </c>
      <c r="P31" s="210"/>
      <c r="Q31" s="286">
        <f t="shared" si="0"/>
        <v>5680</v>
      </c>
      <c r="R31" s="212" t="s">
        <v>234</v>
      </c>
    </row>
    <row r="32" spans="1:20" ht="16.5" thickBot="1" x14ac:dyDescent="0.3">
      <c r="A32" s="365">
        <v>28</v>
      </c>
      <c r="B32" s="321" t="s">
        <v>196</v>
      </c>
      <c r="C32" s="188"/>
      <c r="D32" s="184"/>
      <c r="E32" s="204"/>
      <c r="F32" s="203"/>
      <c r="G32" s="186"/>
      <c r="H32" s="205"/>
      <c r="I32" s="203"/>
      <c r="J32" s="5"/>
      <c r="K32" s="205"/>
      <c r="L32" s="206"/>
      <c r="M32" s="184"/>
      <c r="N32" s="207"/>
      <c r="O32" s="209"/>
      <c r="P32" s="210"/>
      <c r="Q32" s="286">
        <f t="shared" si="0"/>
        <v>0</v>
      </c>
      <c r="R32" s="212"/>
    </row>
    <row r="33" spans="1:18" ht="16.5" thickBot="1" x14ac:dyDescent="0.3">
      <c r="A33" s="365">
        <v>29</v>
      </c>
      <c r="B33" s="365" t="s">
        <v>197</v>
      </c>
      <c r="C33" s="188"/>
      <c r="D33" s="184"/>
      <c r="E33" s="204"/>
      <c r="F33" s="203"/>
      <c r="G33" s="186"/>
      <c r="H33" s="205"/>
      <c r="I33" s="203"/>
      <c r="J33" s="5"/>
      <c r="K33" s="205"/>
      <c r="L33" s="206"/>
      <c r="M33" s="184"/>
      <c r="N33" s="207"/>
      <c r="O33" s="209"/>
      <c r="P33" s="210"/>
      <c r="Q33" s="286">
        <f t="shared" si="0"/>
        <v>0</v>
      </c>
      <c r="R33" s="212"/>
    </row>
    <row r="34" spans="1:18" ht="16.5" thickBot="1" x14ac:dyDescent="0.3">
      <c r="A34" s="365">
        <v>30</v>
      </c>
      <c r="B34" s="308" t="s">
        <v>198</v>
      </c>
      <c r="C34" s="188"/>
      <c r="D34" s="184"/>
      <c r="E34" s="204"/>
      <c r="F34" s="203"/>
      <c r="G34" s="186"/>
      <c r="H34" s="205"/>
      <c r="I34" s="203"/>
      <c r="J34" s="5"/>
      <c r="K34" s="205"/>
      <c r="L34" s="206"/>
      <c r="M34" s="184"/>
      <c r="N34" s="207"/>
      <c r="O34" s="209"/>
      <c r="P34" s="210"/>
      <c r="Q34" s="286">
        <f t="shared" si="0"/>
        <v>0</v>
      </c>
      <c r="R34" s="212"/>
    </row>
    <row r="35" spans="1:18" ht="16.5" thickBot="1" x14ac:dyDescent="0.3">
      <c r="A35" s="365">
        <v>31</v>
      </c>
      <c r="B35" s="308" t="s">
        <v>199</v>
      </c>
      <c r="C35" s="188"/>
      <c r="D35" s="184"/>
      <c r="E35" s="204"/>
      <c r="F35" s="203"/>
      <c r="G35" s="186"/>
      <c r="H35" s="205"/>
      <c r="I35" s="203"/>
      <c r="J35" s="5"/>
      <c r="K35" s="205"/>
      <c r="L35" s="203"/>
      <c r="M35" s="5"/>
      <c r="N35" s="5"/>
      <c r="O35" s="209"/>
      <c r="P35" s="209"/>
      <c r="Q35" s="286">
        <f t="shared" si="0"/>
        <v>0</v>
      </c>
      <c r="R35" s="212"/>
    </row>
    <row r="39" spans="1:18" ht="15" x14ac:dyDescent="0.2">
      <c r="D39" s="185">
        <f>SUM(D5:D31)</f>
        <v>51</v>
      </c>
      <c r="G39" s="185">
        <f>SUM(G5:G31)</f>
        <v>629</v>
      </c>
      <c r="J39" s="185">
        <f>SUM(J5:J31)</f>
        <v>68</v>
      </c>
      <c r="M39" s="185">
        <f>SUM(M5:M31)</f>
        <v>272</v>
      </c>
    </row>
  </sheetData>
  <sheetProtection selectLockedCells="1"/>
  <customSheetViews>
    <customSheetView guid="{18C0F7AC-4BB1-46DE-8A01-8E31FE0585FC}" scale="85" fitToPage="1">
      <selection activeCell="A17" sqref="A17:XFD17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37" customWidth="1"/>
    <col min="2" max="2" width="5.125" style="337" customWidth="1"/>
    <col min="3" max="3" width="39.125" style="337" customWidth="1"/>
    <col min="4" max="5" width="12.375" style="337" customWidth="1"/>
    <col min="6" max="6" width="11.5" style="337" customWidth="1"/>
    <col min="7" max="7" width="11.625" style="337" customWidth="1"/>
    <col min="8" max="8" width="20.375" style="337" customWidth="1"/>
    <col min="9" max="9" width="9.5" style="337" customWidth="1"/>
    <col min="10" max="10" width="14.625" style="337" customWidth="1"/>
    <col min="11" max="12" width="13.375" style="337" customWidth="1"/>
    <col min="13" max="16384" width="9" style="337"/>
  </cols>
  <sheetData>
    <row r="7" spans="2:10" s="335" customFormat="1" ht="24.95" customHeight="1" thickBot="1" x14ac:dyDescent="0.3">
      <c r="B7" s="454" t="s">
        <v>192</v>
      </c>
      <c r="C7" s="454"/>
      <c r="D7" s="454"/>
      <c r="E7" s="454"/>
      <c r="F7" s="454"/>
      <c r="G7" s="454"/>
      <c r="H7" s="454"/>
      <c r="I7" s="334"/>
      <c r="J7" s="334"/>
    </row>
    <row r="8" spans="2:10" ht="17.25" thickTop="1" thickBot="1" x14ac:dyDescent="0.25">
      <c r="B8" s="455" t="s">
        <v>14</v>
      </c>
      <c r="C8" s="448" t="s">
        <v>179</v>
      </c>
      <c r="D8" s="457" t="s">
        <v>180</v>
      </c>
      <c r="E8" s="458"/>
      <c r="F8" s="459"/>
      <c r="G8" s="448" t="s">
        <v>181</v>
      </c>
      <c r="H8" s="450" t="s">
        <v>182</v>
      </c>
      <c r="I8" s="336"/>
      <c r="J8" s="336"/>
    </row>
    <row r="9" spans="2:10" ht="16.5" thickBot="1" x14ac:dyDescent="0.25">
      <c r="B9" s="456"/>
      <c r="C9" s="449"/>
      <c r="D9" s="329">
        <v>80</v>
      </c>
      <c r="E9" s="329">
        <v>92</v>
      </c>
      <c r="F9" s="329">
        <v>95</v>
      </c>
      <c r="G9" s="449"/>
      <c r="H9" s="451"/>
    </row>
    <row r="10" spans="2:10" ht="54.95" customHeight="1" thickBot="1" x14ac:dyDescent="0.25">
      <c r="B10" s="330">
        <v>1</v>
      </c>
      <c r="C10" s="331" t="s">
        <v>183</v>
      </c>
      <c r="D10" s="331"/>
      <c r="E10" s="339">
        <f>'أخذ التمام الصباحي'!$H$28</f>
        <v>28760</v>
      </c>
      <c r="F10" s="339">
        <f>'أخذ التمام الصباحي'!$K$28</f>
        <v>10425</v>
      </c>
      <c r="G10" s="331"/>
      <c r="H10" s="332">
        <f>SUM(D10:G10)</f>
        <v>39185</v>
      </c>
    </row>
    <row r="11" spans="2:10" ht="54.95" customHeight="1" thickBot="1" x14ac:dyDescent="0.25">
      <c r="B11" s="330">
        <v>2</v>
      </c>
      <c r="C11" s="331" t="s">
        <v>184</v>
      </c>
      <c r="D11" s="331"/>
      <c r="E11" s="339">
        <f>'أخذ التمام الصباحي'!$H$29</f>
        <v>31365</v>
      </c>
      <c r="F11" s="339">
        <f>'أخذ التمام الصباحي'!$K$29</f>
        <v>10961</v>
      </c>
      <c r="G11" s="331"/>
      <c r="H11" s="332">
        <f t="shared" ref="H11" si="0">SUM(D11:G11)</f>
        <v>42326</v>
      </c>
    </row>
    <row r="12" spans="2:10" ht="54.95" customHeight="1" thickBot="1" x14ac:dyDescent="0.25">
      <c r="B12" s="330">
        <v>3</v>
      </c>
      <c r="C12" s="333" t="s">
        <v>185</v>
      </c>
      <c r="D12" s="331"/>
      <c r="E12" s="339">
        <f>'أخذ التمام الصباحي'!$H$30</f>
        <v>32098</v>
      </c>
      <c r="F12" s="339">
        <f>'أخذ التمام الصباحي'!$K$30</f>
        <v>8550</v>
      </c>
      <c r="G12" s="331"/>
      <c r="H12" s="332">
        <f>SUM(D12:G12)</f>
        <v>40648</v>
      </c>
    </row>
    <row r="13" spans="2:10" ht="54.95" customHeight="1" thickBot="1" x14ac:dyDescent="0.25">
      <c r="B13" s="330">
        <v>4</v>
      </c>
      <c r="C13" s="333" t="s">
        <v>186</v>
      </c>
      <c r="D13" s="331"/>
      <c r="E13" s="339">
        <f>'أخذ التمام الصباحي'!$H$31</f>
        <v>57598</v>
      </c>
      <c r="F13" s="339">
        <f>'أخذ التمام الصباحي'!$K$31</f>
        <v>11812</v>
      </c>
      <c r="G13" s="331"/>
      <c r="H13" s="332">
        <f>SUM(D13:G13)</f>
        <v>69410</v>
      </c>
    </row>
    <row r="14" spans="2:10" ht="54.95" customHeight="1" thickBot="1" x14ac:dyDescent="0.25">
      <c r="B14" s="330">
        <v>5</v>
      </c>
      <c r="C14" s="331" t="s">
        <v>187</v>
      </c>
      <c r="D14" s="331"/>
      <c r="E14" s="339">
        <f>'أخذ التمام الصباحي'!$H$6</f>
        <v>29824</v>
      </c>
      <c r="F14" s="339">
        <f>'أخذ التمام الصباحي'!$K$6</f>
        <v>8526</v>
      </c>
      <c r="G14" s="331"/>
      <c r="H14" s="332">
        <f>SUM(D14:G14)</f>
        <v>38350</v>
      </c>
    </row>
    <row r="15" spans="2:10" ht="54.95" customHeight="1" thickBot="1" x14ac:dyDescent="0.25">
      <c r="B15" s="330">
        <v>6</v>
      </c>
      <c r="C15" s="331" t="s">
        <v>188</v>
      </c>
      <c r="D15" s="339">
        <f>'أخذ التمام الصباحي'!$E$7</f>
        <v>37982</v>
      </c>
      <c r="E15" s="339">
        <f>'أخذ التمام الصباحي'!$H$7</f>
        <v>21346</v>
      </c>
      <c r="F15" s="339">
        <f>'أخذ التمام الصباحي'!$K$7</f>
        <v>3208</v>
      </c>
      <c r="G15" s="331"/>
      <c r="H15" s="332">
        <f t="shared" ref="H15:H17" si="1">SUM(D15:G15)</f>
        <v>62536</v>
      </c>
    </row>
    <row r="16" spans="2:10" ht="54.95" customHeight="1" thickBot="1" x14ac:dyDescent="0.25">
      <c r="B16" s="330">
        <v>7</v>
      </c>
      <c r="C16" s="331" t="s">
        <v>189</v>
      </c>
      <c r="D16" s="339">
        <f>'أخذ التمام الصباحي'!$E$26</f>
        <v>3681</v>
      </c>
      <c r="E16" s="339">
        <f>'أخذ التمام الصباحي'!$H$26</f>
        <v>9266</v>
      </c>
      <c r="F16" s="339">
        <f>'أخذ التمام الصباحي'!$K$26</f>
        <v>1058</v>
      </c>
      <c r="G16" s="339">
        <f>'أخذ التمام الصباحي'!$N$26</f>
        <v>15203</v>
      </c>
      <c r="H16" s="332">
        <f t="shared" si="1"/>
        <v>29208</v>
      </c>
    </row>
    <row r="17" spans="2:8" ht="54.95" customHeight="1" thickBot="1" x14ac:dyDescent="0.25">
      <c r="B17" s="330">
        <v>8</v>
      </c>
      <c r="C17" s="331" t="s">
        <v>190</v>
      </c>
      <c r="D17" s="331"/>
      <c r="E17" s="339">
        <f>'أخذ التمام الصباحي'!$H$27</f>
        <v>7941</v>
      </c>
      <c r="F17" s="339">
        <f>'أخذ التمام الصباحي'!$K$27</f>
        <v>1749</v>
      </c>
      <c r="G17" s="331"/>
      <c r="H17" s="332">
        <f t="shared" si="1"/>
        <v>9690</v>
      </c>
    </row>
    <row r="18" spans="2:8" ht="54.95" customHeight="1" thickTop="1" thickBot="1" x14ac:dyDescent="0.25">
      <c r="B18" s="452" t="s">
        <v>191</v>
      </c>
      <c r="C18" s="453"/>
      <c r="D18" s="340">
        <f t="shared" ref="D18:G18" si="2">SUM(D10:D17)</f>
        <v>41663</v>
      </c>
      <c r="E18" s="340">
        <f t="shared" si="2"/>
        <v>218198</v>
      </c>
      <c r="F18" s="340">
        <f t="shared" si="2"/>
        <v>56289</v>
      </c>
      <c r="G18" s="340">
        <f t="shared" si="2"/>
        <v>15203</v>
      </c>
      <c r="H18" s="340">
        <f>SUM(H10:H17)</f>
        <v>331353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7" t="s">
        <v>244</v>
      </c>
      <c r="C6" s="467"/>
      <c r="D6" s="467"/>
      <c r="E6" s="467"/>
      <c r="F6" s="467"/>
      <c r="G6" s="467"/>
      <c r="H6" s="467"/>
      <c r="I6" s="467"/>
      <c r="J6" s="467"/>
      <c r="K6" s="467"/>
    </row>
    <row r="7" spans="2:12" ht="15.75" x14ac:dyDescent="0.25">
      <c r="B7" s="467"/>
      <c r="C7" s="467"/>
      <c r="D7" s="467"/>
      <c r="E7" s="467"/>
      <c r="F7" s="467"/>
      <c r="G7" s="467"/>
      <c r="H7" s="467"/>
      <c r="I7" s="467"/>
      <c r="J7" s="467"/>
      <c r="K7" s="467"/>
      <c r="L7" s="353"/>
    </row>
    <row r="8" spans="2:12" ht="15.75" hidden="1" x14ac:dyDescent="0.25">
      <c r="B8" s="354"/>
      <c r="C8" s="354"/>
      <c r="D8" s="354"/>
      <c r="E8" s="354"/>
      <c r="F8" s="354"/>
      <c r="G8" s="354"/>
      <c r="H8" s="354"/>
      <c r="I8" s="354"/>
      <c r="J8" s="354"/>
      <c r="K8" s="354"/>
      <c r="L8" s="353"/>
    </row>
    <row r="9" spans="2:12" hidden="1" x14ac:dyDescent="0.2"/>
    <row r="10" spans="2:12" ht="16.5" thickBot="1" x14ac:dyDescent="0.3">
      <c r="B10" s="355"/>
      <c r="C10" s="354"/>
      <c r="D10" s="354"/>
      <c r="E10" s="355"/>
      <c r="F10" s="355"/>
      <c r="G10" s="355"/>
      <c r="H10" s="355"/>
      <c r="I10" s="355"/>
    </row>
    <row r="11" spans="2:12" ht="15.75" thickBot="1" x14ac:dyDescent="0.25">
      <c r="B11" s="468" t="s">
        <v>14</v>
      </c>
      <c r="C11" s="470" t="s">
        <v>3</v>
      </c>
      <c r="D11" s="470" t="s">
        <v>201</v>
      </c>
      <c r="E11" s="472" t="s">
        <v>202</v>
      </c>
      <c r="F11" s="473"/>
      <c r="G11" s="473"/>
      <c r="H11" s="474" t="s">
        <v>50</v>
      </c>
      <c r="I11" s="476" t="s">
        <v>182</v>
      </c>
      <c r="J11" s="472" t="s">
        <v>205</v>
      </c>
      <c r="K11" s="478"/>
    </row>
    <row r="12" spans="2:12" ht="15.75" customHeight="1" thickBot="1" x14ac:dyDescent="0.25">
      <c r="B12" s="469"/>
      <c r="C12" s="471"/>
      <c r="D12" s="471"/>
      <c r="E12" s="356">
        <v>80</v>
      </c>
      <c r="F12" s="356">
        <v>92</v>
      </c>
      <c r="G12" s="357">
        <v>95</v>
      </c>
      <c r="H12" s="475"/>
      <c r="I12" s="477"/>
      <c r="J12" s="356" t="s">
        <v>203</v>
      </c>
      <c r="K12" s="356" t="s">
        <v>201</v>
      </c>
    </row>
    <row r="13" spans="2:12" ht="30" customHeight="1" thickBot="1" x14ac:dyDescent="0.25">
      <c r="B13" s="358">
        <v>1</v>
      </c>
      <c r="C13" s="331" t="s">
        <v>163</v>
      </c>
      <c r="D13" s="479" t="s">
        <v>206</v>
      </c>
      <c r="E13" s="359" t="s">
        <v>207</v>
      </c>
      <c r="F13" s="359">
        <f>'تمام محطات الوكلاء'!E14</f>
        <v>29824</v>
      </c>
      <c r="G13" s="359">
        <f>'تمام محطات الوكلاء'!F14</f>
        <v>8526</v>
      </c>
      <c r="H13" s="359" t="s">
        <v>207</v>
      </c>
      <c r="I13" s="368">
        <f>SUM(E13:H13)</f>
        <v>38350</v>
      </c>
      <c r="J13" s="360">
        <f>F13*0.2525+G13*0.355</f>
        <v>10557.29</v>
      </c>
      <c r="K13" s="360">
        <f>F13*0.1075+G13*0.145</f>
        <v>4442.3500000000004</v>
      </c>
    </row>
    <row r="14" spans="2:12" ht="30" customHeight="1" thickBot="1" x14ac:dyDescent="0.25">
      <c r="B14" s="358">
        <v>2</v>
      </c>
      <c r="C14" s="331" t="s">
        <v>112</v>
      </c>
      <c r="D14" s="480"/>
      <c r="E14" s="361">
        <f>'تمام محطات الوكلاء'!D16</f>
        <v>3681</v>
      </c>
      <c r="F14" s="359">
        <f>'تمام محطات الوكلاء'!E16</f>
        <v>9266</v>
      </c>
      <c r="G14" s="359">
        <f>'تمام محطات الوكلاء'!F16</f>
        <v>1058</v>
      </c>
      <c r="H14" s="359">
        <f>'تمام محطات الوكلاء'!G16</f>
        <v>15203</v>
      </c>
      <c r="I14" s="368">
        <f t="shared" ref="I14:I22" si="0">SUM(E14:H14)</f>
        <v>29208</v>
      </c>
      <c r="J14" s="360">
        <f>E14*0.2105+F14*0.2525+H14*0.195+G14*0.355</f>
        <v>6454.6905000000006</v>
      </c>
      <c r="K14" s="360">
        <f>E14*0.0695+F14*0.1075+G14*0.145+H14*0.085</f>
        <v>2697.5895</v>
      </c>
    </row>
    <row r="15" spans="2:12" ht="30" customHeight="1" thickBot="1" x14ac:dyDescent="0.25">
      <c r="B15" s="358">
        <v>3</v>
      </c>
      <c r="C15" s="331" t="s">
        <v>158</v>
      </c>
      <c r="D15" s="481"/>
      <c r="E15" s="361">
        <f>'تمام محطات الوكلاء'!D15</f>
        <v>37982</v>
      </c>
      <c r="F15" s="361">
        <f>'تمام محطات الوكلاء'!E15</f>
        <v>21346</v>
      </c>
      <c r="G15" s="361">
        <f>'تمام محطات الوكلاء'!F15</f>
        <v>3208</v>
      </c>
      <c r="H15" s="359" t="s">
        <v>207</v>
      </c>
      <c r="I15" s="368">
        <f t="shared" si="0"/>
        <v>62536</v>
      </c>
      <c r="J15" s="360">
        <f>E15*0.2105+F15*0.2525+G15*0.355</f>
        <v>14523.915999999999</v>
      </c>
      <c r="K15" s="360">
        <f>E15*0.0695+F15*0.1075+G15*0.145</f>
        <v>5399.6040000000003</v>
      </c>
    </row>
    <row r="16" spans="2:12" ht="30" customHeight="1" thickBot="1" x14ac:dyDescent="0.25">
      <c r="B16" s="482" t="s">
        <v>208</v>
      </c>
      <c r="C16" s="483"/>
      <c r="D16" s="484"/>
      <c r="E16" s="369">
        <f>SUM(E13:E15)</f>
        <v>41663</v>
      </c>
      <c r="F16" s="369">
        <f t="shared" ref="F16:K16" si="1">SUM(F13:F15)</f>
        <v>60436</v>
      </c>
      <c r="G16" s="369">
        <f t="shared" si="1"/>
        <v>12792</v>
      </c>
      <c r="H16" s="369">
        <f t="shared" si="1"/>
        <v>15203</v>
      </c>
      <c r="I16" s="370">
        <f t="shared" si="1"/>
        <v>130094</v>
      </c>
      <c r="J16" s="369">
        <f t="shared" si="1"/>
        <v>31535.896500000003</v>
      </c>
      <c r="K16" s="371">
        <f t="shared" si="1"/>
        <v>12539.5435</v>
      </c>
    </row>
    <row r="17" spans="2:11" ht="30" customHeight="1" thickBot="1" x14ac:dyDescent="0.25">
      <c r="B17" s="358">
        <v>4</v>
      </c>
      <c r="C17" s="331" t="s">
        <v>121</v>
      </c>
      <c r="D17" s="485" t="s">
        <v>209</v>
      </c>
      <c r="E17" s="359" t="s">
        <v>207</v>
      </c>
      <c r="F17" s="359">
        <f>'تمام محطات الوكلاء'!E17</f>
        <v>7941</v>
      </c>
      <c r="G17" s="359">
        <f>'تمام محطات الوكلاء'!F17</f>
        <v>1749</v>
      </c>
      <c r="H17" s="359" t="s">
        <v>207</v>
      </c>
      <c r="I17" s="368">
        <f t="shared" si="0"/>
        <v>9690</v>
      </c>
      <c r="J17" s="360">
        <f>F17*0.2525+G17*0.355</f>
        <v>2625.9974999999999</v>
      </c>
      <c r="K17" s="360">
        <f>F17*0.1075+G17*0.145</f>
        <v>1107.2625</v>
      </c>
    </row>
    <row r="18" spans="2:11" ht="30" customHeight="1" thickBot="1" x14ac:dyDescent="0.25">
      <c r="B18" s="358">
        <v>5</v>
      </c>
      <c r="C18" s="333" t="s">
        <v>210</v>
      </c>
      <c r="D18" s="486"/>
      <c r="E18" s="359" t="s">
        <v>207</v>
      </c>
      <c r="F18" s="359">
        <f>'تمام محطات الوكلاء'!E12</f>
        <v>32098</v>
      </c>
      <c r="G18" s="359">
        <f>'تمام محطات الوكلاء'!F12</f>
        <v>8550</v>
      </c>
      <c r="H18" s="359" t="s">
        <v>207</v>
      </c>
      <c r="I18" s="368">
        <f t="shared" si="0"/>
        <v>40648</v>
      </c>
      <c r="J18" s="360">
        <f>F18*0.2525+G18*0.355</f>
        <v>11139.994999999999</v>
      </c>
      <c r="K18" s="360">
        <f>F18*0.1075+G18*0.145</f>
        <v>4690.2849999999999</v>
      </c>
    </row>
    <row r="19" spans="2:11" ht="30" customHeight="1" thickBot="1" x14ac:dyDescent="0.25">
      <c r="B19" s="358">
        <v>6</v>
      </c>
      <c r="C19" s="331" t="s">
        <v>211</v>
      </c>
      <c r="D19" s="487"/>
      <c r="E19" s="359" t="s">
        <v>207</v>
      </c>
      <c r="F19" s="359">
        <f>'تمام محطات الوكلاء'!E10</f>
        <v>28760</v>
      </c>
      <c r="G19" s="359">
        <f>'تمام محطات الوكلاء'!F10</f>
        <v>10425</v>
      </c>
      <c r="H19" s="359" t="s">
        <v>207</v>
      </c>
      <c r="I19" s="368">
        <f t="shared" si="0"/>
        <v>39185</v>
      </c>
      <c r="J19" s="360">
        <f>F19*0.2525+G19*0.355</f>
        <v>10962.775</v>
      </c>
      <c r="K19" s="360">
        <f>F19*0.1075+G19*0.145</f>
        <v>4603.3249999999998</v>
      </c>
    </row>
    <row r="20" spans="2:11" ht="30" customHeight="1" thickBot="1" x14ac:dyDescent="0.25">
      <c r="B20" s="488" t="s">
        <v>212</v>
      </c>
      <c r="C20" s="489"/>
      <c r="D20" s="490"/>
      <c r="E20" s="372"/>
      <c r="F20" s="373">
        <f t="shared" ref="F20:K20" si="2">SUM(F17:F19)</f>
        <v>68799</v>
      </c>
      <c r="G20" s="373">
        <f t="shared" si="2"/>
        <v>20724</v>
      </c>
      <c r="H20" s="373"/>
      <c r="I20" s="374">
        <f t="shared" si="2"/>
        <v>89523</v>
      </c>
      <c r="J20" s="373">
        <f t="shared" si="2"/>
        <v>24728.767499999998</v>
      </c>
      <c r="K20" s="373">
        <f t="shared" si="2"/>
        <v>10400.872499999999</v>
      </c>
    </row>
    <row r="21" spans="2:11" ht="30" customHeight="1" thickBot="1" x14ac:dyDescent="0.25">
      <c r="B21" s="358">
        <v>7</v>
      </c>
      <c r="C21" s="331" t="s">
        <v>213</v>
      </c>
      <c r="D21" s="485" t="s">
        <v>214</v>
      </c>
      <c r="E21" s="359" t="s">
        <v>207</v>
      </c>
      <c r="F21" s="359">
        <f>'تمام محطات الوكلاء'!E13</f>
        <v>57598</v>
      </c>
      <c r="G21" s="359">
        <f>'تمام محطات الوكلاء'!F13</f>
        <v>11812</v>
      </c>
      <c r="H21" s="359" t="s">
        <v>207</v>
      </c>
      <c r="I21" s="368">
        <f t="shared" si="0"/>
        <v>69410</v>
      </c>
      <c r="J21" s="360">
        <f>F21*0.2525+G21*0.355</f>
        <v>18736.755000000001</v>
      </c>
      <c r="K21" s="360">
        <f>F21*0.1075+G21*0.145</f>
        <v>7904.5249999999996</v>
      </c>
    </row>
    <row r="22" spans="2:11" ht="30" customHeight="1" thickBot="1" x14ac:dyDescent="0.25">
      <c r="B22" s="358">
        <v>8</v>
      </c>
      <c r="C22" s="331" t="s">
        <v>215</v>
      </c>
      <c r="D22" s="486"/>
      <c r="E22" s="359" t="s">
        <v>207</v>
      </c>
      <c r="F22" s="359">
        <f>'تمام محطات الوكلاء'!E11</f>
        <v>31365</v>
      </c>
      <c r="G22" s="359">
        <f>'تمام محطات الوكلاء'!F11</f>
        <v>10961</v>
      </c>
      <c r="H22" s="359" t="s">
        <v>207</v>
      </c>
      <c r="I22" s="368">
        <f t="shared" si="0"/>
        <v>42326</v>
      </c>
      <c r="J22" s="360">
        <f>F22*0.2525+G22*0.355</f>
        <v>11810.817500000001</v>
      </c>
      <c r="K22" s="360">
        <f>F22*0.1075+G22*0.145</f>
        <v>4961.0824999999995</v>
      </c>
    </row>
    <row r="23" spans="2:11" ht="30" customHeight="1" thickBot="1" x14ac:dyDescent="0.25">
      <c r="B23" s="464" t="s">
        <v>216</v>
      </c>
      <c r="C23" s="465"/>
      <c r="D23" s="466"/>
      <c r="E23" s="375"/>
      <c r="F23" s="375">
        <f t="shared" ref="F23:K23" si="3">SUM(F21:F22)</f>
        <v>88963</v>
      </c>
      <c r="G23" s="375">
        <f t="shared" si="3"/>
        <v>22773</v>
      </c>
      <c r="H23" s="375"/>
      <c r="I23" s="376">
        <f t="shared" si="3"/>
        <v>111736</v>
      </c>
      <c r="J23" s="375">
        <f t="shared" si="3"/>
        <v>30547.572500000002</v>
      </c>
      <c r="K23" s="377">
        <f t="shared" si="3"/>
        <v>12865.607499999998</v>
      </c>
    </row>
    <row r="24" spans="2:11" x14ac:dyDescent="0.2">
      <c r="B24" s="462" t="s">
        <v>204</v>
      </c>
      <c r="C24" s="462"/>
      <c r="D24" s="462"/>
      <c r="E24" s="460">
        <f>SUM(E16,E20,E23)</f>
        <v>41663</v>
      </c>
      <c r="F24" s="460">
        <f t="shared" ref="F24:K24" si="4">SUM(F16,F20,F23)</f>
        <v>218198</v>
      </c>
      <c r="G24" s="460">
        <f t="shared" si="4"/>
        <v>56289</v>
      </c>
      <c r="H24" s="460">
        <f t="shared" si="4"/>
        <v>15203</v>
      </c>
      <c r="I24" s="460">
        <f t="shared" si="4"/>
        <v>331353</v>
      </c>
      <c r="J24" s="460">
        <f t="shared" si="4"/>
        <v>86812.236499999999</v>
      </c>
      <c r="K24" s="460">
        <f t="shared" si="4"/>
        <v>35806.023499999996</v>
      </c>
    </row>
    <row r="25" spans="2:11" ht="15" customHeight="1" thickBot="1" x14ac:dyDescent="0.25">
      <c r="B25" s="463"/>
      <c r="C25" s="463"/>
      <c r="D25" s="463"/>
      <c r="E25" s="461"/>
      <c r="F25" s="461"/>
      <c r="G25" s="461"/>
      <c r="H25" s="461"/>
      <c r="I25" s="461"/>
      <c r="J25" s="461"/>
      <c r="K25" s="461"/>
    </row>
  </sheetData>
  <customSheetViews>
    <customSheetView guid="{18C0F7AC-4BB1-46DE-8A01-8E31FE0585FC}" hiddenRows="1">
      <selection activeCell="G4" sqref="G4"/>
      <pageMargins left="0.7" right="0.7" top="0.75" bottom="0.75" header="0.3" footer="0.3"/>
      <pageSetup paperSize="9" orientation="portrait" r:id="rId1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4:J25"/>
    <mergeCell ref="K24:K25"/>
    <mergeCell ref="B24:D25"/>
    <mergeCell ref="E24:E25"/>
    <mergeCell ref="F24:F25"/>
    <mergeCell ref="G24:G25"/>
    <mergeCell ref="H24:H25"/>
    <mergeCell ref="I24:I25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38"/>
    <col min="2" max="2" width="13.25" style="38" customWidth="1"/>
    <col min="3" max="5" width="6.875" style="38" bestFit="1" customWidth="1"/>
    <col min="6" max="6" width="6.25" style="38" customWidth="1"/>
    <col min="7" max="10" width="6.875" style="38" bestFit="1" customWidth="1"/>
    <col min="11" max="11" width="6.875" style="38" customWidth="1"/>
    <col min="12" max="12" width="5.25" style="38" customWidth="1"/>
    <col min="13" max="14" width="9" style="38"/>
    <col min="15" max="15" width="8.25" style="38" customWidth="1"/>
    <col min="16" max="16" width="9.375" style="38" customWidth="1"/>
    <col min="17" max="17" width="8.75" style="38" bestFit="1" customWidth="1"/>
    <col min="18" max="18" width="7.875" style="38" customWidth="1"/>
    <col min="19" max="19" width="7.25" style="38" customWidth="1"/>
    <col min="20" max="20" width="6.625" style="38" bestFit="1" customWidth="1"/>
    <col min="21" max="21" width="4.75" style="38" customWidth="1"/>
    <col min="22" max="22" width="8.375" style="38" bestFit="1" customWidth="1"/>
    <col min="23" max="23" width="6.625" style="38" bestFit="1" customWidth="1"/>
    <col min="24" max="26" width="5.375" style="38" customWidth="1"/>
    <col min="27" max="16384" width="9" style="38"/>
  </cols>
  <sheetData>
    <row r="1" spans="1:23" ht="15" thickBot="1" x14ac:dyDescent="0.25"/>
    <row r="2" spans="1:23" ht="15.75" thickBot="1" x14ac:dyDescent="0.25">
      <c r="B2" s="412" t="s">
        <v>3</v>
      </c>
      <c r="C2" s="504" t="s">
        <v>84</v>
      </c>
      <c r="D2" s="504"/>
      <c r="E2" s="504"/>
      <c r="F2" s="504"/>
      <c r="G2" s="504" t="s">
        <v>88</v>
      </c>
      <c r="H2" s="504"/>
      <c r="I2" s="504"/>
      <c r="N2" s="497" t="s">
        <v>3</v>
      </c>
      <c r="O2" s="491" t="s">
        <v>85</v>
      </c>
      <c r="P2" s="492"/>
      <c r="Q2" s="492"/>
      <c r="R2" s="492"/>
      <c r="S2" s="492"/>
      <c r="T2" s="493"/>
    </row>
    <row r="3" spans="1:23" ht="15.75" thickBot="1" x14ac:dyDescent="0.25">
      <c r="B3" s="412"/>
      <c r="C3" s="503" t="s">
        <v>82</v>
      </c>
      <c r="D3" s="503"/>
      <c r="E3" s="503"/>
      <c r="F3" s="180" t="s">
        <v>81</v>
      </c>
      <c r="G3" s="503" t="s">
        <v>81</v>
      </c>
      <c r="H3" s="503"/>
      <c r="I3" s="503"/>
      <c r="N3" s="498"/>
      <c r="O3" s="500" t="s">
        <v>87</v>
      </c>
      <c r="P3" s="501"/>
      <c r="Q3" s="502"/>
      <c r="R3" s="500" t="s">
        <v>164</v>
      </c>
      <c r="S3" s="501"/>
      <c r="T3" s="502"/>
    </row>
    <row r="4" spans="1:23" ht="15.75" thickBot="1" x14ac:dyDescent="0.25">
      <c r="A4" s="505"/>
      <c r="B4" s="412"/>
      <c r="C4" s="155" t="s">
        <v>11</v>
      </c>
      <c r="D4" s="155" t="s">
        <v>12</v>
      </c>
      <c r="E4" s="155" t="s">
        <v>50</v>
      </c>
      <c r="F4" s="155" t="s">
        <v>89</v>
      </c>
      <c r="G4" s="155" t="s">
        <v>5</v>
      </c>
      <c r="H4" s="155" t="s">
        <v>11</v>
      </c>
      <c r="I4" s="155" t="s">
        <v>12</v>
      </c>
      <c r="N4" s="499"/>
      <c r="O4" s="155" t="s">
        <v>11</v>
      </c>
      <c r="P4" s="155" t="s">
        <v>12</v>
      </c>
      <c r="Q4" s="155" t="s">
        <v>50</v>
      </c>
      <c r="R4" s="155" t="s">
        <v>11</v>
      </c>
      <c r="S4" s="155" t="s">
        <v>12</v>
      </c>
      <c r="T4" s="155" t="s">
        <v>50</v>
      </c>
    </row>
    <row r="5" spans="1:23" ht="16.5" thickBot="1" x14ac:dyDescent="0.25">
      <c r="A5" s="505"/>
      <c r="B5" s="178" t="s">
        <v>15</v>
      </c>
      <c r="C5" s="176">
        <v>34</v>
      </c>
      <c r="D5" s="176">
        <v>17</v>
      </c>
      <c r="E5" s="153"/>
      <c r="F5" s="153"/>
      <c r="G5" s="153"/>
      <c r="H5" s="312"/>
      <c r="I5" s="312"/>
      <c r="N5" s="183" t="s">
        <v>22</v>
      </c>
      <c r="O5" s="319"/>
      <c r="P5" s="181"/>
      <c r="Q5" s="319"/>
      <c r="R5" s="181"/>
      <c r="S5" s="285"/>
      <c r="T5" s="285">
        <v>51</v>
      </c>
    </row>
    <row r="6" spans="1:23" ht="16.5" thickBot="1" x14ac:dyDescent="0.25">
      <c r="A6" s="179"/>
      <c r="B6" s="316" t="s">
        <v>121</v>
      </c>
      <c r="C6" s="319"/>
      <c r="D6" s="319"/>
      <c r="E6" s="153"/>
      <c r="F6" s="153"/>
      <c r="G6" s="153"/>
      <c r="H6" s="312">
        <v>17</v>
      </c>
      <c r="I6" s="312"/>
      <c r="N6" s="183" t="s">
        <v>23</v>
      </c>
      <c r="O6" s="181"/>
      <c r="P6" s="181"/>
      <c r="Q6" s="181"/>
      <c r="R6" s="181"/>
      <c r="S6" s="285"/>
      <c r="T6" s="285"/>
    </row>
    <row r="7" spans="1:23" ht="16.5" thickBot="1" x14ac:dyDescent="0.25">
      <c r="A7" s="179"/>
      <c r="B7" s="276" t="s">
        <v>163</v>
      </c>
      <c r="C7" s="279"/>
      <c r="D7" s="279"/>
      <c r="E7" s="153"/>
      <c r="F7" s="153"/>
      <c r="G7" s="153"/>
      <c r="H7" s="312">
        <v>34</v>
      </c>
      <c r="I7" s="279"/>
      <c r="N7" s="183" t="s">
        <v>24</v>
      </c>
      <c r="O7" s="181"/>
      <c r="P7" s="181"/>
      <c r="Q7" s="181"/>
      <c r="R7" s="181"/>
      <c r="S7" s="285"/>
      <c r="T7" s="285"/>
    </row>
    <row r="8" spans="1:23" ht="16.5" thickBot="1" x14ac:dyDescent="0.25">
      <c r="A8" s="179"/>
      <c r="B8" s="282" t="s">
        <v>158</v>
      </c>
      <c r="C8" s="284"/>
      <c r="D8" s="284"/>
      <c r="E8" s="284"/>
      <c r="F8" s="153"/>
      <c r="G8" s="292">
        <v>34</v>
      </c>
      <c r="H8" s="284">
        <v>17</v>
      </c>
      <c r="I8" s="284"/>
      <c r="N8" s="183" t="s">
        <v>26</v>
      </c>
      <c r="O8" s="220"/>
      <c r="P8" s="220"/>
      <c r="Q8" s="220"/>
      <c r="R8" s="220"/>
      <c r="S8" s="285"/>
      <c r="T8" s="285"/>
    </row>
    <row r="9" spans="1:23" ht="16.5" thickBot="1" x14ac:dyDescent="0.25">
      <c r="A9" s="179"/>
      <c r="B9" s="178" t="s">
        <v>16</v>
      </c>
      <c r="C9" s="312">
        <v>17</v>
      </c>
      <c r="D9" s="176"/>
      <c r="E9" s="176"/>
      <c r="F9" s="176"/>
      <c r="G9" s="176"/>
      <c r="H9" s="176"/>
      <c r="I9" s="218"/>
      <c r="N9" s="182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51</v>
      </c>
    </row>
    <row r="10" spans="1:23" ht="16.5" thickBot="1" x14ac:dyDescent="0.25">
      <c r="A10" s="179"/>
      <c r="B10" s="178" t="s">
        <v>17</v>
      </c>
      <c r="C10" s="312">
        <v>34</v>
      </c>
      <c r="D10" s="176"/>
      <c r="E10" s="153"/>
      <c r="F10" s="153"/>
      <c r="G10" s="176"/>
      <c r="H10" s="176"/>
      <c r="I10" s="176"/>
    </row>
    <row r="11" spans="1:23" ht="16.5" thickBot="1" x14ac:dyDescent="0.25">
      <c r="B11" s="178" t="s">
        <v>18</v>
      </c>
      <c r="C11" s="176"/>
      <c r="D11" s="153"/>
      <c r="E11" s="176">
        <v>17</v>
      </c>
      <c r="F11" s="176"/>
      <c r="G11" s="176"/>
      <c r="H11" s="176">
        <v>34</v>
      </c>
      <c r="I11" s="153"/>
      <c r="R11" s="252"/>
    </row>
    <row r="12" spans="1:23" ht="16.5" thickBot="1" x14ac:dyDescent="0.25">
      <c r="B12" s="178" t="s">
        <v>19</v>
      </c>
      <c r="C12" s="176">
        <v>17</v>
      </c>
      <c r="D12" s="153"/>
      <c r="E12" s="176">
        <v>17</v>
      </c>
      <c r="F12" s="176"/>
      <c r="G12" s="176">
        <v>17</v>
      </c>
      <c r="H12" s="176"/>
      <c r="I12" s="153"/>
      <c r="J12" s="277"/>
      <c r="K12" s="314"/>
      <c r="L12" s="179"/>
      <c r="P12" s="497" t="s">
        <v>3</v>
      </c>
      <c r="Q12" s="313" t="s">
        <v>165</v>
      </c>
    </row>
    <row r="13" spans="1:23" ht="16.5" thickBot="1" x14ac:dyDescent="0.25">
      <c r="B13" s="178" t="s">
        <v>20</v>
      </c>
      <c r="C13" s="312">
        <v>34</v>
      </c>
      <c r="D13" s="176">
        <v>17</v>
      </c>
      <c r="E13" s="153"/>
      <c r="F13" s="153"/>
      <c r="G13" s="153"/>
      <c r="H13" s="176"/>
      <c r="I13" s="176"/>
      <c r="P13" s="498"/>
      <c r="Q13" s="294" t="s">
        <v>81</v>
      </c>
      <c r="S13" s="317" t="s">
        <v>157</v>
      </c>
      <c r="T13" s="317">
        <v>80</v>
      </c>
      <c r="U13" s="317">
        <v>92</v>
      </c>
      <c r="V13" s="317">
        <v>95</v>
      </c>
      <c r="W13" s="317" t="s">
        <v>50</v>
      </c>
    </row>
    <row r="14" spans="1:23" ht="16.5" thickBot="1" x14ac:dyDescent="0.25">
      <c r="B14" s="178" t="s">
        <v>21</v>
      </c>
      <c r="C14" s="176">
        <v>51</v>
      </c>
      <c r="D14" s="176">
        <v>0</v>
      </c>
      <c r="E14" s="176">
        <v>0</v>
      </c>
      <c r="F14" s="176">
        <v>51</v>
      </c>
      <c r="G14" s="153"/>
      <c r="H14" s="176">
        <v>34</v>
      </c>
      <c r="I14" s="176">
        <v>17</v>
      </c>
      <c r="P14" s="499"/>
      <c r="Q14" s="155" t="s">
        <v>50</v>
      </c>
      <c r="S14" s="155" t="s">
        <v>93</v>
      </c>
      <c r="T14" s="154">
        <f>G22+C34</f>
        <v>51</v>
      </c>
      <c r="U14" s="154">
        <f>H22+D34</f>
        <v>136</v>
      </c>
      <c r="V14" s="154">
        <f>I22</f>
        <v>17</v>
      </c>
      <c r="W14" s="154">
        <f>F22+E34</f>
        <v>51</v>
      </c>
    </row>
    <row r="15" spans="1:23" ht="16.5" thickBot="1" x14ac:dyDescent="0.25">
      <c r="A15" s="39"/>
      <c r="B15" s="321" t="s">
        <v>175</v>
      </c>
      <c r="C15" s="319">
        <v>51</v>
      </c>
      <c r="D15" s="319"/>
      <c r="E15" s="153"/>
      <c r="F15" s="153"/>
      <c r="G15" s="153"/>
      <c r="H15" s="319"/>
      <c r="I15" s="319"/>
      <c r="L15" s="219"/>
      <c r="P15" s="183" t="s">
        <v>30</v>
      </c>
      <c r="Q15" s="295">
        <v>17</v>
      </c>
      <c r="S15" s="155" t="s">
        <v>87</v>
      </c>
      <c r="T15" s="154">
        <f>H34</f>
        <v>0</v>
      </c>
      <c r="U15" s="154">
        <f>C22+O9+F34</f>
        <v>493</v>
      </c>
      <c r="V15" s="154">
        <f>D22+P9+G34</f>
        <v>51</v>
      </c>
      <c r="W15" s="154">
        <f>E22+I34+Q9</f>
        <v>119</v>
      </c>
    </row>
    <row r="16" spans="1:23" ht="16.5" thickBot="1" x14ac:dyDescent="0.25">
      <c r="A16" s="39"/>
      <c r="B16" s="316" t="s">
        <v>176</v>
      </c>
      <c r="C16" s="319">
        <v>51</v>
      </c>
      <c r="D16" s="319"/>
      <c r="E16" s="153"/>
      <c r="F16" s="153"/>
      <c r="G16" s="153"/>
      <c r="H16" s="319"/>
      <c r="I16" s="319"/>
      <c r="P16" s="183" t="s">
        <v>31</v>
      </c>
      <c r="Q16" s="295">
        <v>34</v>
      </c>
      <c r="S16" s="155" t="s">
        <v>164</v>
      </c>
      <c r="T16" s="280"/>
      <c r="U16" s="154">
        <f>R9</f>
        <v>0</v>
      </c>
      <c r="V16" s="154">
        <f>S9</f>
        <v>0</v>
      </c>
      <c r="W16" s="154">
        <f>T9</f>
        <v>51</v>
      </c>
    </row>
    <row r="17" spans="1:23" ht="16.5" thickBot="1" x14ac:dyDescent="0.25">
      <c r="A17" s="39"/>
      <c r="B17" s="316" t="s">
        <v>177</v>
      </c>
      <c r="C17" s="319">
        <v>34</v>
      </c>
      <c r="D17" s="319">
        <v>17</v>
      </c>
      <c r="E17" s="153"/>
      <c r="F17" s="153"/>
      <c r="G17" s="153"/>
      <c r="H17" s="319"/>
      <c r="I17" s="319"/>
      <c r="P17" s="183" t="s">
        <v>32</v>
      </c>
      <c r="Q17" s="295"/>
    </row>
    <row r="18" spans="1:23" ht="16.5" thickBot="1" x14ac:dyDescent="0.25">
      <c r="A18" s="39"/>
      <c r="B18" s="316" t="s">
        <v>178</v>
      </c>
      <c r="C18" s="319">
        <v>51</v>
      </c>
      <c r="D18" s="319"/>
      <c r="E18" s="153"/>
      <c r="F18" s="153"/>
      <c r="G18" s="153"/>
      <c r="H18" s="319"/>
      <c r="I18" s="319"/>
      <c r="P18" s="183" t="s">
        <v>33</v>
      </c>
      <c r="Q18" s="295"/>
      <c r="S18" s="317" t="s">
        <v>157</v>
      </c>
      <c r="T18" s="317">
        <v>80</v>
      </c>
      <c r="U18" s="317">
        <v>92</v>
      </c>
      <c r="V18" s="317">
        <v>95</v>
      </c>
      <c r="W18" s="317" t="s">
        <v>50</v>
      </c>
    </row>
    <row r="19" spans="1:23" ht="16.5" thickBot="1" x14ac:dyDescent="0.25">
      <c r="A19" s="39"/>
      <c r="B19" s="350" t="s">
        <v>196</v>
      </c>
      <c r="C19" s="351"/>
      <c r="D19" s="351"/>
      <c r="E19" s="153"/>
      <c r="F19" s="153"/>
      <c r="G19" s="153"/>
      <c r="H19" s="351"/>
      <c r="I19" s="351"/>
      <c r="P19" s="182" t="s">
        <v>74</v>
      </c>
      <c r="Q19" s="295">
        <f>SUM(Q15:Q18)</f>
        <v>51</v>
      </c>
      <c r="S19" s="155" t="s">
        <v>155</v>
      </c>
      <c r="T19" s="154">
        <f>'التمام الصباحي'!F39</f>
        <v>51</v>
      </c>
      <c r="U19" s="154">
        <f>'التمام الصباحي'!L39</f>
        <v>629</v>
      </c>
      <c r="V19" s="154">
        <f>'التمام الصباحي'!R39</f>
        <v>68</v>
      </c>
      <c r="W19" s="154">
        <f>'التمام الصباحي'!X39</f>
        <v>272</v>
      </c>
    </row>
    <row r="20" spans="1:23" ht="16.5" thickBot="1" x14ac:dyDescent="0.25">
      <c r="A20" s="39"/>
      <c r="B20" s="350" t="s">
        <v>197</v>
      </c>
      <c r="C20" s="351"/>
      <c r="D20" s="351"/>
      <c r="E20" s="153"/>
      <c r="F20" s="153"/>
      <c r="G20" s="153"/>
      <c r="H20" s="351"/>
      <c r="I20" s="351"/>
      <c r="N20" s="252"/>
      <c r="O20" s="252"/>
      <c r="P20" s="252"/>
      <c r="Q20" s="252"/>
      <c r="R20" s="252"/>
      <c r="S20" s="155" t="s">
        <v>156</v>
      </c>
      <c r="T20" s="154">
        <f>G22+C34+H34</f>
        <v>51</v>
      </c>
      <c r="U20" s="154">
        <f>C22+H22+D34+F34+O9+R9</f>
        <v>629</v>
      </c>
      <c r="V20" s="154">
        <f>D22+I22+G34+P9+S9</f>
        <v>68</v>
      </c>
      <c r="W20" s="154">
        <f>E22+F22+Q9+T9+E34+I34+Q19</f>
        <v>272</v>
      </c>
    </row>
    <row r="21" spans="1:23" ht="16.5" thickBot="1" x14ac:dyDescent="0.25">
      <c r="A21" s="39"/>
      <c r="B21" s="350" t="s">
        <v>200</v>
      </c>
      <c r="C21" s="351"/>
      <c r="D21" s="351"/>
      <c r="E21" s="153"/>
      <c r="F21" s="153"/>
      <c r="G21" s="153"/>
      <c r="H21" s="351"/>
      <c r="I21" s="351"/>
      <c r="S21" s="155" t="s">
        <v>49</v>
      </c>
      <c r="T21" s="154">
        <f>T19-T20</f>
        <v>0</v>
      </c>
      <c r="U21" s="154">
        <f t="shared" ref="U21:V21" si="1">U19-U20</f>
        <v>0</v>
      </c>
      <c r="V21" s="154">
        <f t="shared" si="1"/>
        <v>0</v>
      </c>
      <c r="W21" s="154">
        <f>W19-W20</f>
        <v>0</v>
      </c>
    </row>
    <row r="22" spans="1:23" ht="15.75" thickBot="1" x14ac:dyDescent="0.25">
      <c r="A22" s="39"/>
      <c r="B22" s="177" t="s">
        <v>74</v>
      </c>
      <c r="C22" s="176">
        <f>SUM(C5:C21)+E44</f>
        <v>476</v>
      </c>
      <c r="D22" s="319">
        <f>SUM(D5:D21)+F44</f>
        <v>51</v>
      </c>
      <c r="E22" s="319">
        <f>SUM(E5:E18)+G44</f>
        <v>85</v>
      </c>
      <c r="F22" s="319">
        <f>SUM(F5:F18)+D44</f>
        <v>51</v>
      </c>
      <c r="G22" s="319">
        <f>SUM(G5:G18)</f>
        <v>51</v>
      </c>
      <c r="H22" s="319">
        <f>SUM(H5:H21)+B44</f>
        <v>136</v>
      </c>
      <c r="I22" s="319">
        <f>SUM(I5:I21)+C44</f>
        <v>17</v>
      </c>
    </row>
    <row r="23" spans="1:23" x14ac:dyDescent="0.2">
      <c r="A23" s="39"/>
    </row>
    <row r="24" spans="1:23" ht="15" thickBot="1" x14ac:dyDescent="0.25"/>
    <row r="25" spans="1:23" ht="15.75" customHeight="1" thickBot="1" x14ac:dyDescent="0.25">
      <c r="B25" s="497" t="s">
        <v>3</v>
      </c>
      <c r="C25" s="491" t="s">
        <v>86</v>
      </c>
      <c r="D25" s="492"/>
      <c r="E25" s="492"/>
      <c r="F25" s="492"/>
      <c r="G25" s="492"/>
      <c r="H25" s="492"/>
      <c r="I25" s="493"/>
      <c r="J25" s="290"/>
    </row>
    <row r="26" spans="1:23" ht="17.25" customHeight="1" thickBot="1" x14ac:dyDescent="0.25">
      <c r="B26" s="498"/>
      <c r="C26" s="503" t="s">
        <v>81</v>
      </c>
      <c r="D26" s="503"/>
      <c r="E26" s="503"/>
      <c r="F26" s="503" t="s">
        <v>87</v>
      </c>
      <c r="G26" s="503"/>
      <c r="H26" s="503"/>
      <c r="I26" s="503"/>
      <c r="J26" s="290"/>
    </row>
    <row r="27" spans="1:23" ht="15.75" thickBot="1" x14ac:dyDescent="0.25">
      <c r="B27" s="499"/>
      <c r="C27" s="155" t="s">
        <v>5</v>
      </c>
      <c r="D27" s="155" t="s">
        <v>11</v>
      </c>
      <c r="E27" s="155" t="s">
        <v>50</v>
      </c>
      <c r="F27" s="155" t="s">
        <v>11</v>
      </c>
      <c r="G27" s="155" t="s">
        <v>12</v>
      </c>
      <c r="H27" s="322" t="s">
        <v>5</v>
      </c>
      <c r="I27" s="155" t="s">
        <v>50</v>
      </c>
      <c r="J27" s="290"/>
      <c r="K27" s="251"/>
      <c r="L27" s="251"/>
    </row>
    <row r="28" spans="1:23" ht="16.5" thickBot="1" x14ac:dyDescent="0.25">
      <c r="B28" s="316" t="s">
        <v>25</v>
      </c>
      <c r="C28" s="153"/>
      <c r="D28" s="319"/>
      <c r="E28" s="319"/>
      <c r="F28" s="319">
        <v>17</v>
      </c>
      <c r="G28" s="319"/>
      <c r="H28" s="323"/>
      <c r="I28" s="319">
        <v>34</v>
      </c>
      <c r="J28" s="290"/>
      <c r="K28" s="251"/>
      <c r="L28" s="251"/>
    </row>
    <row r="29" spans="1:23" ht="15.75" customHeight="1" thickBot="1" x14ac:dyDescent="0.25">
      <c r="B29" s="316" t="s">
        <v>27</v>
      </c>
      <c r="C29" s="153"/>
      <c r="D29" s="319"/>
      <c r="E29" s="319"/>
      <c r="F29" s="319"/>
      <c r="G29" s="319"/>
      <c r="H29" s="320"/>
      <c r="I29" s="319"/>
      <c r="K29" s="251"/>
      <c r="L29" s="251"/>
    </row>
    <row r="30" spans="1:23" ht="16.5" thickBot="1" x14ac:dyDescent="0.25">
      <c r="B30" s="316" t="s">
        <v>28</v>
      </c>
      <c r="C30" s="319"/>
      <c r="D30" s="319"/>
      <c r="E30" s="319"/>
      <c r="F30" s="319"/>
      <c r="G30" s="153"/>
      <c r="H30" s="320"/>
      <c r="I30" s="319"/>
    </row>
    <row r="31" spans="1:23" ht="16.5" thickBot="1" x14ac:dyDescent="0.25">
      <c r="B31" s="316" t="s">
        <v>29</v>
      </c>
      <c r="C31" s="153"/>
      <c r="D31" s="319"/>
      <c r="E31" s="319"/>
      <c r="F31" s="319"/>
      <c r="G31" s="153"/>
      <c r="H31" s="323"/>
      <c r="I31" s="319"/>
    </row>
    <row r="32" spans="1:23" ht="16.5" thickBot="1" x14ac:dyDescent="0.25">
      <c r="B32" s="316" t="s">
        <v>112</v>
      </c>
      <c r="C32" s="320"/>
      <c r="D32" s="319"/>
      <c r="E32" s="319"/>
      <c r="F32" s="319"/>
      <c r="G32" s="320"/>
      <c r="H32" s="320"/>
      <c r="I32" s="319"/>
    </row>
    <row r="33" spans="1:14" ht="16.5" thickBot="1" x14ac:dyDescent="0.25">
      <c r="B33" s="350" t="s">
        <v>199</v>
      </c>
      <c r="C33" s="153"/>
      <c r="D33" s="351"/>
      <c r="E33" s="351"/>
      <c r="F33" s="351"/>
      <c r="G33" s="352"/>
      <c r="H33" s="153"/>
      <c r="I33" s="351"/>
    </row>
    <row r="34" spans="1:14" ht="15.75" thickBot="1" x14ac:dyDescent="0.25">
      <c r="B34" s="315" t="s">
        <v>74</v>
      </c>
      <c r="C34" s="319">
        <f>SUM(C28:C33)+L44</f>
        <v>0</v>
      </c>
      <c r="D34" s="319">
        <f>SUM(D28:D33)+M44</f>
        <v>0</v>
      </c>
      <c r="E34" s="319">
        <f>SUM(E28:E33)+N44</f>
        <v>0</v>
      </c>
      <c r="F34" s="319">
        <f>SUM(F28:F33)+H44</f>
        <v>17</v>
      </c>
      <c r="G34" s="319">
        <f>SUM(G28:G33)+I44</f>
        <v>0</v>
      </c>
      <c r="H34" s="319">
        <f>SUM(H28:H32)+K44</f>
        <v>0</v>
      </c>
      <c r="I34" s="319">
        <f>SUM(I28:I33)+J44</f>
        <v>34</v>
      </c>
    </row>
    <row r="36" spans="1:14" ht="15" thickBot="1" x14ac:dyDescent="0.25"/>
    <row r="37" spans="1:14" ht="15.75" thickBot="1" x14ac:dyDescent="0.25">
      <c r="A37" s="497" t="s">
        <v>3</v>
      </c>
      <c r="B37" s="494" t="s">
        <v>88</v>
      </c>
      <c r="C37" s="495"/>
      <c r="D37" s="494" t="s">
        <v>84</v>
      </c>
      <c r="E37" s="496"/>
      <c r="F37" s="496"/>
      <c r="G37" s="495"/>
      <c r="H37" s="494" t="s">
        <v>86</v>
      </c>
      <c r="I37" s="496"/>
      <c r="J37" s="496"/>
      <c r="K37" s="496"/>
      <c r="L37" s="496"/>
      <c r="M37" s="496"/>
      <c r="N37" s="495"/>
    </row>
    <row r="38" spans="1:14" ht="15.75" thickBot="1" x14ac:dyDescent="0.25">
      <c r="A38" s="498"/>
      <c r="B38" s="494" t="s">
        <v>81</v>
      </c>
      <c r="C38" s="495"/>
      <c r="D38" s="318" t="s">
        <v>81</v>
      </c>
      <c r="E38" s="494" t="s">
        <v>87</v>
      </c>
      <c r="F38" s="496"/>
      <c r="G38" s="495"/>
      <c r="H38" s="494" t="s">
        <v>87</v>
      </c>
      <c r="I38" s="496"/>
      <c r="J38" s="496"/>
      <c r="K38" s="495"/>
      <c r="L38" s="494" t="s">
        <v>81</v>
      </c>
      <c r="M38" s="496"/>
      <c r="N38" s="495"/>
    </row>
    <row r="39" spans="1:14" ht="15.75" thickBot="1" x14ac:dyDescent="0.25">
      <c r="A39" s="499"/>
      <c r="B39" s="155">
        <v>92</v>
      </c>
      <c r="C39" s="155">
        <v>95</v>
      </c>
      <c r="D39" s="155" t="s">
        <v>50</v>
      </c>
      <c r="E39" s="155">
        <v>92</v>
      </c>
      <c r="F39" s="155">
        <v>95</v>
      </c>
      <c r="G39" s="155" t="s">
        <v>50</v>
      </c>
      <c r="H39" s="155">
        <v>92</v>
      </c>
      <c r="I39" s="155">
        <v>95</v>
      </c>
      <c r="J39" s="155" t="s">
        <v>50</v>
      </c>
      <c r="K39" s="155">
        <v>80</v>
      </c>
      <c r="L39" s="155">
        <v>80</v>
      </c>
      <c r="M39" s="155">
        <v>92</v>
      </c>
      <c r="N39" s="155" t="s">
        <v>50</v>
      </c>
    </row>
    <row r="40" spans="1:14" ht="16.5" thickBot="1" x14ac:dyDescent="0.25">
      <c r="A40" s="350" t="s">
        <v>166</v>
      </c>
      <c r="B40" s="319"/>
      <c r="C40" s="319"/>
      <c r="D40" s="319"/>
      <c r="E40" s="319"/>
      <c r="F40" s="319"/>
      <c r="G40" s="319"/>
      <c r="H40" s="319"/>
      <c r="I40" s="221"/>
      <c r="J40" s="221"/>
      <c r="K40" s="221"/>
      <c r="L40" s="221"/>
      <c r="M40" s="221"/>
      <c r="N40" s="221"/>
    </row>
    <row r="41" spans="1:14" ht="16.5" thickBot="1" x14ac:dyDescent="0.25">
      <c r="A41" s="350" t="s">
        <v>167</v>
      </c>
      <c r="B41" s="319">
        <v>0</v>
      </c>
      <c r="C41" s="319"/>
      <c r="D41" s="319"/>
      <c r="E41" s="319">
        <v>34</v>
      </c>
      <c r="F41" s="319"/>
      <c r="G41" s="319">
        <v>17</v>
      </c>
      <c r="H41" s="319"/>
      <c r="I41" s="221"/>
      <c r="J41" s="221"/>
      <c r="K41" s="221"/>
      <c r="L41" s="221"/>
      <c r="M41" s="221"/>
      <c r="N41" s="221"/>
    </row>
    <row r="42" spans="1:14" ht="16.5" thickBot="1" x14ac:dyDescent="0.25">
      <c r="A42" s="350" t="s">
        <v>32</v>
      </c>
      <c r="B42" s="291"/>
      <c r="C42" s="291"/>
      <c r="D42" s="291"/>
      <c r="E42" s="291">
        <v>34</v>
      </c>
      <c r="F42" s="291"/>
      <c r="G42" s="291">
        <v>17</v>
      </c>
      <c r="H42" s="291"/>
      <c r="I42" s="221"/>
      <c r="J42" s="221"/>
      <c r="K42" s="221"/>
      <c r="L42" s="221"/>
      <c r="M42" s="221"/>
      <c r="N42" s="221"/>
    </row>
    <row r="43" spans="1:14" ht="16.5" thickBot="1" x14ac:dyDescent="0.25">
      <c r="A43" s="350" t="s">
        <v>33</v>
      </c>
      <c r="B43" s="222"/>
      <c r="C43" s="222"/>
      <c r="D43" s="222"/>
      <c r="E43" s="222">
        <v>34</v>
      </c>
      <c r="F43" s="222"/>
      <c r="G43" s="222">
        <v>17</v>
      </c>
      <c r="H43" s="222"/>
      <c r="I43" s="221"/>
      <c r="J43" s="221"/>
      <c r="K43" s="221"/>
      <c r="L43" s="221"/>
      <c r="M43" s="221"/>
      <c r="N43" s="221"/>
    </row>
    <row r="44" spans="1:14" ht="15.75" thickBot="1" x14ac:dyDescent="0.25">
      <c r="A44" s="309" t="s">
        <v>245</v>
      </c>
      <c r="B44" s="303">
        <f t="shared" ref="B44:I44" si="2">SUM(B40:B43)</f>
        <v>0</v>
      </c>
      <c r="C44" s="303">
        <f t="shared" si="2"/>
        <v>0</v>
      </c>
      <c r="D44" s="303">
        <f t="shared" si="2"/>
        <v>0</v>
      </c>
      <c r="E44" s="303">
        <f t="shared" si="2"/>
        <v>102</v>
      </c>
      <c r="F44" s="303">
        <f t="shared" si="2"/>
        <v>0</v>
      </c>
      <c r="G44" s="303">
        <f t="shared" si="2"/>
        <v>51</v>
      </c>
      <c r="H44" s="303">
        <f t="shared" si="2"/>
        <v>0</v>
      </c>
      <c r="I44" s="303">
        <f t="shared" si="2"/>
        <v>0</v>
      </c>
      <c r="J44" s="351">
        <f>SUM(J40:J43)</f>
        <v>0</v>
      </c>
      <c r="K44" s="351">
        <f>SUM(K40:K43)</f>
        <v>0</v>
      </c>
      <c r="L44" s="351">
        <f>SUM(L40:L43)</f>
        <v>0</v>
      </c>
      <c r="M44" s="351">
        <f>SUM(M40:M43)</f>
        <v>0</v>
      </c>
      <c r="N44" s="351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87" bestFit="1" customWidth="1"/>
    <col min="5" max="5" width="6.375" style="187" customWidth="1"/>
    <col min="6" max="6" width="6" style="187" customWidth="1"/>
    <col min="7" max="7" width="6.375" style="187" customWidth="1"/>
    <col min="8" max="8" width="5.625" style="187" customWidth="1"/>
    <col min="9" max="9" width="9" hidden="1" customWidth="1"/>
    <col min="10" max="10" width="5" customWidth="1"/>
    <col min="11" max="11" width="9" style="190" customWidth="1"/>
    <col min="12" max="12" width="6.375" style="190" customWidth="1"/>
    <col min="13" max="13" width="6.625" style="190" customWidth="1"/>
    <col min="14" max="15" width="9" style="190"/>
    <col min="16" max="16" width="4.375" style="190" customWidth="1"/>
    <col min="17" max="17" width="8.75" style="190" customWidth="1"/>
    <col min="18" max="18" width="6.875" style="190" customWidth="1"/>
    <col min="19" max="19" width="6.125" style="190" customWidth="1"/>
    <col min="20" max="20" width="7.625" style="190" customWidth="1"/>
    <col min="21" max="24" width="9" style="190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6" t="s">
        <v>159</v>
      </c>
      <c r="E5" s="526"/>
      <c r="F5" s="526"/>
      <c r="G5" s="526"/>
      <c r="H5" s="526"/>
      <c r="Q5" s="520" t="s">
        <v>118</v>
      </c>
      <c r="R5" s="520"/>
      <c r="S5" s="520"/>
      <c r="T5" s="520"/>
      <c r="U5" s="520"/>
    </row>
    <row r="6" spans="4:24" ht="15.75" hidden="1" customHeight="1" thickBot="1" x14ac:dyDescent="0.25">
      <c r="D6" s="521" t="s">
        <v>3</v>
      </c>
      <c r="E6" s="250">
        <v>80</v>
      </c>
      <c r="F6" s="224">
        <v>92</v>
      </c>
      <c r="G6" s="224">
        <v>95</v>
      </c>
      <c r="H6" s="224" t="s">
        <v>50</v>
      </c>
      <c r="K6" s="380" t="s">
        <v>3</v>
      </c>
      <c r="L6" s="223">
        <v>80</v>
      </c>
      <c r="M6" s="223">
        <v>92</v>
      </c>
      <c r="N6" s="223">
        <v>95</v>
      </c>
      <c r="O6" s="223" t="s">
        <v>50</v>
      </c>
      <c r="Q6" s="380" t="s">
        <v>3</v>
      </c>
      <c r="R6" s="523" t="s">
        <v>95</v>
      </c>
      <c r="S6" s="523" t="s">
        <v>96</v>
      </c>
      <c r="T6" s="523" t="s">
        <v>97</v>
      </c>
      <c r="U6" s="525" t="s">
        <v>98</v>
      </c>
      <c r="W6" s="380" t="s">
        <v>99</v>
      </c>
      <c r="X6" s="380" t="s">
        <v>100</v>
      </c>
    </row>
    <row r="7" spans="4:24" ht="15.75" hidden="1" customHeight="1" thickBot="1" x14ac:dyDescent="0.25">
      <c r="D7" s="522"/>
      <c r="E7" s="250" t="s">
        <v>7</v>
      </c>
      <c r="F7" s="224" t="s">
        <v>7</v>
      </c>
      <c r="G7" s="224" t="s">
        <v>7</v>
      </c>
      <c r="H7" s="224" t="s">
        <v>7</v>
      </c>
      <c r="K7" s="380"/>
      <c r="L7" s="193" t="s">
        <v>7</v>
      </c>
      <c r="M7" s="193" t="s">
        <v>7</v>
      </c>
      <c r="N7" s="193" t="s">
        <v>7</v>
      </c>
      <c r="O7" s="193" t="s">
        <v>7</v>
      </c>
      <c r="Q7" s="380"/>
      <c r="R7" s="524"/>
      <c r="S7" s="524"/>
      <c r="T7" s="524"/>
      <c r="U7" s="525"/>
      <c r="W7" s="380"/>
      <c r="X7" s="380"/>
    </row>
    <row r="8" spans="4:24" ht="16.5" hidden="1" customHeight="1" thickBot="1" x14ac:dyDescent="0.3">
      <c r="D8" s="225" t="s">
        <v>15</v>
      </c>
      <c r="E8" s="204"/>
      <c r="F8" s="189"/>
      <c r="G8" s="189"/>
      <c r="H8" s="188"/>
      <c r="K8" s="194" t="s">
        <v>15</v>
      </c>
      <c r="L8" s="226"/>
      <c r="M8" s="227">
        <f>IF(F8&gt;101,102,IF(F8&gt;84,85,IF(F8&gt;67,68,IF(F8&gt;50,51,IF(F8&gt;33,34,IF(F8&gt;16,17,0))))))</f>
        <v>0</v>
      </c>
      <c r="N8" s="227">
        <f>IF(G8&gt;101,102,IF(G8&gt;84,85,IF(G8&gt;67,68,IF(G8&gt;50,51,IF(G8&gt;33,34,IF(G8&gt;16,17,0))))))</f>
        <v>0</v>
      </c>
      <c r="O8" s="226"/>
      <c r="P8" s="228"/>
      <c r="Q8" s="229" t="s">
        <v>15</v>
      </c>
      <c r="R8" s="230">
        <f t="shared" ref="R8:R27" si="0">ROUNDDOWN((SUM(L8:O8)/51),0.9)</f>
        <v>0</v>
      </c>
      <c r="S8" s="231"/>
      <c r="T8" s="232"/>
      <c r="U8" s="233"/>
      <c r="W8" s="514" t="s">
        <v>101</v>
      </c>
      <c r="X8" s="517">
        <f>SUM(R8:U15)/2</f>
        <v>0</v>
      </c>
    </row>
    <row r="9" spans="4:24" ht="16.5" hidden="1" customHeight="1" thickBot="1" x14ac:dyDescent="0.3">
      <c r="D9" s="225" t="s">
        <v>163</v>
      </c>
      <c r="E9" s="204"/>
      <c r="F9" s="189"/>
      <c r="G9" s="189"/>
      <c r="H9" s="188"/>
      <c r="K9" s="194" t="s">
        <v>163</v>
      </c>
      <c r="L9" s="226"/>
      <c r="M9" s="227"/>
      <c r="N9" s="227"/>
      <c r="O9" s="226"/>
      <c r="P9" s="228"/>
      <c r="Q9" s="242" t="s">
        <v>163</v>
      </c>
      <c r="R9" s="230">
        <f t="shared" si="0"/>
        <v>0</v>
      </c>
      <c r="S9" s="244"/>
      <c r="T9" s="245"/>
      <c r="U9" s="246"/>
      <c r="W9" s="515"/>
      <c r="X9" s="518"/>
    </row>
    <row r="10" spans="4:24" ht="17.25" hidden="1" customHeight="1" thickTop="1" thickBot="1" x14ac:dyDescent="0.3">
      <c r="D10" s="225" t="s">
        <v>16</v>
      </c>
      <c r="E10" s="205"/>
      <c r="F10" s="189"/>
      <c r="G10" s="189"/>
      <c r="H10" s="189"/>
      <c r="K10" s="194" t="s">
        <v>16</v>
      </c>
      <c r="L10" s="227">
        <f t="shared" ref="L10:N25" si="1">IF(E10&gt;101,102,IF(E10&gt;84,85,IF(E10&gt;67,68,IF(E10&gt;50,51,IF(E10&gt;33,34,IF(E10&gt;16,17,0))))))</f>
        <v>0</v>
      </c>
      <c r="M10" s="227">
        <f t="shared" si="1"/>
        <v>0</v>
      </c>
      <c r="N10" s="227">
        <f>IF(G10&gt;101,102,IF(G10&gt;84,85,IF(G10&gt;67,68,IF(G10&gt;50,51,IF(G10&gt;33,34,IF(G10&gt;16,17,0))))))</f>
        <v>0</v>
      </c>
      <c r="O10" s="227">
        <f t="shared" ref="O10:O27" si="2">IF(H10&gt;101,102,IF(H10&gt;84,85,IF(H10&gt;67,68,IF(H10&gt;50,51,IF(H10&gt;33,34,IF(H10&gt;16,17,0))))))</f>
        <v>0</v>
      </c>
      <c r="P10" s="228"/>
      <c r="Q10" s="234" t="s">
        <v>16</v>
      </c>
      <c r="R10" s="235">
        <f t="shared" si="0"/>
        <v>0</v>
      </c>
      <c r="S10" s="506">
        <f>IF((ROUNDDOWN((SUM(M10:M11)/51)-(R10+R11),0.9))&lt;0,0,(ROUNDDOWN((SUM(M10:M11)/51)-(R10+R11),0.9)))</f>
        <v>0</v>
      </c>
      <c r="T10" s="506">
        <f>IF((ROUNDDOWN((SUM(O10:O11)/51)-(R10+R11),0.9))&lt;0,0,(ROUNDDOWN((SUM(O10:O11)/51)-(R10+R11),0.9)))</f>
        <v>0</v>
      </c>
      <c r="U10" s="506">
        <f>IF((ROUNDDOWN((SUM(L10:O11)/51)-(R10+R11+S10+T10),0.9))&lt;0,0,ROUNDDOWN((SUM(L10:O11)/51)-(R10+R11+S10+T10),0.9))</f>
        <v>0</v>
      </c>
      <c r="W10" s="515"/>
      <c r="X10" s="518"/>
    </row>
    <row r="11" spans="4:24" ht="16.5" hidden="1" customHeight="1" thickBot="1" x14ac:dyDescent="0.3">
      <c r="D11" s="225" t="s">
        <v>17</v>
      </c>
      <c r="E11" s="205"/>
      <c r="F11" s="189"/>
      <c r="G11" s="189"/>
      <c r="H11" s="188"/>
      <c r="K11" s="194" t="s">
        <v>17</v>
      </c>
      <c r="L11" s="227">
        <f t="shared" si="1"/>
        <v>0</v>
      </c>
      <c r="M11" s="227">
        <f t="shared" si="1"/>
        <v>0</v>
      </c>
      <c r="N11" s="227">
        <f>IF(G11&gt;101,102,IF(G11&gt;84,85,IF(G11&gt;67,68,IF(G11&gt;50,51,IF(G11&gt;33,34,IF(G11&gt;16,17,0))))))</f>
        <v>0</v>
      </c>
      <c r="O11" s="226"/>
      <c r="P11" s="228"/>
      <c r="Q11" s="236" t="s">
        <v>17</v>
      </c>
      <c r="R11" s="237">
        <f t="shared" si="0"/>
        <v>0</v>
      </c>
      <c r="S11" s="507"/>
      <c r="T11" s="507"/>
      <c r="U11" s="507"/>
      <c r="W11" s="515"/>
      <c r="X11" s="518"/>
    </row>
    <row r="12" spans="4:24" ht="17.25" hidden="1" customHeight="1" thickTop="1" thickBot="1" x14ac:dyDescent="0.3">
      <c r="D12" s="225" t="s">
        <v>18</v>
      </c>
      <c r="E12" s="205"/>
      <c r="F12" s="189"/>
      <c r="G12" s="188"/>
      <c r="H12" s="189"/>
      <c r="K12" s="194" t="s">
        <v>18</v>
      </c>
      <c r="L12" s="227">
        <f t="shared" si="1"/>
        <v>0</v>
      </c>
      <c r="M12" s="227">
        <f t="shared" si="1"/>
        <v>0</v>
      </c>
      <c r="N12" s="226"/>
      <c r="O12" s="227">
        <f t="shared" si="2"/>
        <v>0</v>
      </c>
      <c r="P12" s="228"/>
      <c r="Q12" s="238" t="s">
        <v>18</v>
      </c>
      <c r="R12" s="239">
        <f t="shared" si="0"/>
        <v>0</v>
      </c>
      <c r="S12" s="510">
        <f>IF((ROUNDDOWN((SUM(M12:M13)/51)-(R12+R13),0.9))&lt;0,0,(ROUNDDOWN((SUM(M12:M13)/51)-(R12+R13),0.9)))</f>
        <v>0</v>
      </c>
      <c r="T12" s="510">
        <f t="shared" ref="T12" si="3">IF((ROUNDDOWN((SUM(O12:O13)/51)-(R12+R13),0.9))&lt;0,0,(ROUNDDOWN((SUM(O12:O13)/51)-(R12+R13),0.9)))</f>
        <v>0</v>
      </c>
      <c r="U12" s="510">
        <f t="shared" ref="U12" si="4">IF((ROUNDDOWN((SUM(L12:O13)/51)-(R12+R13+S12+T12),0.9))&lt;0,0,ROUNDDOWN((SUM(L12:O13)/51)-(R12+R13+S12+T12),0.9))</f>
        <v>0</v>
      </c>
      <c r="W12" s="515"/>
      <c r="X12" s="518"/>
    </row>
    <row r="13" spans="4:24" ht="16.5" hidden="1" customHeight="1" thickBot="1" x14ac:dyDescent="0.3">
      <c r="D13" s="225" t="s">
        <v>19</v>
      </c>
      <c r="E13" s="205"/>
      <c r="F13" s="189"/>
      <c r="G13" s="188"/>
      <c r="H13" s="189"/>
      <c r="K13" s="194" t="s">
        <v>19</v>
      </c>
      <c r="L13" s="227">
        <f t="shared" si="1"/>
        <v>0</v>
      </c>
      <c r="M13" s="227">
        <f t="shared" si="1"/>
        <v>0</v>
      </c>
      <c r="N13" s="226"/>
      <c r="O13" s="227">
        <f t="shared" si="2"/>
        <v>0</v>
      </c>
      <c r="P13" s="228"/>
      <c r="Q13" s="240" t="s">
        <v>19</v>
      </c>
      <c r="R13" s="241">
        <f t="shared" si="0"/>
        <v>0</v>
      </c>
      <c r="S13" s="510"/>
      <c r="T13" s="510"/>
      <c r="U13" s="510"/>
      <c r="W13" s="515"/>
      <c r="X13" s="518"/>
    </row>
    <row r="14" spans="4:24" ht="17.25" hidden="1" customHeight="1" thickTop="1" thickBot="1" x14ac:dyDescent="0.3">
      <c r="D14" s="225" t="s">
        <v>20</v>
      </c>
      <c r="E14" s="204"/>
      <c r="F14" s="189"/>
      <c r="G14" s="189"/>
      <c r="H14" s="188"/>
      <c r="K14" s="194" t="s">
        <v>20</v>
      </c>
      <c r="L14" s="226"/>
      <c r="M14" s="227">
        <f t="shared" si="1"/>
        <v>0</v>
      </c>
      <c r="N14" s="227">
        <f t="shared" si="1"/>
        <v>0</v>
      </c>
      <c r="O14" s="226"/>
      <c r="P14" s="228"/>
      <c r="Q14" s="234" t="s">
        <v>20</v>
      </c>
      <c r="R14" s="235">
        <f t="shared" si="0"/>
        <v>0</v>
      </c>
      <c r="S14" s="506">
        <f>IF((ROUNDDOWN((SUM(M14:M15)/51)-(R14+R15),0.9))&lt;0,0,(ROUNDDOWN((SUM(M14:M15)/51)-(R14+R15),0.9)))</f>
        <v>0</v>
      </c>
      <c r="T14" s="506">
        <f t="shared" ref="T14" si="5">IF((ROUNDDOWN((SUM(O14:O15)/51)-(R14+R15),0.9))&lt;0,0,(ROUNDDOWN((SUM(O14:O15)/51)-(R14+R15),0.9)))</f>
        <v>0</v>
      </c>
      <c r="U14" s="506">
        <f t="shared" ref="U14" si="6">IF((ROUNDDOWN((SUM(L14:O15)/51)-(R14+R15+S14+T14),0.9))&lt;0,0,ROUNDDOWN((SUM(L14:O15)/51)-(R14+R15+S14+T14),0.9))</f>
        <v>0</v>
      </c>
      <c r="W14" s="515"/>
      <c r="X14" s="518"/>
    </row>
    <row r="15" spans="4:24" ht="16.5" hidden="1" customHeight="1" thickBot="1" x14ac:dyDescent="0.3">
      <c r="D15" s="225" t="s">
        <v>21</v>
      </c>
      <c r="E15" s="204"/>
      <c r="F15" s="189"/>
      <c r="G15" s="189"/>
      <c r="H15" s="189"/>
      <c r="K15" s="194" t="s">
        <v>21</v>
      </c>
      <c r="L15" s="226"/>
      <c r="M15" s="227">
        <f t="shared" si="1"/>
        <v>0</v>
      </c>
      <c r="N15" s="227">
        <f t="shared" si="1"/>
        <v>0</v>
      </c>
      <c r="O15" s="227">
        <f t="shared" si="2"/>
        <v>0</v>
      </c>
      <c r="P15" s="228"/>
      <c r="Q15" s="236" t="s">
        <v>21</v>
      </c>
      <c r="R15" s="237">
        <f t="shared" si="0"/>
        <v>0</v>
      </c>
      <c r="S15" s="507"/>
      <c r="T15" s="507"/>
      <c r="U15" s="507"/>
      <c r="W15" s="516"/>
      <c r="X15" s="519"/>
    </row>
    <row r="16" spans="4:24" ht="16.5" hidden="1" customHeight="1" thickBot="1" x14ac:dyDescent="0.3">
      <c r="D16" s="225" t="s">
        <v>22</v>
      </c>
      <c r="E16" s="204"/>
      <c r="F16" s="189"/>
      <c r="G16" s="189"/>
      <c r="H16" s="189"/>
      <c r="K16" s="194" t="s">
        <v>22</v>
      </c>
      <c r="L16" s="226"/>
      <c r="M16" s="227">
        <f t="shared" si="1"/>
        <v>0</v>
      </c>
      <c r="N16" s="227">
        <f t="shared" si="1"/>
        <v>0</v>
      </c>
      <c r="O16" s="227">
        <f t="shared" si="2"/>
        <v>0</v>
      </c>
      <c r="P16" s="228"/>
      <c r="Q16" s="242" t="s">
        <v>22</v>
      </c>
      <c r="R16" s="243">
        <f t="shared" si="0"/>
        <v>0</v>
      </c>
      <c r="S16" s="244"/>
      <c r="T16" s="245"/>
      <c r="U16" s="246"/>
      <c r="W16" s="508" t="s">
        <v>85</v>
      </c>
      <c r="X16" s="509">
        <f>SUM(R16:U19)/2</f>
        <v>0</v>
      </c>
    </row>
    <row r="17" spans="4:24" ht="17.25" hidden="1" customHeight="1" thickTop="1" thickBot="1" x14ac:dyDescent="0.3">
      <c r="D17" s="225" t="s">
        <v>23</v>
      </c>
      <c r="E17" s="204"/>
      <c r="F17" s="189"/>
      <c r="G17" s="189"/>
      <c r="H17" s="189"/>
      <c r="K17" s="194" t="s">
        <v>23</v>
      </c>
      <c r="L17" s="226"/>
      <c r="M17" s="227">
        <f t="shared" si="1"/>
        <v>0</v>
      </c>
      <c r="N17" s="227">
        <f t="shared" si="1"/>
        <v>0</v>
      </c>
      <c r="O17" s="227">
        <f t="shared" si="2"/>
        <v>0</v>
      </c>
      <c r="P17" s="228"/>
      <c r="Q17" s="238" t="s">
        <v>23</v>
      </c>
      <c r="R17" s="239">
        <f t="shared" si="0"/>
        <v>0</v>
      </c>
      <c r="S17" s="512">
        <f>IF((ROUNDDOWN((SUM(M17:M18)/51)-(R17+R18),0.9))&lt;0,0,(ROUNDDOWN((SUM(M17:M18)/51)-(R17+R18),0.9)))</f>
        <v>0</v>
      </c>
      <c r="T17" s="512">
        <f>IF((ROUNDDOWN((SUM(O17:O18)/51)-(R17+R18),0.9))&lt;0,0,(ROUNDDOWN((SUM(O17:O18)/51)-(R17+R18),0.9)))</f>
        <v>0</v>
      </c>
      <c r="U17" s="512">
        <f>IF((ROUNDDOWN((SUM(L17:O18)/51)-(R17+R18+S17+T17),0.9))&lt;0,0,ROUNDDOWN((SUM(L17:O18)/51)-(R17+R18+S17+T17),0.9))</f>
        <v>0</v>
      </c>
      <c r="W17" s="508"/>
      <c r="X17" s="509"/>
    </row>
    <row r="18" spans="4:24" ht="16.5" hidden="1" customHeight="1" thickBot="1" x14ac:dyDescent="0.3">
      <c r="D18" s="225" t="s">
        <v>24</v>
      </c>
      <c r="E18" s="204"/>
      <c r="F18" s="189"/>
      <c r="G18" s="189"/>
      <c r="H18" s="188"/>
      <c r="K18" s="194" t="s">
        <v>24</v>
      </c>
      <c r="L18" s="226"/>
      <c r="M18" s="227">
        <f t="shared" si="1"/>
        <v>0</v>
      </c>
      <c r="N18" s="227">
        <f t="shared" si="1"/>
        <v>0</v>
      </c>
      <c r="O18" s="226"/>
      <c r="P18" s="228"/>
      <c r="Q18" s="240" t="s">
        <v>24</v>
      </c>
      <c r="R18" s="241">
        <f t="shared" si="0"/>
        <v>0</v>
      </c>
      <c r="S18" s="513"/>
      <c r="T18" s="513"/>
      <c r="U18" s="513"/>
      <c r="W18" s="508"/>
      <c r="X18" s="509"/>
    </row>
    <row r="19" spans="4:24" ht="16.5" hidden="1" customHeight="1" thickBot="1" x14ac:dyDescent="0.3">
      <c r="D19" s="225" t="s">
        <v>26</v>
      </c>
      <c r="E19" s="204"/>
      <c r="F19" s="189"/>
      <c r="G19" s="189"/>
      <c r="H19" s="189"/>
      <c r="K19" s="194" t="s">
        <v>26</v>
      </c>
      <c r="L19" s="226"/>
      <c r="M19" s="227">
        <f t="shared" si="1"/>
        <v>0</v>
      </c>
      <c r="N19" s="227">
        <f t="shared" si="1"/>
        <v>0</v>
      </c>
      <c r="O19" s="227">
        <f t="shared" si="2"/>
        <v>0</v>
      </c>
      <c r="P19" s="228"/>
      <c r="Q19" s="242" t="s">
        <v>26</v>
      </c>
      <c r="R19" s="243">
        <f t="shared" si="0"/>
        <v>0</v>
      </c>
      <c r="S19" s="244"/>
      <c r="T19" s="245"/>
      <c r="U19" s="247"/>
      <c r="W19" s="508"/>
      <c r="X19" s="509"/>
    </row>
    <row r="20" spans="4:24" ht="17.25" hidden="1" customHeight="1" thickTop="1" thickBot="1" x14ac:dyDescent="0.3">
      <c r="D20" s="225" t="s">
        <v>25</v>
      </c>
      <c r="E20" s="204"/>
      <c r="F20" s="189"/>
      <c r="G20" s="189"/>
      <c r="H20" s="189"/>
      <c r="K20" s="194" t="s">
        <v>25</v>
      </c>
      <c r="L20" s="226"/>
      <c r="M20" s="227">
        <f t="shared" si="1"/>
        <v>0</v>
      </c>
      <c r="N20" s="227">
        <f t="shared" si="1"/>
        <v>0</v>
      </c>
      <c r="O20" s="227">
        <f t="shared" si="2"/>
        <v>0</v>
      </c>
      <c r="P20" s="228"/>
      <c r="Q20" s="234" t="s">
        <v>25</v>
      </c>
      <c r="R20" s="235">
        <f t="shared" si="0"/>
        <v>0</v>
      </c>
      <c r="S20" s="506">
        <f>IF((ROUNDDOWN((SUM(M20:M21)/51)-(R20+R21),0.9))&lt;0,0,(ROUNDDOWN((SUM(M20:M21)/51)-(R20+R21),0.9)))</f>
        <v>0</v>
      </c>
      <c r="T20" s="506">
        <f>IF((ROUNDDOWN((SUM(O20:O21)/51)-(R20+R21),0.9))&lt;0,0,(ROUNDDOWN((SUM(O20:O21)/51)-(R20+R21),0.9)))</f>
        <v>0</v>
      </c>
      <c r="U20" s="506">
        <f>IF((ROUNDDOWN((SUM(L20:O21)/51)-(R20+R21+S20+T20),0.9))&lt;0,0,ROUNDDOWN((SUM(L20:O21)/51)-(R20+R21+S20+T20),0.9))</f>
        <v>0</v>
      </c>
      <c r="W20" s="508" t="s">
        <v>102</v>
      </c>
      <c r="X20" s="509">
        <f>SUM(R20:U23)/2</f>
        <v>0</v>
      </c>
    </row>
    <row r="21" spans="4:24" ht="16.5" hidden="1" customHeight="1" thickBot="1" x14ac:dyDescent="0.3">
      <c r="D21" s="225" t="s">
        <v>27</v>
      </c>
      <c r="E21" s="204"/>
      <c r="F21" s="189"/>
      <c r="G21" s="189"/>
      <c r="H21" s="188"/>
      <c r="K21" s="194" t="s">
        <v>27</v>
      </c>
      <c r="L21" s="226"/>
      <c r="M21" s="227">
        <f t="shared" si="1"/>
        <v>0</v>
      </c>
      <c r="N21" s="227">
        <f t="shared" si="1"/>
        <v>0</v>
      </c>
      <c r="O21" s="226"/>
      <c r="P21" s="228"/>
      <c r="Q21" s="236" t="s">
        <v>27</v>
      </c>
      <c r="R21" s="237">
        <f t="shared" si="0"/>
        <v>0</v>
      </c>
      <c r="S21" s="507"/>
      <c r="T21" s="507"/>
      <c r="U21" s="507"/>
      <c r="W21" s="508"/>
      <c r="X21" s="509"/>
    </row>
    <row r="22" spans="4:24" ht="17.25" hidden="1" customHeight="1" thickTop="1" thickBot="1" x14ac:dyDescent="0.3">
      <c r="D22" s="225" t="s">
        <v>28</v>
      </c>
      <c r="E22" s="205"/>
      <c r="F22" s="189"/>
      <c r="G22" s="188"/>
      <c r="H22" s="189"/>
      <c r="K22" s="194" t="s">
        <v>28</v>
      </c>
      <c r="L22" s="227">
        <f t="shared" si="1"/>
        <v>0</v>
      </c>
      <c r="M22" s="227">
        <f t="shared" si="1"/>
        <v>0</v>
      </c>
      <c r="N22" s="226"/>
      <c r="O22" s="227">
        <f t="shared" si="2"/>
        <v>0</v>
      </c>
      <c r="P22" s="228"/>
      <c r="Q22" s="238" t="s">
        <v>28</v>
      </c>
      <c r="R22" s="239">
        <f t="shared" si="0"/>
        <v>0</v>
      </c>
      <c r="S22" s="510">
        <f>IF((ROUNDDOWN((SUM(M22:M23)/51)-(R22+R23),0.9))&lt;0,0,(ROUNDDOWN((SUM(M22:M23)/51)-(R22+R23),0.9)))</f>
        <v>0</v>
      </c>
      <c r="T22" s="512">
        <f>IF((ROUNDDOWN((SUM(O22:O23)/51)-(R22+R23),0.9))&lt;0,0,(ROUNDDOWN((SUM(O22:O23)/51)-(R22+R23),0.9)))</f>
        <v>0</v>
      </c>
      <c r="U22" s="512">
        <f t="shared" ref="U22" si="7">IF((ROUNDDOWN((SUM(L22:O23)/51)-(R22+R23+S22+T22),0.9))&lt;0,0,ROUNDDOWN((SUM(L22:O23)/51)-(R22+R23+S22+T22),0.9))</f>
        <v>0</v>
      </c>
      <c r="W22" s="508"/>
      <c r="X22" s="509"/>
    </row>
    <row r="23" spans="4:24" ht="16.5" hidden="1" customHeight="1" thickBot="1" x14ac:dyDescent="0.3">
      <c r="D23" s="225" t="s">
        <v>29</v>
      </c>
      <c r="E23" s="204"/>
      <c r="F23" s="189"/>
      <c r="G23" s="188"/>
      <c r="H23" s="189"/>
      <c r="K23" s="194" t="s">
        <v>29</v>
      </c>
      <c r="L23" s="226"/>
      <c r="M23" s="227">
        <f t="shared" si="1"/>
        <v>0</v>
      </c>
      <c r="N23" s="226"/>
      <c r="O23" s="227">
        <f t="shared" si="2"/>
        <v>0</v>
      </c>
      <c r="P23" s="228"/>
      <c r="Q23" s="240" t="s">
        <v>29</v>
      </c>
      <c r="R23" s="241">
        <f t="shared" si="0"/>
        <v>0</v>
      </c>
      <c r="S23" s="510"/>
      <c r="T23" s="513"/>
      <c r="U23" s="513"/>
      <c r="W23" s="508"/>
      <c r="X23" s="509"/>
    </row>
    <row r="24" spans="4:24" ht="17.25" hidden="1" customHeight="1" thickTop="1" thickBot="1" x14ac:dyDescent="0.3">
      <c r="D24" s="225" t="s">
        <v>30</v>
      </c>
      <c r="E24" s="204"/>
      <c r="F24" s="189"/>
      <c r="G24" s="189"/>
      <c r="H24" s="189"/>
      <c r="K24" s="194" t="s">
        <v>30</v>
      </c>
      <c r="L24" s="226"/>
      <c r="M24" s="227">
        <f t="shared" si="1"/>
        <v>0</v>
      </c>
      <c r="N24" s="227">
        <f>IF(G24&gt;101,102,IF(G24&gt;84,85,IF(G24&gt;67,68,IF(G24&gt;50,51,IF(G24&gt;33,34,IF(G24&gt;16,17,0))))))</f>
        <v>0</v>
      </c>
      <c r="O24" s="227">
        <f t="shared" si="2"/>
        <v>0</v>
      </c>
      <c r="P24" s="228"/>
      <c r="Q24" s="234" t="s">
        <v>30</v>
      </c>
      <c r="R24" s="235">
        <f t="shared" si="0"/>
        <v>0</v>
      </c>
      <c r="S24" s="506">
        <f>IF((ROUNDDOWN((SUM(M24:M25)/51)-(R24+R25),0.9))&lt;0,0,(ROUNDDOWN((SUM(M24:M25)/51)-(R24+R25),0.9)))</f>
        <v>0</v>
      </c>
      <c r="T24" s="506">
        <f>IF((ROUNDDOWN((SUM(O24:O25)/51)-(R24+R25),0.9))&lt;0,0,(ROUNDDOWN((SUM(O24:O25)/51)-(R24+R25),0.9)))</f>
        <v>0</v>
      </c>
      <c r="U24" s="506">
        <f t="shared" ref="U24" si="8">IF((ROUNDDOWN((SUM(L24:O25)/51)-(R24+R25+S24+T24),0.9))&lt;0,0,ROUNDDOWN((SUM(L24:O25)/51)-(R24+R25+S24+T24),0.9))</f>
        <v>0</v>
      </c>
      <c r="W24" s="508" t="s">
        <v>90</v>
      </c>
      <c r="X24" s="509">
        <f>SUM(R24:U27)/2</f>
        <v>0</v>
      </c>
    </row>
    <row r="25" spans="4:24" ht="16.5" hidden="1" customHeight="1" thickBot="1" x14ac:dyDescent="0.3">
      <c r="D25" s="225" t="s">
        <v>31</v>
      </c>
      <c r="E25" s="204"/>
      <c r="F25" s="189"/>
      <c r="G25" s="189"/>
      <c r="H25" s="189"/>
      <c r="K25" s="194" t="s">
        <v>31</v>
      </c>
      <c r="L25" s="226"/>
      <c r="M25" s="227">
        <f t="shared" si="1"/>
        <v>0</v>
      </c>
      <c r="N25" s="227">
        <f>IF(G25&gt;101,102,IF(G25&gt;84,85,IF(G25&gt;67,68,IF(G25&gt;50,51,IF(G25&gt;33,34,IF(G25&gt;16,17,0))))))</f>
        <v>0</v>
      </c>
      <c r="O25" s="227">
        <f t="shared" si="2"/>
        <v>0</v>
      </c>
      <c r="P25" s="228"/>
      <c r="Q25" s="236" t="s">
        <v>31</v>
      </c>
      <c r="R25" s="237">
        <f t="shared" si="0"/>
        <v>0</v>
      </c>
      <c r="S25" s="507"/>
      <c r="T25" s="507"/>
      <c r="U25" s="507"/>
      <c r="W25" s="508"/>
      <c r="X25" s="509"/>
    </row>
    <row r="26" spans="4:24" ht="17.25" hidden="1" customHeight="1" thickTop="1" thickBot="1" x14ac:dyDescent="0.3">
      <c r="D26" s="225" t="s">
        <v>32</v>
      </c>
      <c r="E26" s="204"/>
      <c r="F26" s="189"/>
      <c r="G26" s="189"/>
      <c r="H26" s="189"/>
      <c r="K26" s="194" t="s">
        <v>32</v>
      </c>
      <c r="L26" s="226"/>
      <c r="M26" s="227">
        <f t="shared" ref="M26:M27" si="9">IF(F26&gt;101,102,IF(F26&gt;84,85,IF(F26&gt;67,68,IF(F26&gt;50,51,IF(F26&gt;33,34,IF(F26&gt;16,17,0))))))</f>
        <v>0</v>
      </c>
      <c r="N26" s="227">
        <f>IF(G26&gt;101,102,IF(G26&gt;84,85,IF(G26&gt;67,68,IF(G26&gt;50,51,IF(G26&gt;33,34,IF(G26&gt;16,17,0))))))</f>
        <v>0</v>
      </c>
      <c r="O26" s="227">
        <f t="shared" si="2"/>
        <v>0</v>
      </c>
      <c r="P26" s="228"/>
      <c r="Q26" s="238" t="s">
        <v>32</v>
      </c>
      <c r="R26" s="239">
        <f t="shared" si="0"/>
        <v>0</v>
      </c>
      <c r="S26" s="510">
        <f>IF((ROUNDDOWN((SUM(M26:M27)/51)-(R26+R27),0.9))&lt;0,0,(ROUNDDOWN((SUM(M26:M27)/51)-(R26+R27),0.9)))</f>
        <v>0</v>
      </c>
      <c r="T26" s="510">
        <f>IF((ROUNDDOWN((SUM(O26:O27)/51)-(R26+R27),0.9))&lt;0,0,(ROUNDDOWN((SUM(O26:O27)/51)-(R26+R27),0.9)))</f>
        <v>0</v>
      </c>
      <c r="U26" s="510">
        <f t="shared" ref="U26" si="10">IF((ROUNDDOWN((SUM(L26:O27)/51)-(R26+R27+S26+T26),0.9))&lt;0,0,ROUNDDOWN((SUM(L26:O27)/51)-(R26+R27+S26+T26),0.9))</f>
        <v>0</v>
      </c>
      <c r="W26" s="508"/>
      <c r="X26" s="509"/>
    </row>
    <row r="27" spans="4:24" ht="16.5" hidden="1" customHeight="1" thickBot="1" x14ac:dyDescent="0.3">
      <c r="D27" s="225" t="s">
        <v>33</v>
      </c>
      <c r="E27" s="204"/>
      <c r="F27" s="189"/>
      <c r="G27" s="189"/>
      <c r="H27" s="189"/>
      <c r="K27" s="194" t="s">
        <v>33</v>
      </c>
      <c r="L27" s="226"/>
      <c r="M27" s="227">
        <f t="shared" si="9"/>
        <v>0</v>
      </c>
      <c r="N27" s="227">
        <f>IF(G27&gt;101,102,IF(G27&gt;84,85,IF(G27&gt;67,68,IF(G27&gt;50,51,IF(G27&gt;33,34,IF(G27&gt;16,17,0))))))</f>
        <v>0</v>
      </c>
      <c r="O27" s="227">
        <f t="shared" si="2"/>
        <v>0</v>
      </c>
      <c r="P27" s="228"/>
      <c r="Q27" s="248" t="s">
        <v>33</v>
      </c>
      <c r="R27" s="249">
        <f t="shared" si="0"/>
        <v>0</v>
      </c>
      <c r="S27" s="511"/>
      <c r="T27" s="511"/>
      <c r="U27" s="511"/>
      <c r="W27" s="508"/>
      <c r="X27" s="509"/>
    </row>
    <row r="28" spans="4:24" ht="14.25" hidden="1" customHeight="1" x14ac:dyDescent="0.2"/>
    <row r="29" spans="4:24" ht="21" thickBot="1" x14ac:dyDescent="0.35">
      <c r="D29" s="526"/>
      <c r="E29" s="526"/>
      <c r="F29" s="526"/>
      <c r="G29" s="526"/>
      <c r="H29" s="526"/>
      <c r="Q29" s="520" t="s">
        <v>118</v>
      </c>
      <c r="R29" s="520"/>
      <c r="S29" s="520"/>
      <c r="T29" s="520"/>
      <c r="U29" s="520"/>
    </row>
    <row r="30" spans="4:24" ht="15.75" thickBot="1" x14ac:dyDescent="0.25">
      <c r="D30" s="521" t="s">
        <v>3</v>
      </c>
      <c r="E30" s="250">
        <v>80</v>
      </c>
      <c r="F30" s="224">
        <v>92</v>
      </c>
      <c r="G30" s="224">
        <v>95</v>
      </c>
      <c r="H30" s="224" t="s">
        <v>50</v>
      </c>
      <c r="K30" s="380" t="s">
        <v>3</v>
      </c>
      <c r="L30" s="223">
        <v>80</v>
      </c>
      <c r="M30" s="223">
        <v>92</v>
      </c>
      <c r="N30" s="223">
        <v>95</v>
      </c>
      <c r="O30" s="223" t="s">
        <v>50</v>
      </c>
      <c r="Q30" s="380" t="s">
        <v>3</v>
      </c>
      <c r="R30" s="523" t="s">
        <v>95</v>
      </c>
      <c r="S30" s="523" t="s">
        <v>96</v>
      </c>
      <c r="T30" s="523" t="s">
        <v>97</v>
      </c>
      <c r="U30" s="525" t="s">
        <v>98</v>
      </c>
      <c r="W30" s="380" t="s">
        <v>99</v>
      </c>
      <c r="X30" s="380" t="s">
        <v>100</v>
      </c>
    </row>
    <row r="31" spans="4:24" ht="15.75" thickBot="1" x14ac:dyDescent="0.25">
      <c r="D31" s="522"/>
      <c r="E31" s="250" t="s">
        <v>7</v>
      </c>
      <c r="F31" s="224" t="s">
        <v>7</v>
      </c>
      <c r="G31" s="224" t="s">
        <v>7</v>
      </c>
      <c r="H31" s="224" t="s">
        <v>7</v>
      </c>
      <c r="K31" s="380"/>
      <c r="L31" s="193" t="s">
        <v>7</v>
      </c>
      <c r="M31" s="193" t="s">
        <v>7</v>
      </c>
      <c r="N31" s="193" t="s">
        <v>7</v>
      </c>
      <c r="O31" s="193" t="s">
        <v>7</v>
      </c>
      <c r="Q31" s="380"/>
      <c r="R31" s="524"/>
      <c r="S31" s="524"/>
      <c r="T31" s="524"/>
      <c r="U31" s="525"/>
      <c r="W31" s="380"/>
      <c r="X31" s="380"/>
    </row>
    <row r="32" spans="4:24" ht="16.5" thickBot="1" x14ac:dyDescent="0.3">
      <c r="D32" s="225" t="s">
        <v>15</v>
      </c>
      <c r="E32" s="287"/>
      <c r="F32" s="186">
        <f>'التمام الصباحي'!K8+'التمام الصباحي'!M8</f>
        <v>70</v>
      </c>
      <c r="G32" s="186">
        <f>'التمام الصباحي'!Q8+'التمام الصباحي'!S8</f>
        <v>28</v>
      </c>
      <c r="H32" s="283"/>
      <c r="K32" s="225" t="s">
        <v>15</v>
      </c>
      <c r="L32" s="226"/>
      <c r="M32" s="227">
        <f>IF(F32&gt;101,102,IF(F32&gt;84,85,IF(F32&gt;67,68,IF(F32&gt;50,51,IF(F32&gt;33,34,IF(F32&gt;16,17,0))))))</f>
        <v>68</v>
      </c>
      <c r="N32" s="227">
        <f>IF(G32&gt;101,102,IF(G32&gt;84,85,IF(G32&gt;67,68,IF(G32&gt;50,51,IF(G32&gt;33,34,IF(G32&gt;16,17,0))))))</f>
        <v>17</v>
      </c>
      <c r="O32" s="226"/>
      <c r="P32" s="228"/>
      <c r="Q32" s="229" t="s">
        <v>15</v>
      </c>
      <c r="R32" s="230">
        <f t="shared" ref="R32:R51" si="11">ROUNDDOWN((SUM(L32:O32)/51),0.9)</f>
        <v>1</v>
      </c>
      <c r="S32" s="231"/>
      <c r="T32" s="232"/>
      <c r="U32" s="233"/>
      <c r="W32" s="514" t="s">
        <v>101</v>
      </c>
      <c r="X32" s="517">
        <f>SUM(R32:U39)/3</f>
        <v>3.3333333333333335</v>
      </c>
    </row>
    <row r="33" spans="3:24" ht="16.5" thickBot="1" x14ac:dyDescent="0.3">
      <c r="D33" s="225" t="s">
        <v>163</v>
      </c>
      <c r="E33" s="287"/>
      <c r="F33" s="186">
        <f>'التمام الصباحي'!K9+'التمام الصباحي'!M9</f>
        <v>58</v>
      </c>
      <c r="G33" s="186">
        <f>'التمام الصباحي'!Q9+'التمام الصباحي'!S9</f>
        <v>18</v>
      </c>
      <c r="H33" s="283"/>
      <c r="K33" s="225" t="s">
        <v>163</v>
      </c>
      <c r="L33" s="226"/>
      <c r="M33" s="227">
        <f t="shared" ref="M33:M58" si="12">IF(F33&gt;101,102,IF(F33&gt;84,85,IF(F33&gt;67,68,IF(F33&gt;50,51,IF(F33&gt;33,34,IF(F33&gt;16,17,0))))))</f>
        <v>51</v>
      </c>
      <c r="N33" s="227">
        <f t="shared" ref="N33:O58" si="13">IF(G33&gt;101,102,IF(G33&gt;84,85,IF(G33&gt;67,68,IF(G33&gt;50,51,IF(G33&gt;33,34,IF(G33&gt;16,17,0))))))</f>
        <v>17</v>
      </c>
      <c r="O33" s="226"/>
      <c r="P33" s="228"/>
      <c r="Q33" s="242" t="s">
        <v>163</v>
      </c>
      <c r="R33" s="230">
        <f t="shared" si="11"/>
        <v>1</v>
      </c>
      <c r="S33" s="244"/>
      <c r="T33" s="245"/>
      <c r="U33" s="246"/>
      <c r="W33" s="515"/>
      <c r="X33" s="518"/>
    </row>
    <row r="34" spans="3:24" ht="17.25" thickTop="1" thickBot="1" x14ac:dyDescent="0.3">
      <c r="D34" s="225" t="s">
        <v>158</v>
      </c>
      <c r="E34" s="186">
        <f>'التمام الصباحي'!E10+'التمام الصباحي'!G10</f>
        <v>42</v>
      </c>
      <c r="F34" s="186">
        <f>'التمام الصباحي'!K10+'التمام الصباحي'!M10</f>
        <v>26</v>
      </c>
      <c r="G34" s="186">
        <f>'التمام الصباحي'!Q10+'التمام الصباحي'!S10</f>
        <v>22</v>
      </c>
      <c r="H34" s="343"/>
      <c r="K34" s="225" t="s">
        <v>158</v>
      </c>
      <c r="L34" s="227">
        <f>IF(E34&gt;101,102,IF(E34&gt;84,85,IF(E34&gt;67,68,IF(E34&gt;50,51,IF(E34&gt;33,34,IF(E34&gt;16,17,0))))))</f>
        <v>34</v>
      </c>
      <c r="M34" s="227">
        <f t="shared" si="12"/>
        <v>17</v>
      </c>
      <c r="N34" s="227">
        <f t="shared" si="13"/>
        <v>17</v>
      </c>
      <c r="O34" s="226"/>
      <c r="P34" s="228"/>
      <c r="Q34" s="234" t="s">
        <v>16</v>
      </c>
      <c r="R34" s="235">
        <f t="shared" si="11"/>
        <v>1</v>
      </c>
      <c r="S34" s="506">
        <f>IF((ROUNDDOWN((SUM(M34:M35)/51)-(R34+R35),0.9))&lt;0,0,(ROUNDDOWN((SUM(M34:M35)/51)-(R34+R35),0.9)))</f>
        <v>0</v>
      </c>
      <c r="T34" s="506">
        <f>IF((ROUNDDOWN((SUM(O34:O35)/51)-(R34+R35),0.9))&lt;0,0,(ROUNDDOWN((SUM(O34:O35)/51)-(R34+R35),0.9)))</f>
        <v>0</v>
      </c>
      <c r="U34" s="506">
        <f>IF((ROUNDDOWN((SUM(L34:O35)/51)-(R34+R35+S34+T34),0.9))&lt;0,0,ROUNDDOWN((SUM(L34:O35)/51)-(R34+R35+S34+T34),0.9))</f>
        <v>0</v>
      </c>
      <c r="W34" s="515"/>
      <c r="X34" s="518"/>
    </row>
    <row r="35" spans="3:24" ht="16.5" thickBot="1" x14ac:dyDescent="0.3">
      <c r="C35">
        <f>C36</f>
        <v>0</v>
      </c>
      <c r="D35" s="225" t="s">
        <v>16</v>
      </c>
      <c r="E35" s="186">
        <f>'التمام الصباحي'!E11+'التمام الصباحي'!G11</f>
        <v>17</v>
      </c>
      <c r="F35" s="186">
        <f>'التمام الصباحي'!K11+'التمام الصباحي'!M11</f>
        <v>43</v>
      </c>
      <c r="G35" s="186">
        <f>'التمام الصباحي'!Q11+'التمام الصباحي'!S11</f>
        <v>13</v>
      </c>
      <c r="H35" s="186">
        <f>'التمام الصباحي'!W11+'التمام الصباحي'!Y11</f>
        <v>21</v>
      </c>
      <c r="K35" s="225" t="s">
        <v>16</v>
      </c>
      <c r="L35" s="227">
        <f t="shared" ref="L35:L53" si="14">IF(E35&gt;101,102,IF(E35&gt;84,85,IF(E35&gt;67,68,IF(E35&gt;50,51,IF(E35&gt;33,34,IF(E35&gt;16,17,0))))))</f>
        <v>17</v>
      </c>
      <c r="M35" s="227">
        <f t="shared" si="12"/>
        <v>34</v>
      </c>
      <c r="N35" s="227">
        <f t="shared" si="13"/>
        <v>0</v>
      </c>
      <c r="O35" s="227">
        <f t="shared" si="13"/>
        <v>17</v>
      </c>
      <c r="P35" s="228"/>
      <c r="Q35" s="236" t="s">
        <v>17</v>
      </c>
      <c r="R35" s="237">
        <f t="shared" si="11"/>
        <v>1</v>
      </c>
      <c r="S35" s="507"/>
      <c r="T35" s="507"/>
      <c r="U35" s="507"/>
      <c r="W35" s="515"/>
      <c r="X35" s="518"/>
    </row>
    <row r="36" spans="3:24" ht="17.25" thickTop="1" thickBot="1" x14ac:dyDescent="0.3">
      <c r="D36" s="225" t="s">
        <v>17</v>
      </c>
      <c r="E36" s="287"/>
      <c r="F36" s="186">
        <f>'التمام الصباحي'!K12+'التمام الصباحي'!M12</f>
        <v>68</v>
      </c>
      <c r="G36" s="186">
        <f>'التمام الصباحي'!Q12+'التمام الصباحي'!S12</f>
        <v>23</v>
      </c>
      <c r="H36" s="343"/>
      <c r="K36" s="225" t="s">
        <v>17</v>
      </c>
      <c r="L36" s="226"/>
      <c r="M36" s="227">
        <f t="shared" si="12"/>
        <v>68</v>
      </c>
      <c r="N36" s="227">
        <f t="shared" si="13"/>
        <v>17</v>
      </c>
      <c r="O36" s="226"/>
      <c r="P36" s="228"/>
      <c r="Q36" s="238" t="s">
        <v>18</v>
      </c>
      <c r="R36" s="239">
        <f t="shared" si="11"/>
        <v>1</v>
      </c>
      <c r="S36" s="510">
        <f>IF((ROUNDDOWN((SUM(M36:M37)/51)-(R36+R37),0.9))&lt;0,0,(ROUNDDOWN((SUM(M36:M37)/51)-(R36+R37),0.9)))</f>
        <v>0</v>
      </c>
      <c r="T36" s="510">
        <f t="shared" ref="T36" si="15">IF((ROUNDDOWN((SUM(O36:O37)/51)-(R36+R37),0.9))&lt;0,0,(ROUNDDOWN((SUM(O36:O37)/51)-(R36+R37),0.9)))</f>
        <v>0</v>
      </c>
      <c r="U36" s="510">
        <f t="shared" ref="U36" si="16">IF((ROUNDDOWN((SUM(L36:O37)/51)-(R36+R37+S36+T36),0.9))&lt;0,0,ROUNDDOWN((SUM(L36:O37)/51)-(R36+R37+S36+T36),0.9))</f>
        <v>0</v>
      </c>
      <c r="W36" s="515"/>
      <c r="X36" s="518"/>
    </row>
    <row r="37" spans="3:24" ht="16.5" thickBot="1" x14ac:dyDescent="0.3">
      <c r="D37" s="225" t="s">
        <v>18</v>
      </c>
      <c r="E37" s="186">
        <f>'التمام الصباحي'!E13+'التمام الصباحي'!G13</f>
        <v>18</v>
      </c>
      <c r="F37" s="186">
        <f>'التمام الصباحي'!K13+'التمام الصباحي'!M13</f>
        <v>67</v>
      </c>
      <c r="G37" s="287"/>
      <c r="H37" s="186">
        <f>'التمام الصباحي'!W13+'التمام الصباحي'!Y13</f>
        <v>36</v>
      </c>
      <c r="K37" s="225" t="s">
        <v>18</v>
      </c>
      <c r="L37" s="227">
        <f t="shared" si="14"/>
        <v>17</v>
      </c>
      <c r="M37" s="227">
        <f t="shared" si="12"/>
        <v>51</v>
      </c>
      <c r="N37" s="226"/>
      <c r="O37" s="227">
        <f t="shared" ref="O37:O38" si="17">IF(H37&gt;101,102,IF(H37&gt;84,85,IF(H37&gt;67,68,IF(H37&gt;50,51,IF(H37&gt;33,34,IF(H37&gt;16,17,0))))))</f>
        <v>34</v>
      </c>
      <c r="P37" s="228"/>
      <c r="Q37" s="240" t="s">
        <v>19</v>
      </c>
      <c r="R37" s="241">
        <f t="shared" si="11"/>
        <v>2</v>
      </c>
      <c r="S37" s="510"/>
      <c r="T37" s="510"/>
      <c r="U37" s="510"/>
      <c r="W37" s="515"/>
      <c r="X37" s="518"/>
    </row>
    <row r="38" spans="3:24" ht="17.25" thickTop="1" thickBot="1" x14ac:dyDescent="0.3">
      <c r="D38" s="225" t="s">
        <v>19</v>
      </c>
      <c r="E38" s="186">
        <f>'التمام الصباحي'!E14+'التمام الصباحي'!G14</f>
        <v>29</v>
      </c>
      <c r="F38" s="186">
        <f>'التمام الصباحي'!K14+'التمام الصباحي'!M14</f>
        <v>38</v>
      </c>
      <c r="G38" s="287"/>
      <c r="H38" s="186">
        <f>'التمام الصباحي'!W14+'التمام الصباحي'!Y14</f>
        <v>42</v>
      </c>
      <c r="K38" s="225" t="s">
        <v>19</v>
      </c>
      <c r="L38" s="227">
        <f t="shared" si="14"/>
        <v>17</v>
      </c>
      <c r="M38" s="227">
        <f t="shared" si="12"/>
        <v>34</v>
      </c>
      <c r="N38" s="226"/>
      <c r="O38" s="227">
        <f t="shared" si="17"/>
        <v>34</v>
      </c>
      <c r="P38" s="228"/>
      <c r="Q38" s="234" t="s">
        <v>20</v>
      </c>
      <c r="R38" s="235">
        <f t="shared" si="11"/>
        <v>1</v>
      </c>
      <c r="S38" s="506">
        <f>IF((ROUNDDOWN((SUM(M38:M39)/51)-(R38+R39),0.9))&lt;0,0,(ROUNDDOWN((SUM(M38:M39)/51)-(R38+R39),0.9)))</f>
        <v>0</v>
      </c>
      <c r="T38" s="506">
        <f t="shared" ref="T38" si="18">IF((ROUNDDOWN((SUM(O38:O39)/51)-(R38+R39),0.9))&lt;0,0,(ROUNDDOWN((SUM(O38:O39)/51)-(R38+R39),0.9)))</f>
        <v>0</v>
      </c>
      <c r="U38" s="506">
        <f t="shared" ref="U38" si="19">IF((ROUNDDOWN((SUM(L38:O39)/51)-(R38+R39+S38+T38),0.9))&lt;0,0,ROUNDDOWN((SUM(L38:O39)/51)-(R38+R39+S38+T38),0.9))</f>
        <v>1</v>
      </c>
      <c r="W38" s="515"/>
      <c r="X38" s="518"/>
    </row>
    <row r="39" spans="3:24" ht="16.5" thickBot="1" x14ac:dyDescent="0.3">
      <c r="D39" s="225" t="s">
        <v>20</v>
      </c>
      <c r="E39" s="287"/>
      <c r="F39" s="186">
        <f>'التمام الصباحي'!K15+'التمام الصباحي'!M15</f>
        <v>64</v>
      </c>
      <c r="G39" s="186">
        <f>'التمام الصباحي'!Q15+'التمام الصباحي'!S15</f>
        <v>19</v>
      </c>
      <c r="H39" s="343"/>
      <c r="K39" s="225" t="s">
        <v>20</v>
      </c>
      <c r="L39" s="226"/>
      <c r="M39" s="227">
        <f t="shared" si="12"/>
        <v>51</v>
      </c>
      <c r="N39" s="227">
        <f t="shared" si="13"/>
        <v>17</v>
      </c>
      <c r="O39" s="226"/>
      <c r="P39" s="228"/>
      <c r="Q39" s="236" t="s">
        <v>21</v>
      </c>
      <c r="R39" s="237">
        <f t="shared" si="11"/>
        <v>1</v>
      </c>
      <c r="S39" s="507"/>
      <c r="T39" s="507"/>
      <c r="U39" s="507"/>
      <c r="W39" s="516"/>
      <c r="X39" s="519"/>
    </row>
    <row r="40" spans="3:24" ht="16.5" thickBot="1" x14ac:dyDescent="0.3">
      <c r="D40" s="225" t="s">
        <v>21</v>
      </c>
      <c r="E40" s="287"/>
      <c r="F40" s="186">
        <f>'التمام الصباحي'!K16+'التمام الصباحي'!M16</f>
        <v>45</v>
      </c>
      <c r="G40" s="186">
        <f>'التمام الصباحي'!Q16+'التمام الصباحي'!S16</f>
        <v>24</v>
      </c>
      <c r="H40" s="186">
        <f>'التمام الصباحي'!W16+'التمام الصباحي'!Y16</f>
        <v>70</v>
      </c>
      <c r="K40" s="225" t="s">
        <v>21</v>
      </c>
      <c r="L40" s="226"/>
      <c r="M40" s="227">
        <f t="shared" si="12"/>
        <v>34</v>
      </c>
      <c r="N40" s="227">
        <f t="shared" si="13"/>
        <v>17</v>
      </c>
      <c r="O40" s="227">
        <f t="shared" si="13"/>
        <v>68</v>
      </c>
      <c r="P40" s="228"/>
      <c r="Q40" s="242" t="s">
        <v>22</v>
      </c>
      <c r="R40" s="243">
        <f t="shared" si="11"/>
        <v>2</v>
      </c>
      <c r="S40" s="244"/>
      <c r="T40" s="245"/>
      <c r="U40" s="246"/>
      <c r="W40" s="508" t="s">
        <v>85</v>
      </c>
      <c r="X40" s="517">
        <f>SUM(R40:U43)/3</f>
        <v>1.3333333333333333</v>
      </c>
    </row>
    <row r="41" spans="3:24" ht="17.25" thickTop="1" thickBot="1" x14ac:dyDescent="0.3">
      <c r="D41" s="225" t="s">
        <v>22</v>
      </c>
      <c r="E41" s="287"/>
      <c r="F41" s="186">
        <f>'التمام الصباحي'!K17+'التمام الصباحي'!M17</f>
        <v>25</v>
      </c>
      <c r="G41" s="186">
        <f>'التمام الصباحي'!Q17+'التمام الصباحي'!S17</f>
        <v>18.5</v>
      </c>
      <c r="H41" s="186">
        <f>'التمام الصباحي'!W17+'التمام الصباحي'!Y17</f>
        <v>73</v>
      </c>
      <c r="K41" s="225" t="s">
        <v>22</v>
      </c>
      <c r="L41" s="226"/>
      <c r="M41" s="227">
        <f t="shared" si="12"/>
        <v>17</v>
      </c>
      <c r="N41" s="227">
        <f t="shared" si="13"/>
        <v>17</v>
      </c>
      <c r="O41" s="227">
        <f t="shared" si="13"/>
        <v>68</v>
      </c>
      <c r="P41" s="228"/>
      <c r="Q41" s="238" t="s">
        <v>23</v>
      </c>
      <c r="R41" s="239">
        <f t="shared" si="11"/>
        <v>2</v>
      </c>
      <c r="S41" s="512">
        <f>IF((ROUNDDOWN((SUM(M41:M42)/51)-(R41+R42),0.9))&lt;0,0,(ROUNDDOWN((SUM(M41:M42)/51)-(R41+R42),0.9)))</f>
        <v>0</v>
      </c>
      <c r="T41" s="512">
        <f>IF((ROUNDDOWN((SUM(O41:O42)/51)-(R41+R42),0.9))&lt;0,0,(ROUNDDOWN((SUM(O41:O42)/51)-(R41+R42),0.9)))</f>
        <v>0</v>
      </c>
      <c r="U41" s="512">
        <f>IF((ROUNDDOWN((SUM(L41:O42)/51)-(R41+R42+S41+T41),0.9))&lt;0,0,ROUNDDOWN((SUM(L41:O42)/51)-(R41+R42+S41+T41),0.9))</f>
        <v>0</v>
      </c>
      <c r="W41" s="508"/>
      <c r="X41" s="518"/>
    </row>
    <row r="42" spans="3:24" ht="16.5" thickBot="1" x14ac:dyDescent="0.3">
      <c r="D42" s="225" t="s">
        <v>23</v>
      </c>
      <c r="E42" s="287"/>
      <c r="F42" s="186">
        <f>'التمام الصباحي'!K18+'التمام الصباحي'!M18</f>
        <v>19</v>
      </c>
      <c r="G42" s="186">
        <f>'التمام الصباحي'!Q18+'التمام الصباحي'!S18</f>
        <v>20</v>
      </c>
      <c r="H42" s="186">
        <f>'التمام الصباحي'!W18+'التمام الصباحي'!Y18</f>
        <v>12</v>
      </c>
      <c r="K42" s="225" t="s">
        <v>23</v>
      </c>
      <c r="L42" s="226"/>
      <c r="M42" s="227">
        <f t="shared" si="12"/>
        <v>17</v>
      </c>
      <c r="N42" s="227">
        <f t="shared" si="13"/>
        <v>17</v>
      </c>
      <c r="O42" s="227">
        <f t="shared" si="13"/>
        <v>0</v>
      </c>
      <c r="P42" s="228"/>
      <c r="Q42" s="240" t="s">
        <v>24</v>
      </c>
      <c r="R42" s="241">
        <f t="shared" si="11"/>
        <v>0</v>
      </c>
      <c r="S42" s="513"/>
      <c r="T42" s="513"/>
      <c r="U42" s="513"/>
      <c r="W42" s="508"/>
      <c r="X42" s="518"/>
    </row>
    <row r="43" spans="3:24" ht="16.5" thickBot="1" x14ac:dyDescent="0.3">
      <c r="D43" s="225" t="s">
        <v>24</v>
      </c>
      <c r="E43" s="287"/>
      <c r="F43" s="186">
        <f>'التمام الصباحي'!K19+'التمام الصباحي'!M19</f>
        <v>29</v>
      </c>
      <c r="G43" s="186">
        <f>'التمام الصباحي'!Q19+'التمام الصباحي'!S19</f>
        <v>13</v>
      </c>
      <c r="H43" s="343"/>
      <c r="K43" s="225" t="s">
        <v>24</v>
      </c>
      <c r="L43" s="226"/>
      <c r="M43" s="227">
        <f t="shared" si="12"/>
        <v>17</v>
      </c>
      <c r="N43" s="227">
        <f t="shared" si="13"/>
        <v>0</v>
      </c>
      <c r="O43" s="226"/>
      <c r="P43" s="228"/>
      <c r="Q43" s="242" t="s">
        <v>26</v>
      </c>
      <c r="R43" s="243">
        <f t="shared" si="11"/>
        <v>0</v>
      </c>
      <c r="S43" s="244"/>
      <c r="T43" s="245"/>
      <c r="U43" s="247"/>
      <c r="W43" s="508"/>
      <c r="X43" s="519"/>
    </row>
    <row r="44" spans="3:24" ht="17.25" thickTop="1" thickBot="1" x14ac:dyDescent="0.3">
      <c r="D44" s="225" t="s">
        <v>26</v>
      </c>
      <c r="E44" s="287"/>
      <c r="F44" s="186">
        <f>'التمام الصباحي'!K20+'التمام الصباحي'!M20</f>
        <v>26</v>
      </c>
      <c r="G44" s="186">
        <f>'التمام الصباحي'!Q20+'التمام الصباحي'!S20</f>
        <v>15</v>
      </c>
      <c r="H44" s="186">
        <f>'التمام الصباحي'!W20+'التمام الصباحي'!Y20</f>
        <v>32</v>
      </c>
      <c r="K44" s="225" t="s">
        <v>26</v>
      </c>
      <c r="L44" s="226"/>
      <c r="M44" s="227">
        <f t="shared" si="12"/>
        <v>17</v>
      </c>
      <c r="N44" s="227">
        <f t="shared" si="13"/>
        <v>0</v>
      </c>
      <c r="O44" s="227">
        <f t="shared" si="13"/>
        <v>17</v>
      </c>
      <c r="P44" s="228"/>
      <c r="Q44" s="234" t="s">
        <v>25</v>
      </c>
      <c r="R44" s="235">
        <f t="shared" si="11"/>
        <v>0</v>
      </c>
      <c r="S44" s="506">
        <f>IF((ROUNDDOWN((SUM(M44:M45)/51)-(R44+R45),0.9))&lt;0,0,(ROUNDDOWN((SUM(M44:M45)/51)-(R44+R45),0.9)))</f>
        <v>0</v>
      </c>
      <c r="T44" s="506">
        <f>IF((ROUNDDOWN((SUM(O44:O45)/51)-(R44+R45),0.9))&lt;0,0,(ROUNDDOWN((SUM(O44:O45)/51)-(R44+R45),0.9)))</f>
        <v>0</v>
      </c>
      <c r="U44" s="506">
        <f>IF((ROUNDDOWN((SUM(L44:O45)/51)-(R44+R45+S44+T44),0.9))&lt;0,0,ROUNDDOWN((SUM(L44:O45)/51)-(R44+R45+S44+T44),0.9))</f>
        <v>1</v>
      </c>
      <c r="W44" s="508" t="s">
        <v>102</v>
      </c>
      <c r="X44" s="517">
        <f>SUM(R44:U47)/3</f>
        <v>1</v>
      </c>
    </row>
    <row r="45" spans="3:24" ht="16.5" thickBot="1" x14ac:dyDescent="0.3">
      <c r="D45" s="225" t="s">
        <v>25</v>
      </c>
      <c r="E45" s="287"/>
      <c r="F45" s="186">
        <f>'التمام الصباحي'!K21+'التمام الصباحي'!M21</f>
        <v>49</v>
      </c>
      <c r="G45" s="186">
        <f>'التمام الصباحي'!Q21+'التمام الصباحي'!S21</f>
        <v>19</v>
      </c>
      <c r="H45" s="186">
        <f>'التمام الصباحي'!W21+'التمام الصباحي'!Y21</f>
        <v>42</v>
      </c>
      <c r="K45" s="225" t="s">
        <v>25</v>
      </c>
      <c r="L45" s="226"/>
      <c r="M45" s="227">
        <f t="shared" si="12"/>
        <v>34</v>
      </c>
      <c r="N45" s="227">
        <f t="shared" si="13"/>
        <v>17</v>
      </c>
      <c r="O45" s="227">
        <f t="shared" si="13"/>
        <v>34</v>
      </c>
      <c r="P45" s="228"/>
      <c r="Q45" s="236" t="s">
        <v>27</v>
      </c>
      <c r="R45" s="237">
        <f t="shared" si="11"/>
        <v>1</v>
      </c>
      <c r="S45" s="507"/>
      <c r="T45" s="507"/>
      <c r="U45" s="507"/>
      <c r="W45" s="508"/>
      <c r="X45" s="518"/>
    </row>
    <row r="46" spans="3:24" ht="17.25" thickTop="1" thickBot="1" x14ac:dyDescent="0.3">
      <c r="D46" s="225" t="s">
        <v>27</v>
      </c>
      <c r="E46" s="287"/>
      <c r="F46" s="186">
        <f>'التمام الصباحي'!K22+'التمام الصباحي'!M22</f>
        <v>42</v>
      </c>
      <c r="G46" s="186">
        <f>'التمام الصباحي'!Q22+'التمام الصباحي'!S22</f>
        <v>15</v>
      </c>
      <c r="H46" s="343"/>
      <c r="K46" s="225" t="s">
        <v>27</v>
      </c>
      <c r="L46" s="226"/>
      <c r="M46" s="227">
        <f t="shared" si="12"/>
        <v>34</v>
      </c>
      <c r="N46" s="227">
        <f t="shared" si="13"/>
        <v>0</v>
      </c>
      <c r="O46" s="226"/>
      <c r="P46" s="228"/>
      <c r="Q46" s="238" t="s">
        <v>28</v>
      </c>
      <c r="R46" s="239">
        <f t="shared" si="11"/>
        <v>0</v>
      </c>
      <c r="S46" s="510">
        <f>IF((ROUNDDOWN((SUM(M46:M47)/51)-(R46+R47),0.9))&lt;0,0,(ROUNDDOWN((SUM(M46:M47)/51)-(R46+R47),0.9)))</f>
        <v>0</v>
      </c>
      <c r="T46" s="512">
        <f>IF((ROUNDDOWN((SUM(O46:O47)/51)-(R46+R47),0.9))&lt;0,0,(ROUNDDOWN((SUM(O46:O47)/51)-(R46+R47),0.9)))</f>
        <v>0</v>
      </c>
      <c r="U46" s="512">
        <f t="shared" ref="U46" si="20">IF((ROUNDDOWN((SUM(L46:O47)/51)-(R46+R47+S46+T46),0.9))&lt;0,0,ROUNDDOWN((SUM(L46:O47)/51)-(R46+R47+S46+T46),0.9))</f>
        <v>0</v>
      </c>
      <c r="W46" s="508"/>
      <c r="X46" s="518"/>
    </row>
    <row r="47" spans="3:24" ht="16.5" thickBot="1" x14ac:dyDescent="0.3">
      <c r="D47" s="225" t="s">
        <v>28</v>
      </c>
      <c r="E47" s="186">
        <f>'التمام الصباحي'!E23+'التمام الصباحي'!G23</f>
        <v>10.6</v>
      </c>
      <c r="F47" s="186">
        <f>'التمام الصباحي'!K23+'التمام الصباحي'!M23</f>
        <v>19</v>
      </c>
      <c r="G47" s="287"/>
      <c r="H47" s="186">
        <f>'التمام الصباحي'!W23+'التمام الصباحي'!Y23</f>
        <v>36</v>
      </c>
      <c r="K47" s="225" t="s">
        <v>28</v>
      </c>
      <c r="L47" s="227">
        <f t="shared" si="14"/>
        <v>0</v>
      </c>
      <c r="M47" s="227">
        <f t="shared" si="12"/>
        <v>17</v>
      </c>
      <c r="N47" s="226"/>
      <c r="O47" s="227">
        <f t="shared" ref="O47:O53" si="21">IF(H47&gt;101,102,IF(H47&gt;84,85,IF(H47&gt;67,68,IF(H47&gt;50,51,IF(H47&gt;33,34,IF(H47&gt;16,17,0))))))</f>
        <v>34</v>
      </c>
      <c r="P47" s="228"/>
      <c r="Q47" s="240" t="s">
        <v>29</v>
      </c>
      <c r="R47" s="241">
        <f t="shared" si="11"/>
        <v>1</v>
      </c>
      <c r="S47" s="510"/>
      <c r="T47" s="513"/>
      <c r="U47" s="513"/>
      <c r="W47" s="508"/>
      <c r="X47" s="519"/>
    </row>
    <row r="48" spans="3:24" ht="17.25" thickTop="1" thickBot="1" x14ac:dyDescent="0.3">
      <c r="D48" s="225" t="s">
        <v>29</v>
      </c>
      <c r="E48" s="287"/>
      <c r="F48" s="186">
        <f>'التمام الصباحي'!K24+'التمام الصباحي'!M24</f>
        <v>32</v>
      </c>
      <c r="G48" s="287"/>
      <c r="H48" s="186">
        <f>'التمام الصباحي'!W24+'التمام الصباحي'!Y24</f>
        <v>21</v>
      </c>
      <c r="K48" s="225" t="s">
        <v>29</v>
      </c>
      <c r="L48" s="226"/>
      <c r="M48" s="227">
        <f t="shared" si="12"/>
        <v>17</v>
      </c>
      <c r="N48" s="226"/>
      <c r="O48" s="227">
        <f t="shared" si="21"/>
        <v>17</v>
      </c>
      <c r="P48" s="228"/>
      <c r="Q48" s="234" t="s">
        <v>30</v>
      </c>
      <c r="R48" s="235">
        <f t="shared" si="11"/>
        <v>0</v>
      </c>
      <c r="S48" s="506">
        <f>IF((ROUNDDOWN((SUM(M48:M49)/51)-(R48+R49),0.9))&lt;0,0,(ROUNDDOWN((SUM(M48:M49)/51)-(R48+R49),0.9)))</f>
        <v>0</v>
      </c>
      <c r="T48" s="506">
        <f>IF((ROUNDDOWN((SUM(O48:O49)/51)-(R48+R49),0.9))&lt;0,0,(ROUNDDOWN((SUM(O48:O49)/51)-(R48+R49),0.9)))</f>
        <v>0</v>
      </c>
      <c r="U48" s="506">
        <f t="shared" ref="U48" si="22">IF((ROUNDDOWN((SUM(L48:O49)/51)-(R48+R49+S48+T48),0.9))&lt;0,0,ROUNDDOWN((SUM(L48:O49)/51)-(R48+R49+S48+T48),0.9))</f>
        <v>1</v>
      </c>
      <c r="W48" s="508" t="s">
        <v>90</v>
      </c>
      <c r="X48" s="517">
        <f>SUM(R48:U51)/3</f>
        <v>2</v>
      </c>
    </row>
    <row r="49" spans="4:24" ht="16.5" thickBot="1" x14ac:dyDescent="0.3">
      <c r="D49" s="225" t="s">
        <v>30</v>
      </c>
      <c r="E49" s="287"/>
      <c r="F49" s="186">
        <f>'التمام الصباحي'!K25+'التمام الصباحي'!M25</f>
        <v>26</v>
      </c>
      <c r="G49" s="186">
        <f>'التمام الصباحي'!Q25+'التمام الصباحي'!S25</f>
        <v>10</v>
      </c>
      <c r="H49" s="186">
        <f>'التمام الصباحي'!W25+'التمام الصباحي'!Y25</f>
        <v>79</v>
      </c>
      <c r="K49" s="225" t="s">
        <v>30</v>
      </c>
      <c r="L49" s="226"/>
      <c r="M49" s="227">
        <f t="shared" si="12"/>
        <v>17</v>
      </c>
      <c r="N49" s="227">
        <f t="shared" si="13"/>
        <v>0</v>
      </c>
      <c r="O49" s="227">
        <f t="shared" si="21"/>
        <v>68</v>
      </c>
      <c r="P49" s="228"/>
      <c r="Q49" s="236" t="s">
        <v>31</v>
      </c>
      <c r="R49" s="237">
        <f t="shared" si="11"/>
        <v>1</v>
      </c>
      <c r="S49" s="507"/>
      <c r="T49" s="507"/>
      <c r="U49" s="507"/>
      <c r="W49" s="508"/>
      <c r="X49" s="518"/>
    </row>
    <row r="50" spans="4:24" ht="17.25" thickTop="1" thickBot="1" x14ac:dyDescent="0.3">
      <c r="D50" s="225" t="s">
        <v>31</v>
      </c>
      <c r="E50" s="287"/>
      <c r="F50" s="186">
        <f>'التمام الصباحي'!K26+'التمام الصباحي'!M26</f>
        <v>57</v>
      </c>
      <c r="G50" s="186">
        <f>'التمام الصباحي'!Q26+'التمام الصباحي'!S26</f>
        <v>16</v>
      </c>
      <c r="H50" s="186">
        <f>'التمام الصباحي'!W26+'التمام الصباحي'!Y26</f>
        <v>100</v>
      </c>
      <c r="K50" s="225" t="s">
        <v>31</v>
      </c>
      <c r="L50" s="226"/>
      <c r="M50" s="227">
        <f t="shared" si="12"/>
        <v>51</v>
      </c>
      <c r="N50" s="227">
        <f t="shared" si="13"/>
        <v>0</v>
      </c>
      <c r="O50" s="227">
        <f t="shared" si="21"/>
        <v>85</v>
      </c>
      <c r="P50" s="228"/>
      <c r="Q50" s="238" t="s">
        <v>32</v>
      </c>
      <c r="R50" s="239">
        <f t="shared" si="11"/>
        <v>2</v>
      </c>
      <c r="S50" s="510">
        <f>IF((ROUNDDOWN((SUM(M50:M51)/51)-(R50+R51),0.9))&lt;0,0,(ROUNDDOWN((SUM(M50:M51)/51)-(R50+R51),0.9)))</f>
        <v>0</v>
      </c>
      <c r="T50" s="510">
        <f>IF((ROUNDDOWN((SUM(O50:O51)/51)-(R50+R51),0.9))&lt;0,0,(ROUNDDOWN((SUM(O50:O51)/51)-(R50+R51),0.9)))</f>
        <v>0</v>
      </c>
      <c r="U50" s="510">
        <f t="shared" ref="U50" si="23">IF((ROUNDDOWN((SUM(L50:O51)/51)-(R50+R51+S50+T50),0.9))&lt;0,0,ROUNDDOWN((SUM(L50:O51)/51)-(R50+R51+S50+T50),0.9))</f>
        <v>1</v>
      </c>
      <c r="W50" s="508"/>
      <c r="X50" s="518"/>
    </row>
    <row r="51" spans="4:24" ht="16.5" thickBot="1" x14ac:dyDescent="0.3">
      <c r="D51" s="225" t="s">
        <v>32</v>
      </c>
      <c r="E51" s="287"/>
      <c r="F51" s="186">
        <f>'التمام الصباحي'!K27+'التمام الصباحي'!M27</f>
        <v>50</v>
      </c>
      <c r="G51" s="186">
        <f>'التمام الصباحي'!Q27+'التمام الصباحي'!S27</f>
        <v>8</v>
      </c>
      <c r="H51" s="186">
        <f>'التمام الصباحي'!W27+'التمام الصباحي'!Y27</f>
        <v>40</v>
      </c>
      <c r="K51" s="225" t="s">
        <v>32</v>
      </c>
      <c r="L51" s="226"/>
      <c r="M51" s="227">
        <f t="shared" si="12"/>
        <v>34</v>
      </c>
      <c r="N51" s="227">
        <f t="shared" si="13"/>
        <v>0</v>
      </c>
      <c r="O51" s="227">
        <f t="shared" si="21"/>
        <v>34</v>
      </c>
      <c r="P51" s="228"/>
      <c r="Q51" s="248" t="s">
        <v>33</v>
      </c>
      <c r="R51" s="249">
        <f t="shared" si="11"/>
        <v>1</v>
      </c>
      <c r="S51" s="511"/>
      <c r="T51" s="511"/>
      <c r="U51" s="511"/>
      <c r="W51" s="508"/>
      <c r="X51" s="519"/>
    </row>
    <row r="52" spans="4:24" ht="16.5" thickBot="1" x14ac:dyDescent="0.3">
      <c r="D52" s="225" t="s">
        <v>33</v>
      </c>
      <c r="E52" s="287"/>
      <c r="F52" s="186">
        <f>'التمام الصباحي'!K28+'التمام الصباحي'!M28</f>
        <v>41</v>
      </c>
      <c r="G52" s="186">
        <f>'التمام الصباحي'!Q28+'التمام الصباحي'!S28</f>
        <v>7</v>
      </c>
      <c r="H52" s="186">
        <f>'التمام الصباحي'!W28+'التمام الصباحي'!Y28</f>
        <v>39</v>
      </c>
      <c r="K52" s="225" t="s">
        <v>33</v>
      </c>
      <c r="L52" s="226"/>
      <c r="M52" s="227">
        <f t="shared" si="12"/>
        <v>34</v>
      </c>
      <c r="N52" s="227">
        <f t="shared" si="13"/>
        <v>0</v>
      </c>
      <c r="O52" s="227">
        <f t="shared" si="21"/>
        <v>34</v>
      </c>
    </row>
    <row r="53" spans="4:24" ht="16.5" thickBot="1" x14ac:dyDescent="0.3">
      <c r="D53" s="225" t="s">
        <v>112</v>
      </c>
      <c r="E53" s="186">
        <f>'التمام الصباحي'!E29+'التمام الصباحي'!G29</f>
        <v>16</v>
      </c>
      <c r="F53" s="186">
        <f>'التمام الصباحي'!K29+'التمام الصباحي'!M29</f>
        <v>21</v>
      </c>
      <c r="G53" s="186">
        <f>'التمام الصباحي'!Q29+'التمام الصباحي'!S29</f>
        <v>10</v>
      </c>
      <c r="H53" s="186">
        <f>'التمام الصباحي'!W29+'التمام الصباحي'!Y29</f>
        <v>36</v>
      </c>
      <c r="K53" s="225" t="s">
        <v>112</v>
      </c>
      <c r="L53" s="227">
        <f t="shared" si="14"/>
        <v>0</v>
      </c>
      <c r="M53" s="227">
        <f t="shared" si="12"/>
        <v>17</v>
      </c>
      <c r="N53" s="227">
        <f t="shared" si="13"/>
        <v>0</v>
      </c>
      <c r="O53" s="227">
        <f t="shared" si="21"/>
        <v>34</v>
      </c>
    </row>
    <row r="54" spans="4:24" ht="16.5" thickBot="1" x14ac:dyDescent="0.3">
      <c r="D54" s="225" t="s">
        <v>121</v>
      </c>
      <c r="E54" s="287"/>
      <c r="F54" s="186">
        <f>'التمام الصباحي'!K30+'التمام الصباحي'!M30</f>
        <v>33</v>
      </c>
      <c r="G54" s="186">
        <f>'التمام الصباحي'!Q30+'التمام الصباحي'!S30</f>
        <v>9</v>
      </c>
      <c r="H54" s="343"/>
      <c r="K54" s="225" t="s">
        <v>121</v>
      </c>
      <c r="L54" s="226"/>
      <c r="M54" s="227">
        <f t="shared" si="12"/>
        <v>17</v>
      </c>
      <c r="N54" s="227">
        <f t="shared" si="13"/>
        <v>0</v>
      </c>
      <c r="O54" s="226"/>
    </row>
    <row r="55" spans="4:24" ht="16.5" thickBot="1" x14ac:dyDescent="0.3">
      <c r="D55" s="342" t="s">
        <v>168</v>
      </c>
      <c r="E55" s="287"/>
      <c r="F55" s="186">
        <f>'التمام الصباحي'!K31+'التمام الصباحي'!M31</f>
        <v>37</v>
      </c>
      <c r="G55" s="186">
        <f>'التمام الصباحي'!Q31+'التمام الصباحي'!S31</f>
        <v>21</v>
      </c>
      <c r="H55" s="343"/>
      <c r="K55" s="342" t="s">
        <v>168</v>
      </c>
      <c r="L55" s="226"/>
      <c r="M55" s="227">
        <f t="shared" si="12"/>
        <v>34</v>
      </c>
      <c r="N55" s="227">
        <f t="shared" si="13"/>
        <v>17</v>
      </c>
      <c r="O55" s="226"/>
    </row>
    <row r="56" spans="4:24" ht="16.5" thickBot="1" x14ac:dyDescent="0.3">
      <c r="D56" s="342" t="s">
        <v>169</v>
      </c>
      <c r="E56" s="287"/>
      <c r="F56" s="186">
        <f>'التمام الصباحي'!K32+'التمام الصباحي'!M32</f>
        <v>88</v>
      </c>
      <c r="G56" s="186">
        <f>'التمام الصباحي'!Q32+'التمام الصباحي'!S32</f>
        <v>26</v>
      </c>
      <c r="H56" s="343"/>
      <c r="K56" s="342" t="s">
        <v>169</v>
      </c>
      <c r="L56" s="226"/>
      <c r="M56" s="227">
        <f t="shared" si="12"/>
        <v>85</v>
      </c>
      <c r="N56" s="227">
        <f t="shared" si="13"/>
        <v>17</v>
      </c>
      <c r="O56" s="226"/>
    </row>
    <row r="57" spans="4:24" ht="16.5" thickBot="1" x14ac:dyDescent="0.3">
      <c r="D57" s="308" t="s">
        <v>170</v>
      </c>
      <c r="E57" s="287"/>
      <c r="F57" s="186">
        <f>'التمام الصباحي'!K33+'التمام الصباحي'!M33</f>
        <v>63</v>
      </c>
      <c r="G57" s="186">
        <f>'التمام الصباحي'!Q33+'التمام الصباحي'!S33</f>
        <v>19</v>
      </c>
      <c r="H57" s="343"/>
      <c r="K57" s="308" t="s">
        <v>170</v>
      </c>
      <c r="L57" s="226"/>
      <c r="M57" s="227">
        <f t="shared" si="12"/>
        <v>51</v>
      </c>
      <c r="N57" s="227">
        <f t="shared" si="13"/>
        <v>17</v>
      </c>
      <c r="O57" s="226"/>
    </row>
    <row r="58" spans="4:24" ht="16.5" thickBot="1" x14ac:dyDescent="0.3">
      <c r="D58" s="308" t="s">
        <v>171</v>
      </c>
      <c r="E58" s="287"/>
      <c r="F58" s="186">
        <f>'التمام الصباحي'!K34+'التمام الصباحي'!M34</f>
        <v>88</v>
      </c>
      <c r="G58" s="186">
        <f>'التمام الصباحي'!Q34+'التمام الصباحي'!S34</f>
        <v>30</v>
      </c>
      <c r="H58" s="343"/>
      <c r="K58" s="308" t="s">
        <v>171</v>
      </c>
      <c r="L58" s="226"/>
      <c r="M58" s="227">
        <f t="shared" si="12"/>
        <v>85</v>
      </c>
      <c r="N58" s="227">
        <f t="shared" si="13"/>
        <v>17</v>
      </c>
      <c r="O58" s="226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0">
        <f>'خطة الإمداد'!X32</f>
        <v>3.3333333333333335</v>
      </c>
    </row>
    <row r="3" spans="1:2" x14ac:dyDescent="0.2">
      <c r="A3" t="s">
        <v>85</v>
      </c>
      <c r="B3" s="130">
        <f>'خطة الإمداد'!X40</f>
        <v>1.3333333333333333</v>
      </c>
    </row>
    <row r="4" spans="1:2" x14ac:dyDescent="0.2">
      <c r="A4" t="s">
        <v>109</v>
      </c>
      <c r="B4" s="130">
        <f>'خطة الإمداد'!X44</f>
        <v>1</v>
      </c>
    </row>
    <row r="5" spans="1:2" x14ac:dyDescent="0.2">
      <c r="A5" t="s">
        <v>90</v>
      </c>
      <c r="B5" s="130">
        <f>'خطة الإمداد'!X48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2019-09-09T13:19:49Z</cp:lastPrinted>
  <dcterms:created xsi:type="dcterms:W3CDTF">2018-10-24T15:18:02Z</dcterms:created>
  <dcterms:modified xsi:type="dcterms:W3CDTF">2019-09-10T06:09:13Z</dcterms:modified>
</cp:coreProperties>
</file>