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كليه\Data Analysis\Excel Masterwork\work sheet\"/>
    </mc:Choice>
  </mc:AlternateContent>
  <xr:revisionPtr revIDLastSave="0" documentId="13_ncr:1_{6F032FB4-E069-4DC3-8CEB-C8A81F2CDFA3}" xr6:coauthVersionLast="47" xr6:coauthVersionMax="47" xr10:uidLastSave="{00000000-0000-0000-0000-000000000000}"/>
  <bookViews>
    <workbookView xWindow="-108" yWindow="-108" windowWidth="23256" windowHeight="12576" activeTab="1" xr2:uid="{299B3D1C-A498-42CD-9213-E8CFD173F9CF}"/>
  </bookViews>
  <sheets>
    <sheet name="Sheet1 (2)" sheetId="2" r:id="rId1"/>
    <sheet name="Sheet1" sheetId="1" r:id="rId2"/>
  </sheets>
  <definedNames>
    <definedName name="ExternalData_1" localSheetId="0" hidden="1">'Sheet1 (2)'!$A$1:$AH$13</definedName>
    <definedName name="_xlnm.Print_Area" localSheetId="1">Sheet1!$C$1:$P$33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1" l="1"/>
  <c r="AI39" i="1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B14" i="2"/>
  <c r="AH14" i="2"/>
  <c r="Y41" i="1" l="1"/>
  <c r="Z41" i="1" s="1"/>
  <c r="Y39" i="1"/>
  <c r="Z39" i="1" s="1"/>
  <c r="Y40" i="1"/>
  <c r="Z40" i="1" s="1"/>
  <c r="Y36" i="1"/>
  <c r="Z36" i="1" s="1"/>
  <c r="Y31" i="1"/>
  <c r="AK32" i="1" s="1"/>
  <c r="Y35" i="1"/>
  <c r="Y24" i="1"/>
  <c r="Y34" i="1"/>
  <c r="Y33" i="1"/>
  <c r="Y30" i="1"/>
  <c r="Y26" i="1"/>
  <c r="Y25" i="1"/>
  <c r="Y32" i="1"/>
  <c r="Z32" i="1" s="1"/>
  <c r="Y23" i="1"/>
  <c r="Y29" i="1"/>
  <c r="Y28" i="1"/>
  <c r="Y27" i="1"/>
  <c r="Y22" i="1"/>
  <c r="Y21" i="1"/>
  <c r="Y38" i="1"/>
  <c r="Y37" i="1"/>
  <c r="Y19" i="1"/>
  <c r="Y20" i="1"/>
  <c r="Y5" i="1"/>
  <c r="Y16" i="1"/>
  <c r="Y14" i="1"/>
  <c r="Y17" i="1"/>
  <c r="Y15" i="1"/>
  <c r="Y13" i="1"/>
  <c r="Y18" i="1"/>
  <c r="Y12" i="1"/>
  <c r="Y11" i="1"/>
  <c r="Z5" i="1"/>
  <c r="Z35" i="1" l="1"/>
  <c r="AA35" i="1" s="1"/>
  <c r="AJ31" i="1"/>
  <c r="AJ33" i="1"/>
  <c r="Z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943CD7-E1AA-4D62-95DE-0C98547895F0}" keepAlive="1" name="Query - Sheet1" description="Connection to the 'Sheet1' query in the workbook." type="5" refreshedVersion="7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<sst xmlns="http://schemas.openxmlformats.org/spreadsheetml/2006/main" count="83" uniqueCount="51">
  <si>
    <t>Month</t>
  </si>
  <si>
    <t>Saudis</t>
  </si>
  <si>
    <t>Non-Sauids</t>
  </si>
  <si>
    <t># Headcount</t>
  </si>
  <si>
    <t>% Saudization</t>
  </si>
  <si>
    <t># Sick Leave</t>
  </si>
  <si>
    <t># Hours Late</t>
  </si>
  <si>
    <t># Unpaid Leaves</t>
  </si>
  <si>
    <t>$ Incentive</t>
  </si>
  <si>
    <t>$ Overtime</t>
  </si>
  <si>
    <t>$ Payroll</t>
  </si>
  <si>
    <t># Leavers</t>
  </si>
  <si>
    <t># Joiners</t>
  </si>
  <si>
    <t>% Outsource</t>
  </si>
  <si>
    <t># Part Timers</t>
  </si>
  <si>
    <t># Employees Aged &gt;50</t>
  </si>
  <si>
    <t>% Of Females</t>
  </si>
  <si>
    <t># Corrective Actions</t>
  </si>
  <si>
    <t># Contract Termination</t>
  </si>
  <si>
    <t># Probation Period Termination</t>
  </si>
  <si>
    <t># Leavers With Service Less Than 3 Years</t>
  </si>
  <si>
    <t>% Turnover</t>
  </si>
  <si>
    <t># Retried Employees</t>
  </si>
  <si>
    <t>Avg Age</t>
  </si>
  <si>
    <t>% Hr Expenses Vs Budget</t>
  </si>
  <si>
    <t># Training Hours</t>
  </si>
  <si>
    <t># Trained Employees</t>
  </si>
  <si>
    <t># HR Headcount</t>
  </si>
  <si>
    <t>% Automated Processes</t>
  </si>
  <si>
    <t>% High Performers</t>
  </si>
  <si>
    <t>% Low Performers</t>
  </si>
  <si>
    <t>% Training Effectiveness Index</t>
  </si>
  <si>
    <t>% Training Plan Achieved'</t>
  </si>
  <si>
    <t>% Manpower Plan Achieved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</si>
  <si>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</si>
  <si>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</si>
  <si>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</si>
  <si>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</si>
  <si>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</si>
  <si>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</si>
  <si>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</si>
  <si>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</si>
  <si>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</si>
  <si>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</si>
  <si>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</si>
  <si>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</si>
  <si>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</si>
  <si>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month</t>
  </si>
  <si>
    <t>saudi</t>
  </si>
  <si>
    <t>non-saudi</t>
  </si>
  <si>
    <t>Dashboard Human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</si>
</sst>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(&quot;$&quot;* #,##0_);_(&quot;$&quot;* \(#,##0\);_(&quot;$&quot;* &quot;-&quot;_);_(@_)"/>
  </numFmts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1"/>
      <name val="Agency FB"/>
      <family val="2"/>
    </font>
    <font>
      <b/>
      <sz val="20"/>
      <color theme="4"/>
      <name val="Arial"/>
      <family val="2"/>
      <scheme val="minor"/>
    </font>
    <font>
      <b/>
      <sz val="12"/>
      <color theme="1" tint="0.499984740745262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theme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NumberFormat="1"/>
    <xf numFmtId="0" fontId="0" fillId="3" borderId="0" xfId="0" applyFill="1"/>
    <xf numFmtId="0" fontId="0" fillId="4" borderId="0" xfId="0" applyFill="1"/>
    <xf numFmtId="0" fontId="2" fillId="2" borderId="1" xfId="0" applyFont="1" applyFill="1" applyBorder="1"/>
    <xf numFmtId="0" fontId="0" fillId="3" borderId="1" xfId="0" applyFill="1" applyBorder="1"/>
    <xf numFmtId="0" fontId="2" fillId="2" borderId="2" xfId="0" applyFont="1" applyFill="1" applyBorder="1"/>
    <xf numFmtId="0" fontId="0" fillId="3" borderId="2" xfId="0" applyFill="1" applyBorder="1"/>
    <xf numFmtId="0" fontId="0" fillId="3" borderId="0" xfId="0" applyFill="1" applyBorder="1"/>
    <xf numFmtId="0" fontId="2" fillId="5" borderId="0" xfId="0" applyFont="1" applyFill="1" applyBorder="1"/>
    <xf numFmtId="3" fontId="0" fillId="3" borderId="1" xfId="0" applyNumberFormat="1" applyFill="1" applyBorder="1"/>
    <xf numFmtId="9" fontId="0" fillId="3" borderId="2" xfId="1" applyNumberFormat="1" applyFont="1" applyFill="1" applyBorder="1"/>
    <xf numFmtId="42" fontId="0" fillId="3" borderId="1" xfId="0" applyNumberFormat="1" applyFill="1" applyBorder="1"/>
    <xf numFmtId="1" fontId="0" fillId="3" borderId="1" xfId="0" applyNumberFormat="1" applyFill="1" applyBorder="1"/>
    <xf numFmtId="9" fontId="0" fillId="3" borderId="1" xfId="0" applyNumberFormat="1" applyFill="1" applyBorder="1"/>
    <xf numFmtId="0" fontId="3" fillId="3" borderId="0" xfId="0" applyFont="1" applyFill="1"/>
    <xf numFmtId="9" fontId="0" fillId="3" borderId="1" xfId="1" applyFont="1" applyFill="1" applyBorder="1"/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1" defaultTableStyle="TableStyleMedium2" defaultPivotStyle="PivotStyleLight16">
    <tableStyle name="Invisible" pivot="0" table="0" count="0" xr9:uid="{2954CCF2-6255-4612-9C14-EAB8A2EF529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>
                <a:latin typeface="Agency FB" panose="020B0503020202020204" pitchFamily="34" charset="0"/>
              </a:rPr>
              <a:t>Saudi</a:t>
            </a:r>
            <a:r>
              <a:rPr lang="en-US" sz="1800" b="0" baseline="0">
                <a:latin typeface="Agency FB" panose="020B0503020202020204" pitchFamily="34" charset="0"/>
              </a:rPr>
              <a:t> vs Non-Saudi</a:t>
            </a:r>
            <a:endParaRPr lang="en-US" sz="1800" b="0">
              <a:latin typeface="Agency FB" panose="020B0503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Sheet1!$X$5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DC-4E6B-B3C7-BB09D3F224A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DC-4E6B-B3C7-BB09D3F224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Sheet1!$Y$4:$Z$4</c:f>
              <c:strCache>
                <c:ptCount val="2"/>
                <c:pt idx="0">
                  <c:v>saudi</c:v>
                </c:pt>
                <c:pt idx="1">
                  <c:v>non-saudi</c:v>
                </c:pt>
              </c:strCache>
            </c:strRef>
          </c:cat>
          <c:val>
            <c:numRef>
              <c:f>Sheet1!$Y$5:$Z$5</c:f>
              <c:numCache>
                <c:formatCode>General</c:formatCode>
                <c:ptCount val="2"/>
                <c:pt idx="0">
                  <c:v>1110</c:v>
                </c:pt>
                <c:pt idx="1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C-4E6B-B3C7-BB09D3F224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8546791452558"/>
          <c:y val="4.0529433820772405E-2"/>
          <c:w val="0.72467965313859573"/>
          <c:h val="0.9130963629546307"/>
        </c:manualLayout>
      </c:layout>
      <c:doughnutChart>
        <c:varyColors val="1"/>
        <c:ser>
          <c:idx val="0"/>
          <c:order val="0"/>
          <c:spPr>
            <a:pattFill prst="pct25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BF-46A7-8155-EC31DE78C66F}"/>
              </c:ext>
            </c:extLst>
          </c:dPt>
          <c:dPt>
            <c:idx val="1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BF-46A7-8155-EC31DE78C66F}"/>
              </c:ext>
            </c:extLst>
          </c:dPt>
          <c:dPt>
            <c:idx val="2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BF-46A7-8155-EC31DE78C66F}"/>
              </c:ext>
            </c:extLst>
          </c:dPt>
          <c:dPt>
            <c:idx val="3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4BF-46A7-8155-EC31DE78C66F}"/>
              </c:ext>
            </c:extLst>
          </c:dPt>
          <c:dPt>
            <c:idx val="4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4BF-46A7-8155-EC31DE78C66F}"/>
              </c:ext>
            </c:extLst>
          </c:dPt>
          <c:dPt>
            <c:idx val="5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4BF-46A7-8155-EC31DE78C66F}"/>
              </c:ext>
            </c:extLst>
          </c:dPt>
          <c:dPt>
            <c:idx val="6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4BF-46A7-8155-EC31DE78C66F}"/>
              </c:ext>
            </c:extLst>
          </c:dPt>
          <c:dPt>
            <c:idx val="7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4BF-46A7-8155-EC31DE78C66F}"/>
              </c:ext>
            </c:extLst>
          </c:dPt>
          <c:dPt>
            <c:idx val="8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4BF-46A7-8155-EC31DE78C66F}"/>
              </c:ext>
            </c:extLst>
          </c:dPt>
          <c:dPt>
            <c:idx val="9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4BF-46A7-8155-EC31DE78C66F}"/>
              </c:ext>
            </c:extLst>
          </c:dPt>
          <c:dPt>
            <c:idx val="10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4BF-46A7-8155-EC31DE78C66F}"/>
              </c:ext>
            </c:extLst>
          </c:dPt>
          <c:dPt>
            <c:idx val="11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4BF-46A7-8155-EC31DE78C66F}"/>
              </c:ext>
            </c:extLst>
          </c:dPt>
          <c:dPt>
            <c:idx val="12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4BF-46A7-8155-EC31DE78C66F}"/>
              </c:ext>
            </c:extLst>
          </c:dPt>
          <c:dPt>
            <c:idx val="13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4BF-46A7-8155-EC31DE78C66F}"/>
              </c:ext>
            </c:extLst>
          </c:dPt>
          <c:dPt>
            <c:idx val="14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4BF-46A7-8155-EC31DE78C66F}"/>
              </c:ext>
            </c:extLst>
          </c:dPt>
          <c:dPt>
            <c:idx val="15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4BF-46A7-8155-EC31DE78C66F}"/>
              </c:ext>
            </c:extLst>
          </c:dPt>
          <c:dPt>
            <c:idx val="16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4BF-46A7-8155-EC31DE78C66F}"/>
              </c:ext>
            </c:extLst>
          </c:dPt>
          <c:dPt>
            <c:idx val="17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4BF-46A7-8155-EC31DE78C66F}"/>
              </c:ext>
            </c:extLst>
          </c:dPt>
          <c:dPt>
            <c:idx val="18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4BF-46A7-8155-EC31DE78C66F}"/>
              </c:ext>
            </c:extLst>
          </c:dPt>
          <c:dPt>
            <c:idx val="19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4BF-46A7-8155-EC31DE78C66F}"/>
              </c:ext>
            </c:extLst>
          </c:dPt>
          <c:val>
            <c:numRef>
              <c:f>Sheet1!$AI$19:$AI$38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4BF-46A7-8155-EC31DE78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13B0-4636-AB2F-B292574EE3E2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3B0-4636-AB2F-B292574EE3E2}"/>
              </c:ext>
            </c:extLst>
          </c:dPt>
          <c:val>
            <c:numRef>
              <c:f>Sheet1!$Y$41:$Z$41</c:f>
              <c:numCache>
                <c:formatCode>0%</c:formatCode>
                <c:ptCount val="2"/>
                <c:pt idx="0">
                  <c:v>0.9</c:v>
                </c:pt>
                <c:pt idx="1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3B0-4636-AB2F-B292574E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39-4B1B-B9A6-DEA9BB3D3BA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4E-4F51-B7A5-C58902B0F7DF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bg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ar-EG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D4E-4F51-B7A5-C58902B0F7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Sheet1!$X$19:$X$20</c:f>
              <c:strCache>
                <c:ptCount val="2"/>
                <c:pt idx="0">
                  <c:v># Leavers</c:v>
                </c:pt>
                <c:pt idx="1">
                  <c:v># Joiners</c:v>
                </c:pt>
              </c:strCache>
            </c:strRef>
          </c:cat>
          <c:val>
            <c:numRef>
              <c:f>Sheet1!$Y$19:$Y$20</c:f>
              <c:numCache>
                <c:formatCode>0</c:formatCode>
                <c:ptCount val="2"/>
                <c:pt idx="0">
                  <c:v>233</c:v>
                </c:pt>
                <c:pt idx="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4F51-B7A5-C58902B0F7D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5576319"/>
        <c:axId val="1165580895"/>
      </c:barChart>
      <c:catAx>
        <c:axId val="116557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165580895"/>
        <c:crosses val="autoZero"/>
        <c:auto val="1"/>
        <c:lblAlgn val="ctr"/>
        <c:lblOffset val="100"/>
        <c:noMultiLvlLbl val="0"/>
      </c:catAx>
      <c:valAx>
        <c:axId val="1165580895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16557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A2-492B-964B-D8F2DED7C534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41C-42D3-BF53-CEAF926E2F5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ar-EG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DA2-492B-964B-D8F2DED7C53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ar-EG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41C-42D3-BF53-CEAF926E2F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Sheet1!$X$37:$X$38</c:f>
              <c:strCache>
                <c:ptCount val="2"/>
                <c:pt idx="0">
                  <c:v>% High Performers</c:v>
                </c:pt>
                <c:pt idx="1">
                  <c:v>% Low Performers</c:v>
                </c:pt>
              </c:strCache>
            </c:strRef>
          </c:cat>
          <c:val>
            <c:numRef>
              <c:f>Sheet1!$Y$37:$Y$38</c:f>
              <c:numCache>
                <c:formatCode>0%</c:formatCode>
                <c:ptCount val="2"/>
                <c:pt idx="0">
                  <c:v>0.12</c:v>
                </c:pt>
                <c:pt idx="1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C-42D3-BF53-CEAF926E2F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8341935"/>
        <c:axId val="1358343183"/>
      </c:barChart>
      <c:catAx>
        <c:axId val="135834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358343183"/>
        <c:crosses val="autoZero"/>
        <c:auto val="1"/>
        <c:lblAlgn val="ctr"/>
        <c:lblOffset val="100"/>
        <c:noMultiLvlLbl val="0"/>
      </c:catAx>
      <c:valAx>
        <c:axId val="135834318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35834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920" b="0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Agency FB" panose="020B0503020202020204" pitchFamily="34" charset="0"/>
                <a:ea typeface="+mn-ea"/>
                <a:cs typeface="Arial"/>
              </a:defRPr>
            </a:pPr>
            <a:r>
              <a:rPr lang="en-US" sz="1600"/>
              <a:t>HR BudgetConsumption</a:t>
            </a:r>
            <a:endParaRPr lang="ar-EG" sz="1600"/>
          </a:p>
        </c:rich>
      </c:tx>
      <c:layout>
        <c:manualLayout>
          <c:xMode val="edge"/>
          <c:yMode val="edge"/>
          <c:x val="0.23449707847087714"/>
          <c:y val="4.7080979284369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920" b="0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Arial"/>
            </a:defRPr>
          </a:pPr>
          <a:endParaRPr lang="ar-EG"/>
        </a:p>
      </c:txPr>
    </c:title>
    <c:autoTitleDeleted val="0"/>
    <c:plotArea>
      <c:layout>
        <c:manualLayout>
          <c:layoutTarget val="inner"/>
          <c:xMode val="edge"/>
          <c:yMode val="edge"/>
          <c:x val="4.9813200498132003E-2"/>
          <c:y val="0.23540489642184556"/>
          <c:w val="0.908675799086758"/>
          <c:h val="0.6351224105461393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gency FB" panose="020B0503020202020204" pitchFamily="34" charset="0"/>
                    <a:ea typeface="+mn-ea"/>
                    <a:cs typeface="Arial"/>
                  </a:defRPr>
                </a:pPr>
                <a:endParaRPr lang="ar-E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Sheet1!$X$32</c:f>
              <c:strCache>
                <c:ptCount val="1"/>
                <c:pt idx="0">
                  <c:v>% Hr Expenses Vs Budget</c:v>
                </c:pt>
              </c:strCache>
            </c:strRef>
          </c:cat>
          <c:val>
            <c:numRef>
              <c:f>Sheet1!$Y$32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C-4F44-8763-0D9E71B37F23}"/>
            </c:ext>
          </c:extLst>
        </c:ser>
        <c:ser>
          <c:idx val="1"/>
          <c:order val="1"/>
          <c:spPr>
            <a:pattFill prst="pct25">
              <a:fgClr>
                <a:schemeClr val="tx1">
                  <a:lumMod val="50000"/>
                  <a:lumOff val="50000"/>
                </a:schemeClr>
              </a:fgClr>
              <a:bgClr>
                <a:schemeClr val="bg2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gency FB" panose="020B0503020202020204" pitchFamily="34" charset="0"/>
                    <a:ea typeface="+mn-ea"/>
                    <a:cs typeface="Arial"/>
                  </a:defRPr>
                </a:pPr>
                <a:endParaRPr lang="ar-E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Sheet1!$X$32</c:f>
              <c:strCache>
                <c:ptCount val="1"/>
                <c:pt idx="0">
                  <c:v>% Hr Expenses Vs Budget</c:v>
                </c:pt>
              </c:strCache>
            </c:strRef>
          </c:cat>
          <c:val>
            <c:numRef>
              <c:f>Sheet1!$Z$32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8C-4F44-8763-0D9E71B37F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4"/>
        <c:overlap val="100"/>
        <c:axId val="1591418464"/>
        <c:axId val="1591425536"/>
      </c:barChart>
      <c:catAx>
        <c:axId val="1591418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1425536"/>
        <c:crosses val="autoZero"/>
        <c:auto val="1"/>
        <c:lblAlgn val="ctr"/>
        <c:lblOffset val="100"/>
        <c:noMultiLvlLbl val="0"/>
      </c:catAx>
      <c:valAx>
        <c:axId val="1591425536"/>
        <c:scaling>
          <c:orientation val="minMax"/>
          <c:max val="1"/>
        </c:scaling>
        <c:delete val="1"/>
        <c:axPos val="b"/>
        <c:numFmt formatCode="0%" sourceLinked="1"/>
        <c:majorTickMark val="out"/>
        <c:minorTickMark val="none"/>
        <c:tickLblPos val="nextTo"/>
        <c:crossAx val="159141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600" b="0" i="0" u="none" strike="noStrike">
          <a:solidFill>
            <a:schemeClr val="tx1">
              <a:lumMod val="50000"/>
              <a:lumOff val="50000"/>
            </a:schemeClr>
          </a:solidFill>
          <a:latin typeface="Agency FB" panose="020B0503020202020204" pitchFamily="34" charset="0"/>
          <a:ea typeface="+mn-ea"/>
          <a:cs typeface="Arial"/>
        </a:defRPr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7192982456143"/>
          <c:y val="3.8314176245210725E-2"/>
          <c:w val="0.66947368421052644"/>
          <c:h val="0.913793103448276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A7-45B1-BE4C-9B98AACDD465}"/>
              </c:ext>
            </c:extLst>
          </c:dPt>
          <c:dPt>
            <c:idx val="1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0A7-45B1-BE4C-9B98AACDD465}"/>
              </c:ext>
            </c:extLst>
          </c:dPt>
          <c:dLbls>
            <c:dLbl>
              <c:idx val="0"/>
              <c:layout>
                <c:manualLayout>
                  <c:x val="-5.7347670250896057E-2"/>
                  <c:y val="0.2467415211366735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accent1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ar-EG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52357971382612"/>
                      <c:h val="0.2140134019560403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0A7-45B1-BE4C-9B98AACDD4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Sheet1!$Z$35:$AA$35</c:f>
              <c:numCache>
                <c:formatCode>0%</c:formatCode>
                <c:ptCount val="2"/>
                <c:pt idx="0">
                  <c:v>7.3753280839895019E-2</c:v>
                </c:pt>
                <c:pt idx="1">
                  <c:v>0.92624671916010493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7-45B1-BE4C-9B98AACDD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9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26055355120743"/>
          <c:y val="0.30754945064043648"/>
          <c:w val="0.74338433448327323"/>
          <c:h val="0.63014771024284411"/>
        </c:manualLayout>
      </c:layout>
      <c:barChart>
        <c:barDir val="col"/>
        <c:grouping val="stacked"/>
        <c:varyColors val="0"/>
        <c:ser>
          <c:idx val="1"/>
          <c:order val="0"/>
          <c:spPr>
            <a:pattFill prst="pct25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Sheet1!$AJ$31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22-4AD7-A55E-EE89AC8D0595}"/>
            </c:ext>
          </c:extLst>
        </c:ser>
        <c:ser>
          <c:idx val="2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Sheet1!$AJ$32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22-4AD7-A55E-EE89AC8D0595}"/>
            </c:ext>
          </c:extLst>
        </c:ser>
        <c:ser>
          <c:idx val="3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chemeClr val="accent5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222-4AD7-A55E-EE89AC8D0595}"/>
              </c:ext>
            </c:extLst>
          </c:dPt>
          <c:val>
            <c:numRef>
              <c:f>Sheet1!$AJ$33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22-4AD7-A55E-EE89AC8D0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1592619776"/>
        <c:axId val="1592618944"/>
      </c:barChart>
      <c:catAx>
        <c:axId val="159261977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92618944"/>
        <c:crosses val="autoZero"/>
        <c:auto val="1"/>
        <c:lblAlgn val="ctr"/>
        <c:lblOffset val="100"/>
        <c:noMultiLvlLbl val="0"/>
      </c:catAx>
      <c:valAx>
        <c:axId val="1592618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261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8546791452558"/>
          <c:y val="4.0529433820772405E-2"/>
          <c:w val="0.72467965313859573"/>
          <c:h val="0.9130963629546307"/>
        </c:manualLayout>
      </c:layout>
      <c:doughnutChart>
        <c:varyColors val="1"/>
        <c:ser>
          <c:idx val="0"/>
          <c:order val="0"/>
          <c:spPr>
            <a:pattFill prst="pct25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Sheet1!$AI$19:$AI$38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42-4086-AE32-8572C8C9D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0242-4086-AE32-8572C8C9D2B3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242-4086-AE32-8572C8C9D2B3}"/>
              </c:ext>
            </c:extLst>
          </c:dPt>
          <c:val>
            <c:numRef>
              <c:f>Sheet1!$Y$36:$Z$36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42-4086-AE32-8572C8C9D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8546791452558"/>
          <c:y val="4.0529433820772405E-2"/>
          <c:w val="0.72467965313859573"/>
          <c:h val="0.9130963629546307"/>
        </c:manualLayout>
      </c:layout>
      <c:doughnutChart>
        <c:varyColors val="1"/>
        <c:ser>
          <c:idx val="0"/>
          <c:order val="0"/>
          <c:spPr>
            <a:pattFill prst="pct25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BF-46A7-8155-EC31DE78C66F}"/>
              </c:ext>
            </c:extLst>
          </c:dPt>
          <c:dPt>
            <c:idx val="1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BF-46A7-8155-EC31DE78C66F}"/>
              </c:ext>
            </c:extLst>
          </c:dPt>
          <c:dPt>
            <c:idx val="2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BF-46A7-8155-EC31DE78C66F}"/>
              </c:ext>
            </c:extLst>
          </c:dPt>
          <c:dPt>
            <c:idx val="3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4BF-46A7-8155-EC31DE78C66F}"/>
              </c:ext>
            </c:extLst>
          </c:dPt>
          <c:dPt>
            <c:idx val="4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4BF-46A7-8155-EC31DE78C66F}"/>
              </c:ext>
            </c:extLst>
          </c:dPt>
          <c:dPt>
            <c:idx val="5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4BF-46A7-8155-EC31DE78C66F}"/>
              </c:ext>
            </c:extLst>
          </c:dPt>
          <c:dPt>
            <c:idx val="6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4BF-46A7-8155-EC31DE78C66F}"/>
              </c:ext>
            </c:extLst>
          </c:dPt>
          <c:dPt>
            <c:idx val="7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4BF-46A7-8155-EC31DE78C66F}"/>
              </c:ext>
            </c:extLst>
          </c:dPt>
          <c:dPt>
            <c:idx val="8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4BF-46A7-8155-EC31DE78C66F}"/>
              </c:ext>
            </c:extLst>
          </c:dPt>
          <c:dPt>
            <c:idx val="9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4BF-46A7-8155-EC31DE78C66F}"/>
              </c:ext>
            </c:extLst>
          </c:dPt>
          <c:dPt>
            <c:idx val="10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4BF-46A7-8155-EC31DE78C66F}"/>
              </c:ext>
            </c:extLst>
          </c:dPt>
          <c:dPt>
            <c:idx val="11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4BF-46A7-8155-EC31DE78C66F}"/>
              </c:ext>
            </c:extLst>
          </c:dPt>
          <c:dPt>
            <c:idx val="12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4BF-46A7-8155-EC31DE78C66F}"/>
              </c:ext>
            </c:extLst>
          </c:dPt>
          <c:dPt>
            <c:idx val="13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4BF-46A7-8155-EC31DE78C66F}"/>
              </c:ext>
            </c:extLst>
          </c:dPt>
          <c:dPt>
            <c:idx val="14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4BF-46A7-8155-EC31DE78C66F}"/>
              </c:ext>
            </c:extLst>
          </c:dPt>
          <c:dPt>
            <c:idx val="15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4BF-46A7-8155-EC31DE78C66F}"/>
              </c:ext>
            </c:extLst>
          </c:dPt>
          <c:dPt>
            <c:idx val="16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4BF-46A7-8155-EC31DE78C66F}"/>
              </c:ext>
            </c:extLst>
          </c:dPt>
          <c:dPt>
            <c:idx val="17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4BF-46A7-8155-EC31DE78C66F}"/>
              </c:ext>
            </c:extLst>
          </c:dPt>
          <c:dPt>
            <c:idx val="18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4BF-46A7-8155-EC31DE78C66F}"/>
              </c:ext>
            </c:extLst>
          </c:dPt>
          <c:dPt>
            <c:idx val="19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4BF-46A7-8155-EC31DE78C66F}"/>
              </c:ext>
            </c:extLst>
          </c:dPt>
          <c:val>
            <c:numRef>
              <c:f>Sheet1!$AI$19:$AI$38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4BF-46A7-8155-EC31DE78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tx>
            <c:strRef>
              <c:f>Sheet1!$Y$40:$Z$40</c:f>
              <c:strCache>
                <c:ptCount val="1"/>
                <c:pt idx="0">
                  <c:v>89% 11%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4BF-46A7-8155-EC31DE78C66F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Sheet1!$Y$40:$Z$40</c:f>
              <c:numCache>
                <c:formatCode>0%</c:formatCode>
                <c:ptCount val="2"/>
                <c:pt idx="0">
                  <c:v>0.89</c:v>
                </c:pt>
                <c:pt idx="1">
                  <c:v>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4BF-46A7-8155-EC31DE78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8546791452558"/>
          <c:y val="4.0529433820772405E-2"/>
          <c:w val="0.72467965313859573"/>
          <c:h val="0.9130963629546307"/>
        </c:manualLayout>
      </c:layout>
      <c:doughnutChart>
        <c:varyColors val="1"/>
        <c:ser>
          <c:idx val="0"/>
          <c:order val="0"/>
          <c:spPr>
            <a:pattFill prst="pct25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BF-46A7-8155-EC31DE78C66F}"/>
              </c:ext>
            </c:extLst>
          </c:dPt>
          <c:dPt>
            <c:idx val="1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BF-46A7-8155-EC31DE78C66F}"/>
              </c:ext>
            </c:extLst>
          </c:dPt>
          <c:dPt>
            <c:idx val="2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BF-46A7-8155-EC31DE78C66F}"/>
              </c:ext>
            </c:extLst>
          </c:dPt>
          <c:dPt>
            <c:idx val="3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4BF-46A7-8155-EC31DE78C66F}"/>
              </c:ext>
            </c:extLst>
          </c:dPt>
          <c:dPt>
            <c:idx val="4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4BF-46A7-8155-EC31DE78C66F}"/>
              </c:ext>
            </c:extLst>
          </c:dPt>
          <c:dPt>
            <c:idx val="5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4BF-46A7-8155-EC31DE78C66F}"/>
              </c:ext>
            </c:extLst>
          </c:dPt>
          <c:dPt>
            <c:idx val="6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4BF-46A7-8155-EC31DE78C66F}"/>
              </c:ext>
            </c:extLst>
          </c:dPt>
          <c:dPt>
            <c:idx val="7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4BF-46A7-8155-EC31DE78C66F}"/>
              </c:ext>
            </c:extLst>
          </c:dPt>
          <c:dPt>
            <c:idx val="8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4BF-46A7-8155-EC31DE78C66F}"/>
              </c:ext>
            </c:extLst>
          </c:dPt>
          <c:dPt>
            <c:idx val="9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4BF-46A7-8155-EC31DE78C66F}"/>
              </c:ext>
            </c:extLst>
          </c:dPt>
          <c:dPt>
            <c:idx val="10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4BF-46A7-8155-EC31DE78C66F}"/>
              </c:ext>
            </c:extLst>
          </c:dPt>
          <c:dPt>
            <c:idx val="11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4BF-46A7-8155-EC31DE78C66F}"/>
              </c:ext>
            </c:extLst>
          </c:dPt>
          <c:dPt>
            <c:idx val="12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4BF-46A7-8155-EC31DE78C66F}"/>
              </c:ext>
            </c:extLst>
          </c:dPt>
          <c:dPt>
            <c:idx val="13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4BF-46A7-8155-EC31DE78C66F}"/>
              </c:ext>
            </c:extLst>
          </c:dPt>
          <c:dPt>
            <c:idx val="14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4BF-46A7-8155-EC31DE78C66F}"/>
              </c:ext>
            </c:extLst>
          </c:dPt>
          <c:dPt>
            <c:idx val="15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4BF-46A7-8155-EC31DE78C66F}"/>
              </c:ext>
            </c:extLst>
          </c:dPt>
          <c:dPt>
            <c:idx val="16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4BF-46A7-8155-EC31DE78C66F}"/>
              </c:ext>
            </c:extLst>
          </c:dPt>
          <c:dPt>
            <c:idx val="17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4BF-46A7-8155-EC31DE78C66F}"/>
              </c:ext>
            </c:extLst>
          </c:dPt>
          <c:dPt>
            <c:idx val="18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4BF-46A7-8155-EC31DE78C66F}"/>
              </c:ext>
            </c:extLst>
          </c:dPt>
          <c:dPt>
            <c:idx val="19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4BF-46A7-8155-EC31DE78C66F}"/>
              </c:ext>
            </c:extLst>
          </c:dPt>
          <c:val>
            <c:numRef>
              <c:f>Sheet1!$AI$19:$AI$38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4BF-46A7-8155-EC31DE78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tx>
            <c:strRef>
              <c:f>Sheet1!$Y$40:$Z$40</c:f>
              <c:strCache>
                <c:ptCount val="1"/>
                <c:pt idx="0">
                  <c:v>89% 11%</c:v>
                </c:pt>
              </c:strCache>
            </c:strRef>
          </c:tx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7A2-4F22-B354-DBED54F478B1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27A2-4F22-B354-DBED54F478B1}"/>
              </c:ext>
            </c:extLst>
          </c:dPt>
          <c:val>
            <c:numRef>
              <c:f>Sheet1!$Y$40:$Z$40</c:f>
              <c:numCache>
                <c:formatCode>0%</c:formatCode>
                <c:ptCount val="2"/>
                <c:pt idx="0">
                  <c:v>0.89</c:v>
                </c:pt>
                <c:pt idx="1">
                  <c:v>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7A2-4F22-B354-DBED54F47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0.png"/><Relationship Id="rId18" Type="http://schemas.openxmlformats.org/officeDocument/2006/relationships/chart" Target="../charts/chart7.xml"/><Relationship Id="rId3" Type="http://schemas.openxmlformats.org/officeDocument/2006/relationships/image" Target="../media/image2.svg"/><Relationship Id="rId21" Type="http://schemas.openxmlformats.org/officeDocument/2006/relationships/chart" Target="../charts/chart10.xml"/><Relationship Id="rId7" Type="http://schemas.openxmlformats.org/officeDocument/2006/relationships/image" Target="../media/image6.png"/><Relationship Id="rId12" Type="http://schemas.openxmlformats.org/officeDocument/2006/relationships/chart" Target="../charts/chart3.xml"/><Relationship Id="rId17" Type="http://schemas.openxmlformats.org/officeDocument/2006/relationships/chart" Target="../charts/chart6.xml"/><Relationship Id="rId2" Type="http://schemas.openxmlformats.org/officeDocument/2006/relationships/image" Target="../media/image1.png"/><Relationship Id="rId16" Type="http://schemas.openxmlformats.org/officeDocument/2006/relationships/chart" Target="../charts/chart5.xml"/><Relationship Id="rId20" Type="http://schemas.openxmlformats.org/officeDocument/2006/relationships/chart" Target="../charts/chart9.xml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chart" Target="../charts/chart2.xml"/><Relationship Id="rId5" Type="http://schemas.openxmlformats.org/officeDocument/2006/relationships/image" Target="../media/image4.svg"/><Relationship Id="rId15" Type="http://schemas.openxmlformats.org/officeDocument/2006/relationships/chart" Target="../charts/chart4.xml"/><Relationship Id="rId10" Type="http://schemas.openxmlformats.org/officeDocument/2006/relationships/image" Target="../media/image9.png"/><Relationship Id="rId19" Type="http://schemas.openxmlformats.org/officeDocument/2006/relationships/chart" Target="../charts/chart8.xml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2</xdr:row>
      <xdr:rowOff>7620</xdr:rowOff>
    </xdr:from>
    <xdr:to>
      <xdr:col>6</xdr:col>
      <xdr:colOff>72390</xdr:colOff>
      <xdr:row>14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238E0-031A-4296-BADD-CBF4429DC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2</xdr:row>
      <xdr:rowOff>15240</xdr:rowOff>
    </xdr:from>
    <xdr:to>
      <xdr:col>7</xdr:col>
      <xdr:colOff>239268</xdr:colOff>
      <xdr:row>8</xdr:row>
      <xdr:rowOff>42672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5B242E6-F1C0-466B-8092-C7057D86C8B4}"/>
            </a:ext>
          </a:extLst>
        </xdr:cNvPr>
        <xdr:cNvSpPr/>
      </xdr:nvSpPr>
      <xdr:spPr>
        <a:xfrm>
          <a:off x="4137660" y="190500"/>
          <a:ext cx="795528" cy="1078992"/>
        </a:xfrm>
        <a:prstGeom prst="rect">
          <a:avLst/>
        </a:prstGeom>
        <a:noFill/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/>
        </a:p>
      </xdr:txBody>
    </xdr:sp>
    <xdr:clientData/>
  </xdr:twoCellAnchor>
  <xdr:twoCellAnchor editAs="oneCell">
    <xdr:from>
      <xdr:col>6</xdr:col>
      <xdr:colOff>228600</xdr:colOff>
      <xdr:row>2</xdr:row>
      <xdr:rowOff>106680</xdr:rowOff>
    </xdr:from>
    <xdr:to>
      <xdr:col>7</xdr:col>
      <xdr:colOff>152400</xdr:colOff>
      <xdr:row>6</xdr:row>
      <xdr:rowOff>0</xdr:rowOff>
    </xdr:to>
    <xdr:pic>
      <xdr:nvPicPr>
        <xdr:cNvPr id="5" name="Graphic 4" descr="Man and woman with solid fill">
          <a:extLst>
            <a:ext uri="{FF2B5EF4-FFF2-40B4-BE49-F238E27FC236}">
              <a16:creationId xmlns:a16="http://schemas.microsoft.com/office/drawing/2014/main" id="{3E66BCDA-261F-4D5E-9AEB-FAFB906FB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51960" y="281940"/>
          <a:ext cx="594360" cy="594360"/>
        </a:xfrm>
        <a:prstGeom prst="rect">
          <a:avLst/>
        </a:prstGeom>
      </xdr:spPr>
    </xdr:pic>
    <xdr:clientData/>
  </xdr:twoCellAnchor>
  <xdr:twoCellAnchor>
    <xdr:from>
      <xdr:col>6</xdr:col>
      <xdr:colOff>160020</xdr:colOff>
      <xdr:row>6</xdr:row>
      <xdr:rowOff>15240</xdr:rowOff>
    </xdr:from>
    <xdr:to>
      <xdr:col>7</xdr:col>
      <xdr:colOff>198120</xdr:colOff>
      <xdr:row>7</xdr:row>
      <xdr:rowOff>91440</xdr:rowOff>
    </xdr:to>
    <xdr:sp macro="" textlink="$Y$11">
      <xdr:nvSpPr>
        <xdr:cNvPr id="7" name="TextBox 6">
          <a:extLst>
            <a:ext uri="{FF2B5EF4-FFF2-40B4-BE49-F238E27FC236}">
              <a16:creationId xmlns:a16="http://schemas.microsoft.com/office/drawing/2014/main" id="{7D53BEE2-4A46-476C-AD26-5E9DFF8FAB0D}"/>
            </a:ext>
          </a:extLst>
        </xdr:cNvPr>
        <xdr:cNvSpPr txBox="1"/>
      </xdr:nvSpPr>
      <xdr:spPr>
        <a:xfrm>
          <a:off x="4183380" y="891540"/>
          <a:ext cx="70866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marL="0" indent="0" algn="ctr"/>
          <a:fld id="{3EBE8894-C8AE-4C6F-98FC-37DA360AE566}" type="TxLink">
            <a:rPr lang="en-US" sz="1800" b="0" i="0" u="none" strike="noStrike">
              <a:solidFill>
                <a:schemeClr val="tx2"/>
              </a:solidFill>
              <a:latin typeface="Agency FB" panose="020B0503020202020204" pitchFamily="34" charset="0"/>
              <a:ea typeface="+mn-ea"/>
              <a:cs typeface="Arial"/>
            </a:rPr>
            <a:pPr marL="0" indent="0" algn="ctr"/>
            <a:t>3,810</a:t>
          </a:fld>
          <a:endParaRPr lang="en-US" sz="1800" b="0" i="0" u="none" strike="noStrike">
            <a:solidFill>
              <a:schemeClr val="tx2"/>
            </a:solidFill>
            <a:latin typeface="Agency FB" panose="020B050302020202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114300</xdr:colOff>
      <xdr:row>8</xdr:row>
      <xdr:rowOff>76200</xdr:rowOff>
    </xdr:from>
    <xdr:to>
      <xdr:col>7</xdr:col>
      <xdr:colOff>239268</xdr:colOff>
      <xdr:row>14</xdr:row>
      <xdr:rowOff>103632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BB9345A-6413-4E9F-83DB-4B3377CE4695}"/>
            </a:ext>
          </a:extLst>
        </xdr:cNvPr>
        <xdr:cNvSpPr/>
      </xdr:nvSpPr>
      <xdr:spPr>
        <a:xfrm>
          <a:off x="4137660" y="1303020"/>
          <a:ext cx="795528" cy="1078992"/>
        </a:xfrm>
        <a:prstGeom prst="rect">
          <a:avLst/>
        </a:prstGeom>
        <a:noFill/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/>
        </a:p>
      </xdr:txBody>
    </xdr:sp>
    <xdr:clientData/>
  </xdr:twoCellAnchor>
  <xdr:twoCellAnchor>
    <xdr:from>
      <xdr:col>6</xdr:col>
      <xdr:colOff>167640</xdr:colOff>
      <xdr:row>12</xdr:row>
      <xdr:rowOff>38100</xdr:rowOff>
    </xdr:from>
    <xdr:to>
      <xdr:col>7</xdr:col>
      <xdr:colOff>205740</xdr:colOff>
      <xdr:row>14</xdr:row>
      <xdr:rowOff>30480</xdr:rowOff>
    </xdr:to>
    <xdr:sp macro="" textlink="$Y$12">
      <xdr:nvSpPr>
        <xdr:cNvPr id="9" name="TextBox 8">
          <a:extLst>
            <a:ext uri="{FF2B5EF4-FFF2-40B4-BE49-F238E27FC236}">
              <a16:creationId xmlns:a16="http://schemas.microsoft.com/office/drawing/2014/main" id="{7A5637A6-EA1F-4E39-9A6B-AC49569B086F}"/>
            </a:ext>
          </a:extLst>
        </xdr:cNvPr>
        <xdr:cNvSpPr txBox="1"/>
      </xdr:nvSpPr>
      <xdr:spPr>
        <a:xfrm>
          <a:off x="4191000" y="1965960"/>
          <a:ext cx="70866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indent="0" algn="ctr"/>
          <a:fld id="{19E35D62-413B-44E4-9B29-263EC1B7F864}" type="TxLink">
            <a:rPr lang="en-US" sz="1800" b="0" i="0" u="none" strike="noStrike">
              <a:solidFill>
                <a:schemeClr val="tx2"/>
              </a:solidFill>
              <a:latin typeface="Agency FB" panose="020B0503020202020204" pitchFamily="34" charset="0"/>
              <a:ea typeface="+mn-ea"/>
              <a:cs typeface="Arial"/>
            </a:rPr>
            <a:pPr marL="0" indent="0" algn="ctr"/>
            <a:t>29%</a:t>
          </a:fld>
          <a:endParaRPr lang="en-US" sz="1800" b="0" i="0" u="none" strike="noStrike">
            <a:solidFill>
              <a:schemeClr val="tx2"/>
            </a:solidFill>
            <a:latin typeface="Agency FB" panose="020B0503020202020204" pitchFamily="34" charset="0"/>
            <a:ea typeface="+mn-ea"/>
            <a:cs typeface="Arial"/>
          </a:endParaRPr>
        </a:p>
      </xdr:txBody>
    </xdr:sp>
    <xdr:clientData/>
  </xdr:twoCellAnchor>
  <xdr:twoCellAnchor editAs="oneCell">
    <xdr:from>
      <xdr:col>6</xdr:col>
      <xdr:colOff>243840</xdr:colOff>
      <xdr:row>9</xdr:row>
      <xdr:rowOff>0</xdr:rowOff>
    </xdr:from>
    <xdr:to>
      <xdr:col>7</xdr:col>
      <xdr:colOff>99060</xdr:colOff>
      <xdr:row>12</xdr:row>
      <xdr:rowOff>0</xdr:rowOff>
    </xdr:to>
    <xdr:pic>
      <xdr:nvPicPr>
        <xdr:cNvPr id="11" name="Graphic 10" descr="Male profile outline">
          <a:extLst>
            <a:ext uri="{FF2B5EF4-FFF2-40B4-BE49-F238E27FC236}">
              <a16:creationId xmlns:a16="http://schemas.microsoft.com/office/drawing/2014/main" id="{AF580884-B5FF-45EA-A741-C1223EBF4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267200" y="1402080"/>
          <a:ext cx="525780" cy="525780"/>
        </a:xfrm>
        <a:prstGeom prst="rect">
          <a:avLst/>
        </a:prstGeom>
      </xdr:spPr>
    </xdr:pic>
    <xdr:clientData/>
  </xdr:twoCellAnchor>
  <xdr:twoCellAnchor editAs="oneCell">
    <xdr:from>
      <xdr:col>7</xdr:col>
      <xdr:colOff>434340</xdr:colOff>
      <xdr:row>3</xdr:row>
      <xdr:rowOff>129540</xdr:rowOff>
    </xdr:from>
    <xdr:to>
      <xdr:col>8</xdr:col>
      <xdr:colOff>205740</xdr:colOff>
      <xdr:row>6</xdr:row>
      <xdr:rowOff>30988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52B6035-D18C-4016-9B7B-5AA419172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8260" y="480060"/>
          <a:ext cx="441960" cy="427228"/>
        </a:xfrm>
        <a:prstGeom prst="rect">
          <a:avLst/>
        </a:prstGeom>
      </xdr:spPr>
    </xdr:pic>
    <xdr:clientData/>
  </xdr:twoCellAnchor>
  <xdr:twoCellAnchor>
    <xdr:from>
      <xdr:col>7</xdr:col>
      <xdr:colOff>274320</xdr:colOff>
      <xdr:row>2</xdr:row>
      <xdr:rowOff>22860</xdr:rowOff>
    </xdr:from>
    <xdr:to>
      <xdr:col>8</xdr:col>
      <xdr:colOff>399288</xdr:colOff>
      <xdr:row>8</xdr:row>
      <xdr:rowOff>50292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D53CC71-B499-4639-8085-8379F2B16389}"/>
            </a:ext>
          </a:extLst>
        </xdr:cNvPr>
        <xdr:cNvSpPr/>
      </xdr:nvSpPr>
      <xdr:spPr>
        <a:xfrm>
          <a:off x="4968240" y="198120"/>
          <a:ext cx="795528" cy="1078992"/>
        </a:xfrm>
        <a:prstGeom prst="rect">
          <a:avLst/>
        </a:prstGeom>
        <a:noFill/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/>
        </a:p>
      </xdr:txBody>
    </xdr:sp>
    <xdr:clientData/>
  </xdr:twoCellAnchor>
  <xdr:twoCellAnchor>
    <xdr:from>
      <xdr:col>7</xdr:col>
      <xdr:colOff>274320</xdr:colOff>
      <xdr:row>8</xdr:row>
      <xdr:rowOff>76200</xdr:rowOff>
    </xdr:from>
    <xdr:to>
      <xdr:col>8</xdr:col>
      <xdr:colOff>399288</xdr:colOff>
      <xdr:row>14</xdr:row>
      <xdr:rowOff>103632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C9816AD-C04F-416F-BCAF-4930392BB775}"/>
            </a:ext>
          </a:extLst>
        </xdr:cNvPr>
        <xdr:cNvSpPr/>
      </xdr:nvSpPr>
      <xdr:spPr>
        <a:xfrm>
          <a:off x="4968240" y="1303020"/>
          <a:ext cx="795528" cy="1078992"/>
        </a:xfrm>
        <a:prstGeom prst="rect">
          <a:avLst/>
        </a:prstGeom>
        <a:noFill/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/>
        </a:p>
      </xdr:txBody>
    </xdr:sp>
    <xdr:clientData/>
  </xdr:twoCellAnchor>
  <xdr:twoCellAnchor>
    <xdr:from>
      <xdr:col>7</xdr:col>
      <xdr:colOff>304800</xdr:colOff>
      <xdr:row>1</xdr:row>
      <xdr:rowOff>144780</xdr:rowOff>
    </xdr:from>
    <xdr:to>
      <xdr:col>8</xdr:col>
      <xdr:colOff>487680</xdr:colOff>
      <xdr:row>3</xdr:row>
      <xdr:rowOff>45720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D1BB6FC-D15B-4E21-BD9D-D630C152F388}"/>
            </a:ext>
          </a:extLst>
        </xdr:cNvPr>
        <xdr:cNvSpPr txBox="1"/>
      </xdr:nvSpPr>
      <xdr:spPr>
        <a:xfrm>
          <a:off x="4998720" y="144780"/>
          <a:ext cx="85344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indent="0"/>
          <a:r>
            <a:rPr lang="en-US" sz="16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Arial"/>
            </a:rPr>
            <a:t>sick</a:t>
          </a:r>
          <a:r>
            <a:rPr lang="en-US" sz="12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rial"/>
              <a:ea typeface="+mn-ea"/>
              <a:cs typeface="Arial"/>
            </a:rPr>
            <a:t> </a:t>
          </a:r>
          <a:r>
            <a:rPr lang="en-US" sz="16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Arial"/>
            </a:rPr>
            <a:t>leave</a:t>
          </a:r>
          <a:endParaRPr lang="ar-EG" sz="1600" b="0" i="0" u="none" strike="noStrike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7</xdr:col>
      <xdr:colOff>297180</xdr:colOff>
      <xdr:row>6</xdr:row>
      <xdr:rowOff>60960</xdr:rowOff>
    </xdr:from>
    <xdr:to>
      <xdr:col>8</xdr:col>
      <xdr:colOff>335280</xdr:colOff>
      <xdr:row>7</xdr:row>
      <xdr:rowOff>137160</xdr:rowOff>
    </xdr:to>
    <xdr:sp macro="" textlink="$Y$13">
      <xdr:nvSpPr>
        <xdr:cNvPr id="16" name="TextBox 15">
          <a:extLst>
            <a:ext uri="{FF2B5EF4-FFF2-40B4-BE49-F238E27FC236}">
              <a16:creationId xmlns:a16="http://schemas.microsoft.com/office/drawing/2014/main" id="{322E66C6-7203-4722-8F92-6AB37E34CE56}"/>
            </a:ext>
          </a:extLst>
        </xdr:cNvPr>
        <xdr:cNvSpPr txBox="1"/>
      </xdr:nvSpPr>
      <xdr:spPr>
        <a:xfrm>
          <a:off x="4991100" y="937260"/>
          <a:ext cx="70866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marL="0" indent="0" algn="ctr"/>
          <a:fld id="{0E9CA5AD-152A-4D52-91D7-DE7F73D3AB7B}" type="TxLink">
            <a:rPr lang="en-US" sz="1800" b="0" i="0" u="none" strike="noStrike">
              <a:solidFill>
                <a:schemeClr val="tx2"/>
              </a:solidFill>
              <a:latin typeface="Agency FB" panose="020B0503020202020204" pitchFamily="34" charset="0"/>
              <a:ea typeface="+mn-ea"/>
              <a:cs typeface="Arial"/>
            </a:rPr>
            <a:pPr marL="0" indent="0" algn="ctr"/>
            <a:t>14</a:t>
          </a:fld>
          <a:endParaRPr lang="en-US" sz="1800" b="0" i="0" u="none" strike="noStrike">
            <a:solidFill>
              <a:schemeClr val="tx2"/>
            </a:solidFill>
            <a:latin typeface="Agency FB" panose="020B0503020202020204" pitchFamily="34" charset="0"/>
            <a:ea typeface="+mn-ea"/>
            <a:cs typeface="Arial"/>
          </a:endParaRPr>
        </a:p>
      </xdr:txBody>
    </xdr:sp>
    <xdr:clientData/>
  </xdr:twoCellAnchor>
  <xdr:oneCellAnchor>
    <xdr:from>
      <xdr:col>7</xdr:col>
      <xdr:colOff>228600</xdr:colOff>
      <xdr:row>8</xdr:row>
      <xdr:rowOff>30480</xdr:rowOff>
    </xdr:from>
    <xdr:ext cx="882036" cy="335348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CEDEA6C-59DB-4220-9EB0-139572F7B463}"/>
            </a:ext>
          </a:extLst>
        </xdr:cNvPr>
        <xdr:cNvSpPr txBox="1"/>
      </xdr:nvSpPr>
      <xdr:spPr>
        <a:xfrm>
          <a:off x="4922520" y="1257300"/>
          <a:ext cx="882036" cy="3353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Arial"/>
            </a:rPr>
            <a:t>Late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 </a:t>
          </a:r>
          <a:r>
            <a:rPr lang="en-US" sz="16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Arial"/>
            </a:rPr>
            <a:t>Hours</a:t>
          </a:r>
        </a:p>
      </xdr:txBody>
    </xdr:sp>
    <xdr:clientData/>
  </xdr:oneCellAnchor>
  <xdr:twoCellAnchor editAs="oneCell">
    <xdr:from>
      <xdr:col>7</xdr:col>
      <xdr:colOff>487680</xdr:colOff>
      <xdr:row>10</xdr:row>
      <xdr:rowOff>15240</xdr:rowOff>
    </xdr:from>
    <xdr:to>
      <xdr:col>8</xdr:col>
      <xdr:colOff>182270</xdr:colOff>
      <xdr:row>12</xdr:row>
      <xdr:rowOff>14630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3B2F71D-F219-41C0-9A51-6A6E0D3D2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592580"/>
          <a:ext cx="365150" cy="349910"/>
        </a:xfrm>
        <a:prstGeom prst="rect">
          <a:avLst/>
        </a:prstGeom>
      </xdr:spPr>
    </xdr:pic>
    <xdr:clientData/>
  </xdr:twoCellAnchor>
  <xdr:twoCellAnchor>
    <xdr:from>
      <xdr:col>7</xdr:col>
      <xdr:colOff>327660</xdr:colOff>
      <xdr:row>12</xdr:row>
      <xdr:rowOff>53340</xdr:rowOff>
    </xdr:from>
    <xdr:to>
      <xdr:col>8</xdr:col>
      <xdr:colOff>304800</xdr:colOff>
      <xdr:row>14</xdr:row>
      <xdr:rowOff>45720</xdr:rowOff>
    </xdr:to>
    <xdr:sp macro="" textlink="$Y$14">
      <xdr:nvSpPr>
        <xdr:cNvPr id="19" name="TextBox 18">
          <a:extLst>
            <a:ext uri="{FF2B5EF4-FFF2-40B4-BE49-F238E27FC236}">
              <a16:creationId xmlns:a16="http://schemas.microsoft.com/office/drawing/2014/main" id="{9BB7E80E-2F7A-46D1-86E2-B8F80C7A8C32}"/>
            </a:ext>
          </a:extLst>
        </xdr:cNvPr>
        <xdr:cNvSpPr txBox="1"/>
      </xdr:nvSpPr>
      <xdr:spPr>
        <a:xfrm>
          <a:off x="5021580" y="1981200"/>
          <a:ext cx="6477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indent="0" algn="ctr"/>
          <a:fld id="{A81654E9-A99E-41F9-9E92-9637485CD7FA}" type="TxLink">
            <a:rPr lang="en-US" sz="1800" b="0" i="0" u="none" strike="noStrike">
              <a:solidFill>
                <a:schemeClr val="tx2"/>
              </a:solidFill>
              <a:latin typeface="Agency FB" panose="020B0503020202020204" pitchFamily="34" charset="0"/>
              <a:ea typeface="+mn-ea"/>
              <a:cs typeface="Arial"/>
            </a:rPr>
            <a:pPr marL="0" indent="0" algn="ctr"/>
            <a:t>26</a:t>
          </a:fld>
          <a:endParaRPr lang="en-US" sz="1800" b="0" i="0" u="none" strike="noStrike">
            <a:solidFill>
              <a:schemeClr val="tx2"/>
            </a:solidFill>
            <a:latin typeface="Agency FB" panose="020B050302020202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8</xdr:col>
      <xdr:colOff>434340</xdr:colOff>
      <xdr:row>2</xdr:row>
      <xdr:rowOff>30480</xdr:rowOff>
    </xdr:from>
    <xdr:to>
      <xdr:col>11</xdr:col>
      <xdr:colOff>182880</xdr:colOff>
      <xdr:row>6</xdr:row>
      <xdr:rowOff>25549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58636E0C-61EF-4844-A575-284981D53886}"/>
            </a:ext>
          </a:extLst>
        </xdr:cNvPr>
        <xdr:cNvSpPr/>
      </xdr:nvSpPr>
      <xdr:spPr>
        <a:xfrm>
          <a:off x="5798820" y="205740"/>
          <a:ext cx="1760220" cy="696109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434340</xdr:colOff>
      <xdr:row>6</xdr:row>
      <xdr:rowOff>57150</xdr:rowOff>
    </xdr:from>
    <xdr:to>
      <xdr:col>11</xdr:col>
      <xdr:colOff>182880</xdr:colOff>
      <xdr:row>10</xdr:row>
      <xdr:rowOff>52219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66750DC5-3704-4839-A816-70C256B1F4BD}"/>
            </a:ext>
          </a:extLst>
        </xdr:cNvPr>
        <xdr:cNvSpPr/>
      </xdr:nvSpPr>
      <xdr:spPr>
        <a:xfrm>
          <a:off x="5798820" y="933450"/>
          <a:ext cx="1760220" cy="696109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434340</xdr:colOff>
      <xdr:row>10</xdr:row>
      <xdr:rowOff>99060</xdr:rowOff>
    </xdr:from>
    <xdr:to>
      <xdr:col>11</xdr:col>
      <xdr:colOff>182880</xdr:colOff>
      <xdr:row>14</xdr:row>
      <xdr:rowOff>94129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834DB59E-DE84-41B1-A989-8625780C6CBB}"/>
            </a:ext>
          </a:extLst>
        </xdr:cNvPr>
        <xdr:cNvSpPr/>
      </xdr:nvSpPr>
      <xdr:spPr>
        <a:xfrm>
          <a:off x="5798820" y="1676400"/>
          <a:ext cx="1760220" cy="696109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449580</xdr:colOff>
      <xdr:row>2</xdr:row>
      <xdr:rowOff>15240</xdr:rowOff>
    </xdr:from>
    <xdr:to>
      <xdr:col>10</xdr:col>
      <xdr:colOff>647700</xdr:colOff>
      <xdr:row>3</xdr:row>
      <xdr:rowOff>60960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F2F3E74-C25E-4680-B083-D66583B8F7B4}"/>
            </a:ext>
          </a:extLst>
        </xdr:cNvPr>
        <xdr:cNvSpPr txBox="1"/>
      </xdr:nvSpPr>
      <xdr:spPr>
        <a:xfrm>
          <a:off x="5814060" y="190500"/>
          <a:ext cx="1539240" cy="22098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r>
            <a:rPr lang="en-US" sz="16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Arial"/>
            </a:rPr>
            <a:t>Invenitve</a:t>
          </a:r>
          <a:r>
            <a:rPr lang="en-US" sz="1100" baseline="0"/>
            <a:t> </a:t>
          </a:r>
          <a:r>
            <a:rPr lang="en-US" sz="16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Arial"/>
            </a:rPr>
            <a:t>Cost</a:t>
          </a:r>
          <a:endParaRPr lang="ar-EG" sz="1600" b="0" i="0" u="none" strike="noStrike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8</xdr:col>
      <xdr:colOff>441960</xdr:colOff>
      <xdr:row>10</xdr:row>
      <xdr:rowOff>121920</xdr:rowOff>
    </xdr:from>
    <xdr:to>
      <xdr:col>11</xdr:col>
      <xdr:colOff>0</xdr:colOff>
      <xdr:row>11</xdr:row>
      <xdr:rowOff>160020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6F18620-7CC1-4AB2-9555-08630C4FEB1A}"/>
            </a:ext>
          </a:extLst>
        </xdr:cNvPr>
        <xdr:cNvSpPr txBox="1"/>
      </xdr:nvSpPr>
      <xdr:spPr>
        <a:xfrm>
          <a:off x="5806440" y="1699260"/>
          <a:ext cx="1569720" cy="21336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r>
            <a:rPr lang="en-US" sz="16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Arial"/>
            </a:rPr>
            <a:t>Payroll</a:t>
          </a:r>
          <a:endParaRPr lang="ar-EG" sz="1600" b="0" i="0" u="none" strike="noStrike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8</xdr:col>
      <xdr:colOff>426720</xdr:colOff>
      <xdr:row>6</xdr:row>
      <xdr:rowOff>76200</xdr:rowOff>
    </xdr:from>
    <xdr:to>
      <xdr:col>10</xdr:col>
      <xdr:colOff>632460</xdr:colOff>
      <xdr:row>8</xdr:row>
      <xdr:rowOff>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967DD8C-3798-4B4B-A30A-4BBA027FF4AF}"/>
            </a:ext>
          </a:extLst>
        </xdr:cNvPr>
        <xdr:cNvSpPr txBox="1"/>
      </xdr:nvSpPr>
      <xdr:spPr>
        <a:xfrm>
          <a:off x="5791200" y="952500"/>
          <a:ext cx="1546860" cy="2743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r>
            <a:rPr lang="en-US" sz="16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Arial"/>
            </a:rPr>
            <a:t>Over</a:t>
          </a:r>
          <a:r>
            <a:rPr lang="en-US" sz="1100" baseline="0"/>
            <a:t>  </a:t>
          </a:r>
          <a:r>
            <a:rPr lang="en-US" sz="16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Arial"/>
            </a:rPr>
            <a:t>Time</a:t>
          </a:r>
          <a:r>
            <a:rPr lang="en-US" sz="1100" baseline="0"/>
            <a:t> </a:t>
          </a:r>
          <a:r>
            <a:rPr lang="en-US" sz="16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Arial"/>
            </a:rPr>
            <a:t>Cost</a:t>
          </a:r>
          <a:endParaRPr lang="ar-EG" sz="1600" b="0" i="0" u="none" strike="noStrike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  <a:ea typeface="+mn-ea"/>
            <a:cs typeface="Arial"/>
          </a:endParaRPr>
        </a:p>
      </xdr:txBody>
    </xdr:sp>
    <xdr:clientData/>
  </xdr:twoCellAnchor>
  <xdr:twoCellAnchor editAs="oneCell">
    <xdr:from>
      <xdr:col>8</xdr:col>
      <xdr:colOff>449580</xdr:colOff>
      <xdr:row>7</xdr:row>
      <xdr:rowOff>174650</xdr:rowOff>
    </xdr:from>
    <xdr:to>
      <xdr:col>9</xdr:col>
      <xdr:colOff>198120</xdr:colOff>
      <xdr:row>10</xdr:row>
      <xdr:rowOff>45110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4EFAF1C-724B-4A3E-B71E-36B293E69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4060" y="1226210"/>
          <a:ext cx="419100" cy="396240"/>
        </a:xfrm>
        <a:prstGeom prst="rect">
          <a:avLst/>
        </a:prstGeom>
      </xdr:spPr>
    </xdr:pic>
    <xdr:clientData/>
  </xdr:twoCellAnchor>
  <xdr:twoCellAnchor editAs="oneCell">
    <xdr:from>
      <xdr:col>8</xdr:col>
      <xdr:colOff>472440</xdr:colOff>
      <xdr:row>3</xdr:row>
      <xdr:rowOff>114300</xdr:rowOff>
    </xdr:from>
    <xdr:to>
      <xdr:col>9</xdr:col>
      <xdr:colOff>205130</xdr:colOff>
      <xdr:row>5</xdr:row>
      <xdr:rowOff>149250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6C9ABDD-871D-4AE7-9B92-5F5643C15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6920" y="464820"/>
          <a:ext cx="403250" cy="385470"/>
        </a:xfrm>
        <a:prstGeom prst="rect">
          <a:avLst/>
        </a:prstGeom>
      </xdr:spPr>
    </xdr:pic>
    <xdr:clientData/>
  </xdr:twoCellAnchor>
  <xdr:twoCellAnchor editAs="oneCell">
    <xdr:from>
      <xdr:col>8</xdr:col>
      <xdr:colOff>472440</xdr:colOff>
      <xdr:row>12</xdr:row>
      <xdr:rowOff>37490</xdr:rowOff>
    </xdr:from>
    <xdr:to>
      <xdr:col>9</xdr:col>
      <xdr:colOff>205740</xdr:colOff>
      <xdr:row>14</xdr:row>
      <xdr:rowOff>75590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825C6A6-D147-4057-A282-81322F879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6920" y="1965350"/>
          <a:ext cx="403860" cy="388620"/>
        </a:xfrm>
        <a:prstGeom prst="rect">
          <a:avLst/>
        </a:prstGeom>
      </xdr:spPr>
    </xdr:pic>
    <xdr:clientData/>
  </xdr:twoCellAnchor>
  <xdr:twoCellAnchor>
    <xdr:from>
      <xdr:col>9</xdr:col>
      <xdr:colOff>266700</xdr:colOff>
      <xdr:row>12</xdr:row>
      <xdr:rowOff>83820</xdr:rowOff>
    </xdr:from>
    <xdr:to>
      <xdr:col>11</xdr:col>
      <xdr:colOff>152400</xdr:colOff>
      <xdr:row>14</xdr:row>
      <xdr:rowOff>0</xdr:rowOff>
    </xdr:to>
    <xdr:sp macro="" textlink="$Y$18">
      <xdr:nvSpPr>
        <xdr:cNvPr id="28" name="TextBox 27">
          <a:extLst>
            <a:ext uri="{FF2B5EF4-FFF2-40B4-BE49-F238E27FC236}">
              <a16:creationId xmlns:a16="http://schemas.microsoft.com/office/drawing/2014/main" id="{F7C1F4D0-80E6-4606-9245-B04CC9CE75FD}"/>
            </a:ext>
          </a:extLst>
        </xdr:cNvPr>
        <xdr:cNvSpPr txBox="1"/>
      </xdr:nvSpPr>
      <xdr:spPr>
        <a:xfrm>
          <a:off x="6301740" y="2011680"/>
          <a:ext cx="122682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marL="0" indent="0" algn="ctr"/>
          <a:fld id="{2334E3F5-E639-4681-92D9-421A1824EB88}" type="TxLink">
            <a:rPr lang="en-US" sz="1800" b="0" i="0" u="none" strike="noStrike">
              <a:solidFill>
                <a:schemeClr val="tx2"/>
              </a:solidFill>
              <a:latin typeface="Agency FB" panose="020B0503020202020204" pitchFamily="34" charset="0"/>
              <a:ea typeface="+mn-ea"/>
              <a:cs typeface="Arial"/>
            </a:rPr>
            <a:pPr marL="0" indent="0" algn="ctr"/>
            <a:t> $13,669,607 </a:t>
          </a:fld>
          <a:endParaRPr lang="en-US" sz="1800" b="0" i="0" u="none" strike="noStrike">
            <a:solidFill>
              <a:schemeClr val="tx2"/>
            </a:solidFill>
            <a:latin typeface="Agency FB" panose="020B050302020202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9</xdr:col>
      <xdr:colOff>259080</xdr:colOff>
      <xdr:row>8</xdr:row>
      <xdr:rowOff>106680</xdr:rowOff>
    </xdr:from>
    <xdr:to>
      <xdr:col>11</xdr:col>
      <xdr:colOff>144780</xdr:colOff>
      <xdr:row>10</xdr:row>
      <xdr:rowOff>30480</xdr:rowOff>
    </xdr:to>
    <xdr:sp macro="" textlink="$Y$17">
      <xdr:nvSpPr>
        <xdr:cNvPr id="29" name="TextBox 28">
          <a:extLst>
            <a:ext uri="{FF2B5EF4-FFF2-40B4-BE49-F238E27FC236}">
              <a16:creationId xmlns:a16="http://schemas.microsoft.com/office/drawing/2014/main" id="{3250F009-597E-4400-89C6-EBC620F08EF5}"/>
            </a:ext>
          </a:extLst>
        </xdr:cNvPr>
        <xdr:cNvSpPr txBox="1"/>
      </xdr:nvSpPr>
      <xdr:spPr>
        <a:xfrm>
          <a:off x="6294120" y="1333500"/>
          <a:ext cx="122682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marL="0" indent="0" algn="ctr"/>
          <a:fld id="{CA18BC05-F58F-4C7B-8884-E486FB5DF6CB}" type="TxLink">
            <a:rPr lang="en-US" sz="1800" b="0" i="0" u="none" strike="noStrike">
              <a:solidFill>
                <a:schemeClr val="tx2"/>
              </a:solidFill>
              <a:latin typeface="Agency FB" panose="020B0503020202020204" pitchFamily="34" charset="0"/>
              <a:ea typeface="+mn-ea"/>
              <a:cs typeface="Arial"/>
            </a:rPr>
            <a:pPr marL="0" indent="0" algn="ctr"/>
            <a:t> $248,723 </a:t>
          </a:fld>
          <a:endParaRPr lang="en-US" sz="1800" b="0" i="0" u="none" strike="noStrike">
            <a:solidFill>
              <a:schemeClr val="tx2"/>
            </a:solidFill>
            <a:latin typeface="Agency FB" panose="020B050302020202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9</xdr:col>
      <xdr:colOff>220980</xdr:colOff>
      <xdr:row>3</xdr:row>
      <xdr:rowOff>167640</xdr:rowOff>
    </xdr:from>
    <xdr:to>
      <xdr:col>11</xdr:col>
      <xdr:colOff>167640</xdr:colOff>
      <xdr:row>5</xdr:row>
      <xdr:rowOff>106680</xdr:rowOff>
    </xdr:to>
    <xdr:sp macro="" textlink="$Y$16">
      <xdr:nvSpPr>
        <xdr:cNvPr id="30" name="TextBox 29">
          <a:extLst>
            <a:ext uri="{FF2B5EF4-FFF2-40B4-BE49-F238E27FC236}">
              <a16:creationId xmlns:a16="http://schemas.microsoft.com/office/drawing/2014/main" id="{2B9AC18C-484E-4ACA-91EB-779D4C732E4A}"/>
            </a:ext>
          </a:extLst>
        </xdr:cNvPr>
        <xdr:cNvSpPr txBox="1"/>
      </xdr:nvSpPr>
      <xdr:spPr>
        <a:xfrm>
          <a:off x="6256020" y="518160"/>
          <a:ext cx="128778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indent="0" algn="ctr"/>
          <a:fld id="{39270602-D528-43CF-98D6-33C1A7F7A953}" type="TxLink">
            <a:rPr lang="en-US" sz="1800" b="0" i="0" u="none" strike="noStrike">
              <a:solidFill>
                <a:schemeClr val="tx2"/>
              </a:solidFill>
              <a:latin typeface="Agency FB" panose="020B0503020202020204" pitchFamily="34" charset="0"/>
              <a:ea typeface="+mn-ea"/>
              <a:cs typeface="Arial"/>
            </a:rPr>
            <a:pPr marL="0" indent="0" algn="ctr"/>
            <a:t> $433,779 </a:t>
          </a:fld>
          <a:endParaRPr lang="en-US" sz="1800" b="0" i="0" u="none" strike="noStrike">
            <a:solidFill>
              <a:schemeClr val="tx2"/>
            </a:solidFill>
            <a:latin typeface="Agency FB" panose="020B050302020202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11</xdr:col>
      <xdr:colOff>209550</xdr:colOff>
      <xdr:row>2</xdr:row>
      <xdr:rowOff>15240</xdr:rowOff>
    </xdr:from>
    <xdr:to>
      <xdr:col>14</xdr:col>
      <xdr:colOff>355854</xdr:colOff>
      <xdr:row>8</xdr:row>
      <xdr:rowOff>42672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4F5DB4-B407-4A32-AB3B-5DA6CE7F1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201930</xdr:colOff>
      <xdr:row>8</xdr:row>
      <xdr:rowOff>68580</xdr:rowOff>
    </xdr:from>
    <xdr:to>
      <xdr:col>14</xdr:col>
      <xdr:colOff>348234</xdr:colOff>
      <xdr:row>14</xdr:row>
      <xdr:rowOff>96012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9C1C46D-23A8-43F7-A352-9CE6D66F8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411480</xdr:colOff>
      <xdr:row>2</xdr:row>
      <xdr:rowOff>30480</xdr:rowOff>
    </xdr:from>
    <xdr:to>
      <xdr:col>15</xdr:col>
      <xdr:colOff>601980</xdr:colOff>
      <xdr:row>8</xdr:row>
      <xdr:rowOff>30480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7B9D29C3-4634-4BA0-A19C-2682EF16C638}"/>
            </a:ext>
          </a:extLst>
        </xdr:cNvPr>
        <xdr:cNvSpPr/>
      </xdr:nvSpPr>
      <xdr:spPr>
        <a:xfrm>
          <a:off x="9799320" y="205740"/>
          <a:ext cx="861060" cy="105156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403860</xdr:colOff>
      <xdr:row>8</xdr:row>
      <xdr:rowOff>76200</xdr:rowOff>
    </xdr:from>
    <xdr:to>
      <xdr:col>15</xdr:col>
      <xdr:colOff>594360</xdr:colOff>
      <xdr:row>14</xdr:row>
      <xdr:rowOff>76200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6211B520-1DBD-4F4E-8902-59822D14F76C}"/>
            </a:ext>
          </a:extLst>
        </xdr:cNvPr>
        <xdr:cNvSpPr/>
      </xdr:nvSpPr>
      <xdr:spPr>
        <a:xfrm>
          <a:off x="9791700" y="1303020"/>
          <a:ext cx="861060" cy="105156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381000</xdr:colOff>
      <xdr:row>2</xdr:row>
      <xdr:rowOff>129540</xdr:rowOff>
    </xdr:from>
    <xdr:to>
      <xdr:col>16</xdr:col>
      <xdr:colOff>22860</xdr:colOff>
      <xdr:row>4</xdr:row>
      <xdr:rowOff>38100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AAAF4112-6B1E-4A18-89AE-B554A681F948}"/>
            </a:ext>
          </a:extLst>
        </xdr:cNvPr>
        <xdr:cNvSpPr txBox="1"/>
      </xdr:nvSpPr>
      <xdr:spPr>
        <a:xfrm>
          <a:off x="9768840" y="304800"/>
          <a:ext cx="98298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marL="0" indent="0"/>
          <a:r>
            <a:rPr lang="en-US" sz="12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rial"/>
              <a:ea typeface="+mn-ea"/>
              <a:cs typeface="Arial"/>
            </a:rPr>
            <a:t>Out </a:t>
          </a:r>
          <a:r>
            <a:rPr lang="en-US" sz="16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Arial"/>
            </a:rPr>
            <a:t>Source</a:t>
          </a:r>
          <a:endParaRPr lang="ar-EG" sz="1600" b="0" i="0" u="none" strike="noStrike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14</xdr:col>
      <xdr:colOff>373380</xdr:colOff>
      <xdr:row>8</xdr:row>
      <xdr:rowOff>152400</xdr:rowOff>
    </xdr:from>
    <xdr:to>
      <xdr:col>16</xdr:col>
      <xdr:colOff>15240</xdr:colOff>
      <xdr:row>10</xdr:row>
      <xdr:rowOff>53340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54E09353-ED1C-4986-871C-08DC2312C44C}"/>
            </a:ext>
          </a:extLst>
        </xdr:cNvPr>
        <xdr:cNvSpPr txBox="1"/>
      </xdr:nvSpPr>
      <xdr:spPr>
        <a:xfrm>
          <a:off x="9761220" y="1379220"/>
          <a:ext cx="98298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marL="0" indent="0"/>
          <a:r>
            <a:rPr lang="en-US" sz="16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Arial"/>
            </a:rPr>
            <a:t>Part Timers</a:t>
          </a:r>
          <a:endParaRPr lang="ar-EG" sz="1600" b="0" i="0" u="none" strike="noStrike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14</xdr:col>
      <xdr:colOff>548640</xdr:colOff>
      <xdr:row>5</xdr:row>
      <xdr:rowOff>53340</xdr:rowOff>
    </xdr:from>
    <xdr:to>
      <xdr:col>15</xdr:col>
      <xdr:colOff>525780</xdr:colOff>
      <xdr:row>7</xdr:row>
      <xdr:rowOff>45720</xdr:rowOff>
    </xdr:to>
    <xdr:sp macro="" textlink="$Y$21">
      <xdr:nvSpPr>
        <xdr:cNvPr id="38" name="TextBox 37">
          <a:extLst>
            <a:ext uri="{FF2B5EF4-FFF2-40B4-BE49-F238E27FC236}">
              <a16:creationId xmlns:a16="http://schemas.microsoft.com/office/drawing/2014/main" id="{6F2F5050-B9D9-4E8D-BE96-960CF55F5995}"/>
            </a:ext>
          </a:extLst>
        </xdr:cNvPr>
        <xdr:cNvSpPr txBox="1"/>
      </xdr:nvSpPr>
      <xdr:spPr>
        <a:xfrm>
          <a:off x="9936480" y="754380"/>
          <a:ext cx="6477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indent="0" algn="ctr"/>
          <a:fld id="{CAA42A80-E194-443D-B6F5-972945E65B7F}" type="TxLink">
            <a:rPr lang="en-US" sz="1800" b="0" i="0" u="none" strike="noStrike">
              <a:solidFill>
                <a:schemeClr val="tx2"/>
              </a:solidFill>
              <a:latin typeface="Agency FB" panose="020B0503020202020204" pitchFamily="34" charset="0"/>
              <a:ea typeface="+mn-ea"/>
              <a:cs typeface="Arial"/>
            </a:rPr>
            <a:pPr marL="0" indent="0" algn="ctr"/>
            <a:t>158</a:t>
          </a:fld>
          <a:endParaRPr lang="en-US" sz="1800" b="0" i="0" u="none" strike="noStrike">
            <a:solidFill>
              <a:schemeClr val="tx2"/>
            </a:solidFill>
            <a:latin typeface="Agency FB" panose="020B050302020202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14</xdr:col>
      <xdr:colOff>541020</xdr:colOff>
      <xdr:row>11</xdr:row>
      <xdr:rowOff>121920</xdr:rowOff>
    </xdr:from>
    <xdr:to>
      <xdr:col>15</xdr:col>
      <xdr:colOff>518160</xdr:colOff>
      <xdr:row>13</xdr:row>
      <xdr:rowOff>114300</xdr:rowOff>
    </xdr:to>
    <xdr:sp macro="" textlink="$Y$22">
      <xdr:nvSpPr>
        <xdr:cNvPr id="39" name="TextBox 38">
          <a:extLst>
            <a:ext uri="{FF2B5EF4-FFF2-40B4-BE49-F238E27FC236}">
              <a16:creationId xmlns:a16="http://schemas.microsoft.com/office/drawing/2014/main" id="{6EE70E5D-6571-4F7A-90FB-9B56BB74CEA5}"/>
            </a:ext>
          </a:extLst>
        </xdr:cNvPr>
        <xdr:cNvSpPr txBox="1"/>
      </xdr:nvSpPr>
      <xdr:spPr>
        <a:xfrm>
          <a:off x="9928860" y="1874520"/>
          <a:ext cx="6477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indent="0" algn="ctr"/>
          <a:fld id="{351D7DF3-2891-4E4E-8620-3579D3654993}" type="TxLink">
            <a:rPr lang="en-US" sz="1800" b="0" i="0" u="none" strike="noStrike">
              <a:solidFill>
                <a:schemeClr val="tx2"/>
              </a:solidFill>
              <a:latin typeface="Agency FB" panose="020B0503020202020204" pitchFamily="34" charset="0"/>
              <a:ea typeface="+mn-ea"/>
              <a:cs typeface="Arial"/>
            </a:rPr>
            <a:pPr marL="0" indent="0" algn="ctr"/>
            <a:t>197</a:t>
          </a:fld>
          <a:endParaRPr lang="en-US" sz="1800" b="0" i="0" u="none" strike="noStrike">
            <a:solidFill>
              <a:schemeClr val="tx2"/>
            </a:solidFill>
            <a:latin typeface="Agency FB" panose="020B050302020202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2</xdr:col>
      <xdr:colOff>88900</xdr:colOff>
      <xdr:row>14</xdr:row>
      <xdr:rowOff>144780</xdr:rowOff>
    </xdr:from>
    <xdr:to>
      <xdr:col>4</xdr:col>
      <xdr:colOff>220980</xdr:colOff>
      <xdr:row>18</xdr:row>
      <xdr:rowOff>114300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C9B421C0-E48D-44D0-9E0B-D37FCAEE3CC5}"/>
            </a:ext>
          </a:extLst>
        </xdr:cNvPr>
        <xdr:cNvSpPr/>
      </xdr:nvSpPr>
      <xdr:spPr>
        <a:xfrm>
          <a:off x="1435100" y="2773680"/>
          <a:ext cx="1478280" cy="69342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114300</xdr:colOff>
      <xdr:row>14</xdr:row>
      <xdr:rowOff>167640</xdr:rowOff>
    </xdr:from>
    <xdr:ext cx="1318260" cy="289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6EC24E4-1FED-440B-93EE-1074028D7467}"/>
            </a:ext>
          </a:extLst>
        </xdr:cNvPr>
        <xdr:cNvSpPr txBox="1"/>
      </xdr:nvSpPr>
      <xdr:spPr>
        <a:xfrm>
          <a:off x="1460500" y="2796540"/>
          <a:ext cx="1318260" cy="289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Employees Aged &gt;50</a:t>
          </a:r>
        </a:p>
      </xdr:txBody>
    </xdr:sp>
    <xdr:clientData/>
  </xdr:oneCellAnchor>
  <xdr:twoCellAnchor>
    <xdr:from>
      <xdr:col>2</xdr:col>
      <xdr:colOff>441960</xdr:colOff>
      <xdr:row>16</xdr:row>
      <xdr:rowOff>121920</xdr:rowOff>
    </xdr:from>
    <xdr:to>
      <xdr:col>3</xdr:col>
      <xdr:colOff>495300</xdr:colOff>
      <xdr:row>18</xdr:row>
      <xdr:rowOff>83820</xdr:rowOff>
    </xdr:to>
    <xdr:sp macro="" textlink="$Y$23">
      <xdr:nvSpPr>
        <xdr:cNvPr id="42" name="TextBox 41">
          <a:extLst>
            <a:ext uri="{FF2B5EF4-FFF2-40B4-BE49-F238E27FC236}">
              <a16:creationId xmlns:a16="http://schemas.microsoft.com/office/drawing/2014/main" id="{0BD6A9E5-4F6E-4675-8084-32A2A3A4B428}"/>
            </a:ext>
          </a:extLst>
        </xdr:cNvPr>
        <xdr:cNvSpPr txBox="1"/>
      </xdr:nvSpPr>
      <xdr:spPr>
        <a:xfrm>
          <a:off x="1783080" y="2766060"/>
          <a:ext cx="72390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indent="0" algn="ctr"/>
          <a:fld id="{CF76846A-2661-41C4-9224-7DF4893A029F}" type="TxLink">
            <a:rPr lang="en-US" sz="1800" b="0" i="0" u="none" strike="noStrike">
              <a:solidFill>
                <a:schemeClr val="tx2"/>
              </a:solidFill>
              <a:latin typeface="Agency FB" panose="020B0503020202020204" pitchFamily="34" charset="0"/>
              <a:ea typeface="+mn-ea"/>
              <a:cs typeface="Arial"/>
            </a:rPr>
            <a:pPr marL="0" indent="0" algn="ctr"/>
            <a:t>80</a:t>
          </a:fld>
          <a:endParaRPr lang="en-US" sz="1800" b="0" i="0" u="none" strike="noStrike">
            <a:solidFill>
              <a:schemeClr val="tx2"/>
            </a:solidFill>
            <a:latin typeface="Agency FB" panose="020B050302020202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4</xdr:col>
      <xdr:colOff>259080</xdr:colOff>
      <xdr:row>14</xdr:row>
      <xdr:rowOff>144780</xdr:rowOff>
    </xdr:from>
    <xdr:to>
      <xdr:col>6</xdr:col>
      <xdr:colOff>441960</xdr:colOff>
      <xdr:row>18</xdr:row>
      <xdr:rowOff>114300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B26FDDCB-214E-4764-B768-82E745328864}"/>
            </a:ext>
          </a:extLst>
        </xdr:cNvPr>
        <xdr:cNvSpPr/>
      </xdr:nvSpPr>
      <xdr:spPr>
        <a:xfrm>
          <a:off x="2941320" y="2423160"/>
          <a:ext cx="1524000" cy="68580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266700</xdr:colOff>
      <xdr:row>14</xdr:row>
      <xdr:rowOff>167640</xdr:rowOff>
    </xdr:from>
    <xdr:ext cx="1386840" cy="30700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AC7143E7-6364-48E2-B38D-4B6FBF6A1B0E}"/>
            </a:ext>
          </a:extLst>
        </xdr:cNvPr>
        <xdr:cNvSpPr txBox="1"/>
      </xdr:nvSpPr>
      <xdr:spPr>
        <a:xfrm>
          <a:off x="2948940" y="2446020"/>
          <a:ext cx="1386840" cy="30700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Corrective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Actions</a:t>
          </a:r>
          <a:endParaRPr lang="ar-EG" sz="1400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  <xdr:twoCellAnchor>
    <xdr:from>
      <xdr:col>4</xdr:col>
      <xdr:colOff>662940</xdr:colOff>
      <xdr:row>16</xdr:row>
      <xdr:rowOff>121920</xdr:rowOff>
    </xdr:from>
    <xdr:to>
      <xdr:col>6</xdr:col>
      <xdr:colOff>45720</xdr:colOff>
      <xdr:row>18</xdr:row>
      <xdr:rowOff>83820</xdr:rowOff>
    </xdr:to>
    <xdr:sp macro="" textlink="$Y$25">
      <xdr:nvSpPr>
        <xdr:cNvPr id="57" name="TextBox 56">
          <a:extLst>
            <a:ext uri="{FF2B5EF4-FFF2-40B4-BE49-F238E27FC236}">
              <a16:creationId xmlns:a16="http://schemas.microsoft.com/office/drawing/2014/main" id="{112B0CDC-1936-47A9-A7C0-68D168E2EE4D}"/>
            </a:ext>
          </a:extLst>
        </xdr:cNvPr>
        <xdr:cNvSpPr txBox="1"/>
      </xdr:nvSpPr>
      <xdr:spPr>
        <a:xfrm>
          <a:off x="3345180" y="2766060"/>
          <a:ext cx="72390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indent="0" algn="ctr"/>
          <a:fld id="{B9355BCD-84DE-44C1-9977-B195FD16B48F}" type="TxLink">
            <a:rPr lang="en-US" sz="1800" b="0" i="0" u="none" strike="noStrike">
              <a:solidFill>
                <a:schemeClr val="tx2"/>
              </a:solidFill>
              <a:latin typeface="Agency FB" panose="020B0503020202020204" pitchFamily="34" charset="0"/>
              <a:ea typeface="+mn-ea"/>
              <a:cs typeface="Arial"/>
            </a:rPr>
            <a:pPr marL="0" indent="0" algn="ctr"/>
            <a:t>76</a:t>
          </a:fld>
          <a:endParaRPr lang="en-US" sz="1800" b="0" i="0" u="none" strike="noStrike">
            <a:solidFill>
              <a:schemeClr val="tx2"/>
            </a:solidFill>
            <a:latin typeface="Agency FB" panose="020B050302020202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480060</xdr:colOff>
      <xdr:row>14</xdr:row>
      <xdr:rowOff>144780</xdr:rowOff>
    </xdr:from>
    <xdr:to>
      <xdr:col>8</xdr:col>
      <xdr:colOff>662940</xdr:colOff>
      <xdr:row>18</xdr:row>
      <xdr:rowOff>114300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3AC07B79-0281-47CC-8831-04E7AFE9A19C}"/>
            </a:ext>
          </a:extLst>
        </xdr:cNvPr>
        <xdr:cNvSpPr/>
      </xdr:nvSpPr>
      <xdr:spPr>
        <a:xfrm>
          <a:off x="4503420" y="2423160"/>
          <a:ext cx="1524000" cy="68580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487680</xdr:colOff>
      <xdr:row>14</xdr:row>
      <xdr:rowOff>167640</xdr:rowOff>
    </xdr:from>
    <xdr:ext cx="1386840" cy="30700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EBCA018B-9294-4CB6-8EC9-5974E01C07C7}"/>
            </a:ext>
          </a:extLst>
        </xdr:cNvPr>
        <xdr:cNvSpPr txBox="1"/>
      </xdr:nvSpPr>
      <xdr:spPr>
        <a:xfrm>
          <a:off x="4511040" y="2446020"/>
          <a:ext cx="1386840" cy="30700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Contract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Termination</a:t>
          </a:r>
          <a:endParaRPr lang="ar-EG" sz="1400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  <xdr:twoCellAnchor>
    <xdr:from>
      <xdr:col>7</xdr:col>
      <xdr:colOff>213360</xdr:colOff>
      <xdr:row>16</xdr:row>
      <xdr:rowOff>121920</xdr:rowOff>
    </xdr:from>
    <xdr:to>
      <xdr:col>8</xdr:col>
      <xdr:colOff>266700</xdr:colOff>
      <xdr:row>18</xdr:row>
      <xdr:rowOff>83820</xdr:rowOff>
    </xdr:to>
    <xdr:sp macro="" textlink="$Y$26">
      <xdr:nvSpPr>
        <xdr:cNvPr id="60" name="TextBox 59">
          <a:extLst>
            <a:ext uri="{FF2B5EF4-FFF2-40B4-BE49-F238E27FC236}">
              <a16:creationId xmlns:a16="http://schemas.microsoft.com/office/drawing/2014/main" id="{2B1C7E1D-ABCE-4E82-B45D-977B6209BFC2}"/>
            </a:ext>
          </a:extLst>
        </xdr:cNvPr>
        <xdr:cNvSpPr txBox="1"/>
      </xdr:nvSpPr>
      <xdr:spPr>
        <a:xfrm>
          <a:off x="4907280" y="2766060"/>
          <a:ext cx="72390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indent="0" algn="ctr"/>
          <a:fld id="{55DE544C-AE7E-4F4E-8EB1-C30AA59E3B35}" type="TxLink">
            <a:rPr lang="en-US" sz="1800" b="0" i="0" u="none" strike="noStrike">
              <a:solidFill>
                <a:schemeClr val="tx2"/>
              </a:solidFill>
              <a:latin typeface="Agency FB" panose="020B0503020202020204" pitchFamily="34" charset="0"/>
              <a:ea typeface="+mn-ea"/>
              <a:cs typeface="Arial"/>
            </a:rPr>
            <a:pPr marL="0" indent="0" algn="ctr"/>
            <a:t>61</a:t>
          </a:fld>
          <a:endParaRPr lang="en-US" sz="1800" b="0" i="0" u="none" strike="noStrike">
            <a:solidFill>
              <a:schemeClr val="tx2"/>
            </a:solidFill>
            <a:latin typeface="Agency FB" panose="020B050302020202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9</xdr:col>
      <xdr:colOff>30480</xdr:colOff>
      <xdr:row>14</xdr:row>
      <xdr:rowOff>144780</xdr:rowOff>
    </xdr:from>
    <xdr:to>
      <xdr:col>11</xdr:col>
      <xdr:colOff>213360</xdr:colOff>
      <xdr:row>18</xdr:row>
      <xdr:rowOff>114300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6C386B8F-38EA-4341-817E-3BA06EE01BAA}"/>
            </a:ext>
          </a:extLst>
        </xdr:cNvPr>
        <xdr:cNvSpPr/>
      </xdr:nvSpPr>
      <xdr:spPr>
        <a:xfrm>
          <a:off x="6065520" y="2423160"/>
          <a:ext cx="1524000" cy="68580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38100</xdr:colOff>
      <xdr:row>14</xdr:row>
      <xdr:rowOff>167640</xdr:rowOff>
    </xdr:from>
    <xdr:ext cx="1386840" cy="306879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6D0B581D-17A9-4E77-86BE-3B03A20D77AE}"/>
            </a:ext>
          </a:extLst>
        </xdr:cNvPr>
        <xdr:cNvSpPr txBox="1"/>
      </xdr:nvSpPr>
      <xdr:spPr>
        <a:xfrm>
          <a:off x="6073140" y="2446020"/>
          <a:ext cx="1386840" cy="306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Probation Period Ter.</a:t>
          </a:r>
          <a:endParaRPr lang="ar-EG" sz="1400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  <xdr:twoCellAnchor>
    <xdr:from>
      <xdr:col>9</xdr:col>
      <xdr:colOff>434340</xdr:colOff>
      <xdr:row>16</xdr:row>
      <xdr:rowOff>121920</xdr:rowOff>
    </xdr:from>
    <xdr:to>
      <xdr:col>10</xdr:col>
      <xdr:colOff>487680</xdr:colOff>
      <xdr:row>18</xdr:row>
      <xdr:rowOff>83820</xdr:rowOff>
    </xdr:to>
    <xdr:sp macro="" textlink="$Y$27">
      <xdr:nvSpPr>
        <xdr:cNvPr id="63" name="TextBox 62">
          <a:extLst>
            <a:ext uri="{FF2B5EF4-FFF2-40B4-BE49-F238E27FC236}">
              <a16:creationId xmlns:a16="http://schemas.microsoft.com/office/drawing/2014/main" id="{DAAA9F5A-2E4C-4E9F-847D-676343D07F37}"/>
            </a:ext>
          </a:extLst>
        </xdr:cNvPr>
        <xdr:cNvSpPr txBox="1"/>
      </xdr:nvSpPr>
      <xdr:spPr>
        <a:xfrm>
          <a:off x="6469380" y="2766060"/>
          <a:ext cx="72390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indent="0" algn="ctr"/>
          <a:fld id="{E9BD09E5-6686-4813-98B1-9B5460A91225}" type="TxLink">
            <a:rPr lang="en-US" sz="1800" b="0" i="0" u="none" strike="noStrike">
              <a:solidFill>
                <a:schemeClr val="tx2"/>
              </a:solidFill>
              <a:latin typeface="Agency FB" panose="020B0503020202020204" pitchFamily="34" charset="0"/>
              <a:ea typeface="+mn-ea"/>
              <a:cs typeface="Arial"/>
            </a:rPr>
            <a:pPr marL="0" indent="0" algn="ctr"/>
            <a:t>58</a:t>
          </a:fld>
          <a:endParaRPr lang="en-US" sz="1800" b="0" i="0" u="none" strike="noStrike">
            <a:solidFill>
              <a:schemeClr val="tx2"/>
            </a:solidFill>
            <a:latin typeface="Agency FB" panose="020B050302020202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11</xdr:col>
      <xdr:colOff>251460</xdr:colOff>
      <xdr:row>14</xdr:row>
      <xdr:rowOff>144780</xdr:rowOff>
    </xdr:from>
    <xdr:to>
      <xdr:col>13</xdr:col>
      <xdr:colOff>434340</xdr:colOff>
      <xdr:row>18</xdr:row>
      <xdr:rowOff>114300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67FB9291-A5E9-496C-B286-043AC5C4B507}"/>
            </a:ext>
          </a:extLst>
        </xdr:cNvPr>
        <xdr:cNvSpPr/>
      </xdr:nvSpPr>
      <xdr:spPr>
        <a:xfrm>
          <a:off x="7627620" y="2423160"/>
          <a:ext cx="1524000" cy="68580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11</xdr:col>
      <xdr:colOff>259080</xdr:colOff>
      <xdr:row>14</xdr:row>
      <xdr:rowOff>167640</xdr:rowOff>
    </xdr:from>
    <xdr:ext cx="1386840" cy="31242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F919B544-C874-4A93-9B87-3A00A89D37CC}"/>
            </a:ext>
          </a:extLst>
        </xdr:cNvPr>
        <xdr:cNvSpPr txBox="1"/>
      </xdr:nvSpPr>
      <xdr:spPr>
        <a:xfrm>
          <a:off x="7635240" y="2446020"/>
          <a:ext cx="1386840" cy="31242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Training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Hours</a:t>
          </a:r>
        </a:p>
        <a:p>
          <a:endParaRPr lang="ar-EG" sz="1400">
            <a:effectLst/>
          </a:endParaRPr>
        </a:p>
      </xdr:txBody>
    </xdr:sp>
    <xdr:clientData/>
  </xdr:oneCellAnchor>
  <xdr:twoCellAnchor>
    <xdr:from>
      <xdr:col>11</xdr:col>
      <xdr:colOff>655320</xdr:colOff>
      <xdr:row>16</xdr:row>
      <xdr:rowOff>121920</xdr:rowOff>
    </xdr:from>
    <xdr:to>
      <xdr:col>13</xdr:col>
      <xdr:colOff>38100</xdr:colOff>
      <xdr:row>18</xdr:row>
      <xdr:rowOff>83820</xdr:rowOff>
    </xdr:to>
    <xdr:sp macro="" textlink="$Y$33">
      <xdr:nvSpPr>
        <xdr:cNvPr id="66" name="TextBox 65">
          <a:extLst>
            <a:ext uri="{FF2B5EF4-FFF2-40B4-BE49-F238E27FC236}">
              <a16:creationId xmlns:a16="http://schemas.microsoft.com/office/drawing/2014/main" id="{114584CF-E07E-42D2-A15D-441D2DD5DE2F}"/>
            </a:ext>
          </a:extLst>
        </xdr:cNvPr>
        <xdr:cNvSpPr txBox="1"/>
      </xdr:nvSpPr>
      <xdr:spPr>
        <a:xfrm>
          <a:off x="8031480" y="2766060"/>
          <a:ext cx="72390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indent="0" algn="ctr"/>
          <a:fld id="{9007E41A-60EA-48E4-B6B9-E76F18FDEF90}" type="TxLink">
            <a:rPr lang="en-US" sz="1800" b="0" i="0" u="none" strike="noStrike">
              <a:solidFill>
                <a:schemeClr val="tx2"/>
              </a:solidFill>
              <a:latin typeface="Agency FB" panose="020B0503020202020204" pitchFamily="34" charset="0"/>
              <a:ea typeface="+mn-ea"/>
              <a:cs typeface="Arial"/>
            </a:rPr>
            <a:pPr marL="0" indent="0" algn="ctr"/>
            <a:t>84</a:t>
          </a:fld>
          <a:endParaRPr lang="en-US" sz="1800" b="0" i="0" u="none" strike="noStrike">
            <a:solidFill>
              <a:schemeClr val="tx2"/>
            </a:solidFill>
            <a:latin typeface="Agency FB" panose="020B050302020202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13</xdr:col>
      <xdr:colOff>604520</xdr:colOff>
      <xdr:row>14</xdr:row>
      <xdr:rowOff>129540</xdr:rowOff>
    </xdr:from>
    <xdr:to>
      <xdr:col>15</xdr:col>
      <xdr:colOff>609600</xdr:colOff>
      <xdr:row>18</xdr:row>
      <xdr:rowOff>99060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ACD726E2-2A9B-4D04-B625-7358FFE1A4F6}"/>
            </a:ext>
          </a:extLst>
        </xdr:cNvPr>
        <xdr:cNvSpPr/>
      </xdr:nvSpPr>
      <xdr:spPr>
        <a:xfrm>
          <a:off x="9354820" y="2758440"/>
          <a:ext cx="1351280" cy="69342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</xdr:col>
      <xdr:colOff>472440</xdr:colOff>
      <xdr:row>14</xdr:row>
      <xdr:rowOff>152400</xdr:rowOff>
    </xdr:from>
    <xdr:ext cx="1386840" cy="306879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A1BB721-03A3-429C-828A-3912F6A9650F}"/>
            </a:ext>
          </a:extLst>
        </xdr:cNvPr>
        <xdr:cNvSpPr txBox="1"/>
      </xdr:nvSpPr>
      <xdr:spPr>
        <a:xfrm>
          <a:off x="9189720" y="2430780"/>
          <a:ext cx="1386840" cy="306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Trained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Employees</a:t>
          </a:r>
          <a:endParaRPr lang="ar-EG" sz="1400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  <xdr:twoCellAnchor>
    <xdr:from>
      <xdr:col>14</xdr:col>
      <xdr:colOff>198120</xdr:colOff>
      <xdr:row>16</xdr:row>
      <xdr:rowOff>106680</xdr:rowOff>
    </xdr:from>
    <xdr:to>
      <xdr:col>15</xdr:col>
      <xdr:colOff>251460</xdr:colOff>
      <xdr:row>18</xdr:row>
      <xdr:rowOff>68580</xdr:rowOff>
    </xdr:to>
    <xdr:sp macro="" textlink="$Y$34">
      <xdr:nvSpPr>
        <xdr:cNvPr id="69" name="TextBox 68">
          <a:extLst>
            <a:ext uri="{FF2B5EF4-FFF2-40B4-BE49-F238E27FC236}">
              <a16:creationId xmlns:a16="http://schemas.microsoft.com/office/drawing/2014/main" id="{47EC0F16-82C6-4F80-BE88-ECEF0A578F35}"/>
            </a:ext>
          </a:extLst>
        </xdr:cNvPr>
        <xdr:cNvSpPr txBox="1"/>
      </xdr:nvSpPr>
      <xdr:spPr>
        <a:xfrm>
          <a:off x="9585960" y="2750820"/>
          <a:ext cx="72390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indent="0" algn="ctr"/>
          <a:fld id="{08020C84-0DD9-4704-B16D-F13AB41A2D6E}" type="TxLink">
            <a:rPr lang="en-US" sz="1800" b="0" i="0" u="none" strike="noStrike">
              <a:solidFill>
                <a:schemeClr val="tx2"/>
              </a:solidFill>
              <a:latin typeface="Agency FB" panose="020B0503020202020204" pitchFamily="34" charset="0"/>
              <a:ea typeface="+mn-ea"/>
              <a:cs typeface="Arial"/>
            </a:rPr>
            <a:pPr marL="0" indent="0" algn="ctr"/>
            <a:t>75</a:t>
          </a:fld>
          <a:endParaRPr lang="en-US" sz="1800" b="0" i="0" u="none" strike="noStrike">
            <a:solidFill>
              <a:schemeClr val="tx2"/>
            </a:solidFill>
            <a:latin typeface="Agency FB" panose="020B0503020202020204" pitchFamily="34" charset="0"/>
            <a:ea typeface="+mn-ea"/>
            <a:cs typeface="Arial"/>
          </a:endParaRPr>
        </a:p>
      </xdr:txBody>
    </xdr:sp>
    <xdr:clientData/>
  </xdr:twoCellAnchor>
  <xdr:twoCellAnchor editAs="oneCell">
    <xdr:from>
      <xdr:col>2</xdr:col>
      <xdr:colOff>101600</xdr:colOff>
      <xdr:row>18</xdr:row>
      <xdr:rowOff>152400</xdr:rowOff>
    </xdr:from>
    <xdr:to>
      <xdr:col>4</xdr:col>
      <xdr:colOff>205740</xdr:colOff>
      <xdr:row>26</xdr:row>
      <xdr:rowOff>53339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DFB2CA75-5F3B-4B6C-AE1A-A97C1C6B3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3505200"/>
          <a:ext cx="1450340" cy="1323340"/>
        </a:xfrm>
        <a:prstGeom prst="rect">
          <a:avLst/>
        </a:prstGeom>
        <a:ln w="3175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2</xdr:col>
      <xdr:colOff>220980</xdr:colOff>
      <xdr:row>24</xdr:row>
      <xdr:rowOff>133350</xdr:rowOff>
    </xdr:from>
    <xdr:to>
      <xdr:col>3</xdr:col>
      <xdr:colOff>38100</xdr:colOff>
      <xdr:row>26</xdr:row>
      <xdr:rowOff>11430</xdr:rowOff>
    </xdr:to>
    <xdr:sp macro="" textlink="$Y$24">
      <xdr:nvSpPr>
        <xdr:cNvPr id="71" name="TextBox 70">
          <a:extLst>
            <a:ext uri="{FF2B5EF4-FFF2-40B4-BE49-F238E27FC236}">
              <a16:creationId xmlns:a16="http://schemas.microsoft.com/office/drawing/2014/main" id="{85115D3E-5FC5-4EC5-9E24-AD5A306BE6C3}"/>
            </a:ext>
          </a:extLst>
        </xdr:cNvPr>
        <xdr:cNvSpPr txBox="1"/>
      </xdr:nvSpPr>
      <xdr:spPr>
        <a:xfrm>
          <a:off x="1562100" y="4179570"/>
          <a:ext cx="4876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indent="0" algn="ctr"/>
          <a:fld id="{52DFE95C-2AF0-4D5A-9FE7-D5465D9E9AEB}" type="TxLink">
            <a:rPr lang="en-US" sz="1100" b="1" i="0" u="none" strike="noStrike">
              <a:solidFill>
                <a:schemeClr val="tx2"/>
              </a:solidFill>
              <a:latin typeface="Agency FB" panose="020B0503020202020204" pitchFamily="34" charset="0"/>
              <a:ea typeface="+mn-ea"/>
              <a:cs typeface="Arial"/>
            </a:rPr>
            <a:pPr marL="0" indent="0" algn="ctr"/>
            <a:t>167</a:t>
          </a:fld>
          <a:endParaRPr lang="en-US" sz="1100" b="1" i="0" u="none" strike="noStrike">
            <a:solidFill>
              <a:schemeClr val="tx2"/>
            </a:solidFill>
            <a:latin typeface="Agency FB" panose="020B050302020202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3</xdr:col>
      <xdr:colOff>213360</xdr:colOff>
      <xdr:row>24</xdr:row>
      <xdr:rowOff>133350</xdr:rowOff>
    </xdr:from>
    <xdr:to>
      <xdr:col>4</xdr:col>
      <xdr:colOff>30480</xdr:colOff>
      <xdr:row>26</xdr:row>
      <xdr:rowOff>11430</xdr:rowOff>
    </xdr:to>
    <xdr:sp macro="" textlink="$Z$24">
      <xdr:nvSpPr>
        <xdr:cNvPr id="72" name="TextBox 71">
          <a:extLst>
            <a:ext uri="{FF2B5EF4-FFF2-40B4-BE49-F238E27FC236}">
              <a16:creationId xmlns:a16="http://schemas.microsoft.com/office/drawing/2014/main" id="{3BF1037B-E3A4-4CCD-916D-194D9E3C8721}"/>
            </a:ext>
          </a:extLst>
        </xdr:cNvPr>
        <xdr:cNvSpPr txBox="1"/>
      </xdr:nvSpPr>
      <xdr:spPr>
        <a:xfrm>
          <a:off x="2225040" y="4179570"/>
          <a:ext cx="4876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indent="0" algn="ctr"/>
          <a:fld id="{7EA08A8C-D267-4D13-8D08-5BF9F916D34B}" type="TxLink">
            <a:rPr lang="en-US" sz="1100" b="1" i="0" u="none" strike="noStrike">
              <a:solidFill>
                <a:schemeClr val="tx2"/>
              </a:solidFill>
              <a:latin typeface="Agency FB" panose="020B0503020202020204" pitchFamily="34" charset="0"/>
              <a:ea typeface="+mn-ea"/>
              <a:cs typeface="Arial"/>
            </a:rPr>
            <a:pPr marL="0" indent="0" algn="ctr"/>
            <a:t>3,643</a:t>
          </a:fld>
          <a:endParaRPr lang="en-US" sz="1100" b="1" i="0" u="none" strike="noStrike">
            <a:solidFill>
              <a:schemeClr val="tx2"/>
            </a:solidFill>
            <a:latin typeface="Agency FB" panose="020B0503020202020204" pitchFamily="34" charset="0"/>
            <a:ea typeface="+mn-ea"/>
            <a:cs typeface="Arial"/>
          </a:endParaRPr>
        </a:p>
      </xdr:txBody>
    </xdr:sp>
    <xdr:clientData/>
  </xdr:twoCellAnchor>
  <xdr:twoCellAnchor editAs="oneCell">
    <xdr:from>
      <xdr:col>4</xdr:col>
      <xdr:colOff>251460</xdr:colOff>
      <xdr:row>18</xdr:row>
      <xdr:rowOff>160020</xdr:rowOff>
    </xdr:from>
    <xdr:to>
      <xdr:col>6</xdr:col>
      <xdr:colOff>411480</xdr:colOff>
      <xdr:row>26</xdr:row>
      <xdr:rowOff>60959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317247E7-659B-4795-A206-5C17244B6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3154680"/>
          <a:ext cx="1501140" cy="1303020"/>
        </a:xfrm>
        <a:prstGeom prst="rect">
          <a:avLst/>
        </a:prstGeom>
        <a:ln>
          <a:solidFill>
            <a:schemeClr val="bg2">
              <a:lumMod val="90000"/>
            </a:schemeClr>
          </a:solidFill>
        </a:ln>
      </xdr:spPr>
    </xdr:pic>
    <xdr:clientData/>
  </xdr:twoCellAnchor>
  <xdr:oneCellAnchor>
    <xdr:from>
      <xdr:col>5</xdr:col>
      <xdr:colOff>7620</xdr:colOff>
      <xdr:row>21</xdr:row>
      <xdr:rowOff>91440</xdr:rowOff>
    </xdr:from>
    <xdr:ext cx="662940" cy="640080"/>
    <xdr:sp macro="" textlink="$Y$29">
      <xdr:nvSpPr>
        <xdr:cNvPr id="74" name="TextBox 73">
          <a:extLst>
            <a:ext uri="{FF2B5EF4-FFF2-40B4-BE49-F238E27FC236}">
              <a16:creationId xmlns:a16="http://schemas.microsoft.com/office/drawing/2014/main" id="{0DDF8B17-2C99-475D-9222-BF84EFC46A17}"/>
            </a:ext>
          </a:extLst>
        </xdr:cNvPr>
        <xdr:cNvSpPr txBox="1"/>
      </xdr:nvSpPr>
      <xdr:spPr>
        <a:xfrm>
          <a:off x="3360420" y="3611880"/>
          <a:ext cx="662940" cy="640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indent="0" algn="ctr"/>
          <a:fld id="{C85160FB-B634-40A1-B082-5E2F21B30B92}" type="TxLink">
            <a:rPr lang="en-US" sz="1800" b="0" i="0" u="none" strike="noStrike">
              <a:solidFill>
                <a:schemeClr val="tx2"/>
              </a:solidFill>
              <a:latin typeface="Agency FB" panose="020B0503020202020204" pitchFamily="34" charset="0"/>
              <a:ea typeface="+mn-ea"/>
              <a:cs typeface="Arial"/>
            </a:rPr>
            <a:pPr marL="0" indent="0" algn="ctr"/>
            <a:t>12%</a:t>
          </a:fld>
          <a:endParaRPr lang="en-US" sz="1800" b="0" i="0" u="none" strike="noStrike">
            <a:solidFill>
              <a:schemeClr val="tx2"/>
            </a:solidFill>
            <a:latin typeface="Agency FB" panose="020B0503020202020204" pitchFamily="34" charset="0"/>
            <a:ea typeface="+mn-ea"/>
            <a:cs typeface="Arial"/>
          </a:endParaRPr>
        </a:p>
      </xdr:txBody>
    </xdr:sp>
    <xdr:clientData/>
  </xdr:oneCellAnchor>
  <xdr:oneCellAnchor>
    <xdr:from>
      <xdr:col>4</xdr:col>
      <xdr:colOff>251460</xdr:colOff>
      <xdr:row>18</xdr:row>
      <xdr:rowOff>160020</xdr:rowOff>
    </xdr:from>
    <xdr:ext cx="1386840" cy="335348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492D1DDC-1E9A-41C6-ABDF-4ADF696C38DD}"/>
            </a:ext>
          </a:extLst>
        </xdr:cNvPr>
        <xdr:cNvSpPr txBox="1"/>
      </xdr:nvSpPr>
      <xdr:spPr>
        <a:xfrm>
          <a:off x="2933700" y="3154680"/>
          <a:ext cx="1386840" cy="3353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6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Arial"/>
            </a:rPr>
            <a:t>Turnover</a:t>
          </a:r>
        </a:p>
      </xdr:txBody>
    </xdr:sp>
    <xdr:clientData/>
  </xdr:oneCellAnchor>
  <xdr:twoCellAnchor>
    <xdr:from>
      <xdr:col>2</xdr:col>
      <xdr:colOff>19050</xdr:colOff>
      <xdr:row>26</xdr:row>
      <xdr:rowOff>106680</xdr:rowOff>
    </xdr:from>
    <xdr:to>
      <xdr:col>6</xdr:col>
      <xdr:colOff>419100</xdr:colOff>
      <xdr:row>32</xdr:row>
      <xdr:rowOff>134112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D8648-5707-44E1-B1DC-524B7DF66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457200</xdr:colOff>
      <xdr:row>18</xdr:row>
      <xdr:rowOff>152400</xdr:rowOff>
    </xdr:from>
    <xdr:to>
      <xdr:col>7</xdr:col>
      <xdr:colOff>647700</xdr:colOff>
      <xdr:row>24</xdr:row>
      <xdr:rowOff>137160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7530618F-9CEE-412B-852B-F4B7AEA33B16}"/>
            </a:ext>
          </a:extLst>
        </xdr:cNvPr>
        <xdr:cNvSpPr/>
      </xdr:nvSpPr>
      <xdr:spPr>
        <a:xfrm>
          <a:off x="4480560" y="3147060"/>
          <a:ext cx="861060" cy="103632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22860</xdr:colOff>
      <xdr:row>18</xdr:row>
      <xdr:rowOff>152400</xdr:rowOff>
    </xdr:from>
    <xdr:to>
      <xdr:col>9</xdr:col>
      <xdr:colOff>213360</xdr:colOff>
      <xdr:row>24</xdr:row>
      <xdr:rowOff>137160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87FEFE4C-9E93-4609-9727-B8C4AFC3D859}"/>
            </a:ext>
          </a:extLst>
        </xdr:cNvPr>
        <xdr:cNvSpPr/>
      </xdr:nvSpPr>
      <xdr:spPr>
        <a:xfrm>
          <a:off x="5387340" y="3147060"/>
          <a:ext cx="861060" cy="103632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480060</xdr:colOff>
      <xdr:row>18</xdr:row>
      <xdr:rowOff>160020</xdr:rowOff>
    </xdr:from>
    <xdr:ext cx="807720" cy="5181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F9BB29AA-6178-48E0-BA44-A5A86DB3A609}"/>
            </a:ext>
          </a:extLst>
        </xdr:cNvPr>
        <xdr:cNvSpPr txBox="1"/>
      </xdr:nvSpPr>
      <xdr:spPr>
        <a:xfrm>
          <a:off x="4503420" y="3154680"/>
          <a:ext cx="807720" cy="518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Retired Employees</a:t>
          </a:r>
        </a:p>
      </xdr:txBody>
    </xdr:sp>
    <xdr:clientData/>
  </xdr:oneCellAnchor>
  <xdr:oneCellAnchor>
    <xdr:from>
      <xdr:col>8</xdr:col>
      <xdr:colOff>91440</xdr:colOff>
      <xdr:row>18</xdr:row>
      <xdr:rowOff>167640</xdr:rowOff>
    </xdr:from>
    <xdr:ext cx="807720" cy="5181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AB45AD78-B465-4B52-A3F6-60E29D637561}"/>
            </a:ext>
          </a:extLst>
        </xdr:cNvPr>
        <xdr:cNvSpPr txBox="1"/>
      </xdr:nvSpPr>
      <xdr:spPr>
        <a:xfrm>
          <a:off x="5455920" y="3162300"/>
          <a:ext cx="807720" cy="518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Leavers &lt; 3 Years</a:t>
          </a:r>
        </a:p>
      </xdr:txBody>
    </xdr:sp>
    <xdr:clientData/>
  </xdr:oneCellAnchor>
  <xdr:twoCellAnchor>
    <xdr:from>
      <xdr:col>6</xdr:col>
      <xdr:colOff>533400</xdr:colOff>
      <xdr:row>22</xdr:row>
      <xdr:rowOff>45720</xdr:rowOff>
    </xdr:from>
    <xdr:to>
      <xdr:col>7</xdr:col>
      <xdr:colOff>586740</xdr:colOff>
      <xdr:row>24</xdr:row>
      <xdr:rowOff>7620</xdr:rowOff>
    </xdr:to>
    <xdr:sp macro="" textlink="$Y$30">
      <xdr:nvSpPr>
        <xdr:cNvPr id="82" name="TextBox 81">
          <a:extLst>
            <a:ext uri="{FF2B5EF4-FFF2-40B4-BE49-F238E27FC236}">
              <a16:creationId xmlns:a16="http://schemas.microsoft.com/office/drawing/2014/main" id="{B9379729-8C77-4431-AA4C-0DC7AA1C3C71}"/>
            </a:ext>
          </a:extLst>
        </xdr:cNvPr>
        <xdr:cNvSpPr txBox="1"/>
      </xdr:nvSpPr>
      <xdr:spPr>
        <a:xfrm>
          <a:off x="4556760" y="3741420"/>
          <a:ext cx="72390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indent="0" algn="ctr"/>
          <a:fld id="{FDA9E471-364E-4331-B37B-0C96401A39B6}" type="TxLink">
            <a:rPr lang="en-US" sz="1800" b="0" i="0" u="none" strike="noStrike">
              <a:solidFill>
                <a:schemeClr val="tx2"/>
              </a:solidFill>
              <a:latin typeface="Agency FB" panose="020B0503020202020204" pitchFamily="34" charset="0"/>
              <a:ea typeface="+mn-ea"/>
              <a:cs typeface="Arial"/>
            </a:rPr>
            <a:pPr marL="0" indent="0" algn="ctr"/>
            <a:t>16</a:t>
          </a:fld>
          <a:endParaRPr lang="en-US" sz="1800" b="0" i="0" u="none" strike="noStrike">
            <a:solidFill>
              <a:schemeClr val="tx2"/>
            </a:solidFill>
            <a:latin typeface="Agency FB" panose="020B050302020202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8</xdr:col>
      <xdr:colOff>160020</xdr:colOff>
      <xdr:row>22</xdr:row>
      <xdr:rowOff>99060</xdr:rowOff>
    </xdr:from>
    <xdr:to>
      <xdr:col>9</xdr:col>
      <xdr:colOff>213360</xdr:colOff>
      <xdr:row>24</xdr:row>
      <xdr:rowOff>60960</xdr:rowOff>
    </xdr:to>
    <xdr:sp macro="" textlink="$Y$28">
      <xdr:nvSpPr>
        <xdr:cNvPr id="83" name="TextBox 82">
          <a:extLst>
            <a:ext uri="{FF2B5EF4-FFF2-40B4-BE49-F238E27FC236}">
              <a16:creationId xmlns:a16="http://schemas.microsoft.com/office/drawing/2014/main" id="{E63BD250-807B-47EE-AD79-995C6A8F4238}"/>
            </a:ext>
          </a:extLst>
        </xdr:cNvPr>
        <xdr:cNvSpPr txBox="1"/>
      </xdr:nvSpPr>
      <xdr:spPr>
        <a:xfrm>
          <a:off x="5524500" y="3794760"/>
          <a:ext cx="72390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indent="0" algn="ctr"/>
          <a:fld id="{1479BE36-B32B-4B02-9DD9-AA7472B1C4BB}" type="TxLink">
            <a:rPr lang="en-US" sz="1800" b="0" i="0" u="none" strike="noStrike">
              <a:solidFill>
                <a:schemeClr val="tx2"/>
              </a:solidFill>
              <a:latin typeface="Agency FB" panose="020B0503020202020204" pitchFamily="34" charset="0"/>
              <a:ea typeface="+mn-ea"/>
              <a:cs typeface="Arial"/>
            </a:rPr>
            <a:pPr marL="0" indent="0" algn="ctr"/>
            <a:t>166</a:t>
          </a:fld>
          <a:endParaRPr lang="en-US" sz="1800" b="0" i="0" u="none" strike="noStrike">
            <a:solidFill>
              <a:schemeClr val="tx2"/>
            </a:solidFill>
            <a:latin typeface="Agency FB" panose="020B0503020202020204" pitchFamily="34" charset="0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453390</xdr:colOff>
      <xdr:row>25</xdr:row>
      <xdr:rowOff>0</xdr:rowOff>
    </xdr:from>
    <xdr:to>
      <xdr:col>9</xdr:col>
      <xdr:colOff>213360</xdr:colOff>
      <xdr:row>32</xdr:row>
      <xdr:rowOff>137160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227B9B2-9D7E-4800-BD49-32F973EB9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7</xdr:col>
      <xdr:colOff>213360</xdr:colOff>
      <xdr:row>28</xdr:row>
      <xdr:rowOff>137160</xdr:rowOff>
    </xdr:from>
    <xdr:ext cx="861060" cy="304955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C1B52A6C-5081-4631-99D0-9A3B97334098}"/>
            </a:ext>
          </a:extLst>
        </xdr:cNvPr>
        <xdr:cNvSpPr txBox="1"/>
      </xdr:nvSpPr>
      <xdr:spPr>
        <a:xfrm>
          <a:off x="4907280" y="4884420"/>
          <a:ext cx="861060" cy="3049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4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Arial"/>
            </a:rPr>
            <a:t>HR</a:t>
          </a:r>
          <a:r>
            <a:rPr lang="en-US" sz="1400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Arial"/>
            </a:rPr>
            <a:t> Count</a:t>
          </a:r>
          <a:endParaRPr lang="en-US" sz="1400" b="0" i="0" u="none" strike="noStrike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  <a:ea typeface="+mn-ea"/>
            <a:cs typeface="Arial"/>
          </a:endParaRPr>
        </a:p>
      </xdr:txBody>
    </xdr:sp>
    <xdr:clientData/>
  </xdr:oneCellAnchor>
  <xdr:twoCellAnchor>
    <xdr:from>
      <xdr:col>9</xdr:col>
      <xdr:colOff>247650</xdr:colOff>
      <xdr:row>19</xdr:row>
      <xdr:rowOff>0</xdr:rowOff>
    </xdr:from>
    <xdr:to>
      <xdr:col>11</xdr:col>
      <xdr:colOff>45720</xdr:colOff>
      <xdr:row>32</xdr:row>
      <xdr:rowOff>137160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A28EBFF-F3AD-4119-8B5A-052D0B9DD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95250</xdr:colOff>
      <xdr:row>19</xdr:row>
      <xdr:rowOff>22860</xdr:rowOff>
    </xdr:from>
    <xdr:to>
      <xdr:col>13</xdr:col>
      <xdr:colOff>289560</xdr:colOff>
      <xdr:row>25</xdr:row>
      <xdr:rowOff>144780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B67344AD-5090-4836-8228-2C875F3F2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91440</xdr:colOff>
      <xdr:row>26</xdr:row>
      <xdr:rowOff>38100</xdr:rowOff>
    </xdr:from>
    <xdr:to>
      <xdr:col>13</xdr:col>
      <xdr:colOff>285750</xdr:colOff>
      <xdr:row>32</xdr:row>
      <xdr:rowOff>121920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20B8FC80-0FC5-40D8-A1DC-D24B80DF2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350520</xdr:colOff>
      <xdr:row>19</xdr:row>
      <xdr:rowOff>22860</xdr:rowOff>
    </xdr:from>
    <xdr:to>
      <xdr:col>15</xdr:col>
      <xdr:colOff>596900</xdr:colOff>
      <xdr:row>25</xdr:row>
      <xdr:rowOff>160020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434E832F-7852-4557-AF63-93B63D9B5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342900</xdr:colOff>
      <xdr:row>26</xdr:row>
      <xdr:rowOff>38100</xdr:rowOff>
    </xdr:from>
    <xdr:to>
      <xdr:col>15</xdr:col>
      <xdr:colOff>609600</xdr:colOff>
      <xdr:row>32</xdr:row>
      <xdr:rowOff>121920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0B914B72-42D7-4CAE-8580-9B22FA001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oneCellAnchor>
    <xdr:from>
      <xdr:col>11</xdr:col>
      <xdr:colOff>403860</xdr:colOff>
      <xdr:row>28</xdr:row>
      <xdr:rowOff>76200</xdr:rowOff>
    </xdr:from>
    <xdr:ext cx="899160" cy="465769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DC577767-0D8C-47D2-9A86-19FB8B83F74E}"/>
            </a:ext>
          </a:extLst>
        </xdr:cNvPr>
        <xdr:cNvSpPr txBox="1"/>
      </xdr:nvSpPr>
      <xdr:spPr>
        <a:xfrm>
          <a:off x="7780020" y="4823460"/>
          <a:ext cx="899160" cy="465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Training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Effectiveness</a:t>
          </a:r>
          <a:endParaRPr lang="ar-EG" sz="1200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0.19175</cdr:x>
      <cdr:y>0</cdr:y>
    </cdr:from>
    <cdr:to>
      <cdr:x>0.76589</cdr:x>
      <cdr:y>0.18717</cdr:y>
    </cdr:to>
    <cdr:sp macro="" textlink="">
      <cdr:nvSpPr>
        <cdr:cNvPr id="2" name="TextBox 76">
          <a:extLst xmlns:a="http://schemas.openxmlformats.org/drawingml/2006/main">
            <a:ext uri="{FF2B5EF4-FFF2-40B4-BE49-F238E27FC236}">
              <a16:creationId xmlns:a16="http://schemas.microsoft.com/office/drawing/2014/main" id="{C8FE434A-AD97-43DF-85FF-1EF7C3A7A13A}"/>
            </a:ext>
          </a:extLst>
        </cdr:cNvPr>
        <cdr:cNvSpPr txBox="1"/>
      </cdr:nvSpPr>
      <cdr:spPr>
        <a:xfrm xmlns:a="http://schemas.openxmlformats.org/drawingml/2006/main">
          <a:off x="218440" y="0"/>
          <a:ext cx="654050" cy="45212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Average Age</a:t>
          </a:r>
        </a:p>
      </cdr:txBody>
    </cdr:sp>
  </cdr:relSizeAnchor>
  <cdr:relSizeAnchor xmlns:cdr="http://schemas.openxmlformats.org/drawingml/2006/chartDrawing">
    <cdr:from>
      <cdr:x>0.21182</cdr:x>
      <cdr:y>0.17876</cdr:y>
    </cdr:from>
    <cdr:to>
      <cdr:x>0.71906</cdr:x>
      <cdr:y>0.31861</cdr:y>
    </cdr:to>
    <cdr:sp macro="" textlink="Sheet1!$AK$32">
      <cdr:nvSpPr>
        <cdr:cNvPr id="3" name="TextBox 77">
          <a:extLst xmlns:a="http://schemas.openxmlformats.org/drawingml/2006/main">
            <a:ext uri="{FF2B5EF4-FFF2-40B4-BE49-F238E27FC236}">
              <a16:creationId xmlns:a16="http://schemas.microsoft.com/office/drawing/2014/main" id="{4785C822-3B42-4A60-A2DF-8A27E662B44F}"/>
            </a:ext>
          </a:extLst>
        </cdr:cNvPr>
        <cdr:cNvSpPr txBox="1"/>
      </cdr:nvSpPr>
      <cdr:spPr>
        <a:xfrm xmlns:a="http://schemas.openxmlformats.org/drawingml/2006/main">
          <a:off x="241300" y="431800"/>
          <a:ext cx="577850" cy="3378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1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18ED82D1-D52E-403A-927E-7E49CCE0EAA9}" type="TxLink">
            <a:rPr lang="en-US" sz="1800" b="0" i="0" u="none" strike="noStrike">
              <a:solidFill>
                <a:schemeClr val="tx2"/>
              </a:solidFill>
              <a:latin typeface="Agency FB" panose="020B0503020202020204" pitchFamily="34" charset="0"/>
              <a:ea typeface="+mn-ea"/>
              <a:cs typeface="Arial"/>
            </a:rPr>
            <a:pPr marL="0" indent="0" algn="ctr"/>
            <a:t>41</a:t>
          </a:fld>
          <a:endParaRPr lang="en-US" sz="1800" b="0" i="0" u="none" strike="noStrike">
            <a:solidFill>
              <a:schemeClr val="tx2"/>
            </a:solidFill>
            <a:latin typeface="Agency FB" panose="020B0503020202020204" pitchFamily="34" charset="0"/>
            <a:ea typeface="+mn-ea"/>
            <a:cs typeface="Arial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0.14723</cdr:x>
      <cdr:y>0.39613</cdr:y>
    </cdr:from>
    <cdr:to>
      <cdr:x>0.8172</cdr:x>
      <cdr:y>0.75977</cdr:y>
    </cdr:to>
    <cdr:sp macro="" textlink="">
      <cdr:nvSpPr>
        <cdr:cNvPr id="2" name="TextBox 82">
          <a:extLst xmlns:a="http://schemas.openxmlformats.org/drawingml/2006/main">
            <a:ext uri="{FF2B5EF4-FFF2-40B4-BE49-F238E27FC236}">
              <a16:creationId xmlns:a16="http://schemas.microsoft.com/office/drawing/2014/main" id="{CBA39717-40BC-4D93-B158-C84B57F44A98}"/>
            </a:ext>
          </a:extLst>
        </cdr:cNvPr>
        <cdr:cNvSpPr txBox="1"/>
      </cdr:nvSpPr>
      <cdr:spPr>
        <a:xfrm xmlns:a="http://schemas.openxmlformats.org/drawingml/2006/main">
          <a:off x="226060" y="464852"/>
          <a:ext cx="1028700" cy="42672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Automated Processes</a:t>
          </a:r>
        </a:p>
      </cdr:txBody>
    </cdr:sp>
  </cdr:relSizeAnchor>
  <cdr:relSizeAnchor xmlns:cdr="http://schemas.openxmlformats.org/drawingml/2006/chartDrawing">
    <cdr:from>
      <cdr:x>0.23656</cdr:x>
      <cdr:y>0.18143</cdr:y>
    </cdr:from>
    <cdr:to>
      <cdr:x>0.78246</cdr:x>
      <cdr:y>0.44948</cdr:y>
    </cdr:to>
    <cdr:sp macro="" textlink="Sheet1!$Y$36">
      <cdr:nvSpPr>
        <cdr:cNvPr id="3" name="TextBox 83">
          <a:extLst xmlns:a="http://schemas.openxmlformats.org/drawingml/2006/main">
            <a:ext uri="{FF2B5EF4-FFF2-40B4-BE49-F238E27FC236}">
              <a16:creationId xmlns:a16="http://schemas.microsoft.com/office/drawing/2014/main" id="{ED669A59-D3B1-4CE1-8A1C-931A386C3063}"/>
            </a:ext>
          </a:extLst>
        </cdr:cNvPr>
        <cdr:cNvSpPr txBox="1"/>
      </cdr:nvSpPr>
      <cdr:spPr>
        <a:xfrm xmlns:a="http://schemas.openxmlformats.org/drawingml/2006/main">
          <a:off x="363220" y="218440"/>
          <a:ext cx="838200" cy="3227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1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884FD194-B5E9-46CD-AB2C-1919EA591798}" type="TxLink">
            <a:rPr lang="en-US" sz="1800" b="0" i="0" u="none" strike="noStrike">
              <a:solidFill>
                <a:schemeClr val="tx2"/>
              </a:solidFill>
              <a:latin typeface="Agency FB" panose="020B0503020202020204" pitchFamily="34" charset="0"/>
              <a:ea typeface="+mn-ea"/>
              <a:cs typeface="Arial"/>
            </a:rPr>
            <a:pPr marL="0" indent="0" algn="ctr"/>
            <a:t>60%</a:t>
          </a:fld>
          <a:endParaRPr lang="en-US" sz="1800" b="0" i="0" u="none" strike="noStrike">
            <a:solidFill>
              <a:schemeClr val="tx2"/>
            </a:solidFill>
            <a:latin typeface="Agency FB" panose="020B0503020202020204" pitchFamily="34" charset="0"/>
            <a:ea typeface="+mn-ea"/>
            <a:cs typeface="Arial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0.23656</cdr:x>
      <cdr:y>0.13445</cdr:y>
    </cdr:from>
    <cdr:to>
      <cdr:x>0.78246</cdr:x>
      <cdr:y>0.4025</cdr:y>
    </cdr:to>
    <cdr:sp macro="" textlink="Sheet1!$Y$39">
      <cdr:nvSpPr>
        <cdr:cNvPr id="3" name="TextBox 83">
          <a:extLst xmlns:a="http://schemas.openxmlformats.org/drawingml/2006/main">
            <a:ext uri="{FF2B5EF4-FFF2-40B4-BE49-F238E27FC236}">
              <a16:creationId xmlns:a16="http://schemas.microsoft.com/office/drawing/2014/main" id="{ED669A59-D3B1-4CE1-8A1C-931A386C3063}"/>
            </a:ext>
          </a:extLst>
        </cdr:cNvPr>
        <cdr:cNvSpPr txBox="1"/>
      </cdr:nvSpPr>
      <cdr:spPr>
        <a:xfrm xmlns:a="http://schemas.openxmlformats.org/drawingml/2006/main">
          <a:off x="363221" y="152652"/>
          <a:ext cx="838192" cy="3043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1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CC3F0F0E-4AB7-4359-A3EC-EEE522B17374}" type="TxLink">
            <a:rPr lang="en-US" sz="1800" b="0" i="0" u="none" strike="noStrike">
              <a:solidFill>
                <a:schemeClr val="tx2"/>
              </a:solidFill>
              <a:latin typeface="Agency FB" panose="020B0503020202020204" pitchFamily="34" charset="0"/>
              <a:ea typeface="+mn-ea"/>
              <a:cs typeface="Arial"/>
            </a:rPr>
            <a:pPr marL="0" indent="0" algn="ctr"/>
            <a:t>70%</a:t>
          </a:fld>
          <a:endParaRPr lang="en-US" sz="1800" b="0" i="0" u="none" strike="noStrike">
            <a:solidFill>
              <a:schemeClr val="tx2"/>
            </a:solidFill>
            <a:latin typeface="Agency FB" panose="020B0503020202020204" pitchFamily="34" charset="0"/>
            <a:ea typeface="+mn-ea"/>
            <a:cs typeface="Arial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0.177</cdr:x>
      <cdr:y>0.37715</cdr:y>
    </cdr:from>
    <cdr:to>
      <cdr:x>0.84698</cdr:x>
      <cdr:y>0.77339</cdr:y>
    </cdr:to>
    <cdr:sp macro="" textlink="">
      <cdr:nvSpPr>
        <cdr:cNvPr id="2" name="TextBox 82">
          <a:extLst xmlns:a="http://schemas.openxmlformats.org/drawingml/2006/main">
            <a:ext uri="{FF2B5EF4-FFF2-40B4-BE49-F238E27FC236}">
              <a16:creationId xmlns:a16="http://schemas.microsoft.com/office/drawing/2014/main" id="{CBA39717-40BC-4D93-B158-C84B57F44A98}"/>
            </a:ext>
          </a:extLst>
        </cdr:cNvPr>
        <cdr:cNvSpPr txBox="1"/>
      </cdr:nvSpPr>
      <cdr:spPr>
        <a:xfrm xmlns:a="http://schemas.openxmlformats.org/drawingml/2006/main">
          <a:off x="271773" y="448324"/>
          <a:ext cx="1028707" cy="47102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Training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Achievement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ar-EG" sz="1200">
            <a:effectLst/>
          </a:endParaRPr>
        </a:p>
      </cdr:txBody>
    </cdr:sp>
  </cdr:relSizeAnchor>
  <cdr:relSizeAnchor xmlns:cdr="http://schemas.openxmlformats.org/drawingml/2006/chartDrawing">
    <cdr:from>
      <cdr:x>0.25641</cdr:x>
      <cdr:y>0.1622</cdr:y>
    </cdr:from>
    <cdr:to>
      <cdr:x>0.80231</cdr:x>
      <cdr:y>0.43025</cdr:y>
    </cdr:to>
    <cdr:sp macro="" textlink="Sheet1!$Y$40">
      <cdr:nvSpPr>
        <cdr:cNvPr id="3" name="TextBox 83">
          <a:extLst xmlns:a="http://schemas.openxmlformats.org/drawingml/2006/main">
            <a:ext uri="{FF2B5EF4-FFF2-40B4-BE49-F238E27FC236}">
              <a16:creationId xmlns:a16="http://schemas.microsoft.com/office/drawing/2014/main" id="{ED669A59-D3B1-4CE1-8A1C-931A386C3063}"/>
            </a:ext>
          </a:extLst>
        </cdr:cNvPr>
        <cdr:cNvSpPr txBox="1"/>
      </cdr:nvSpPr>
      <cdr:spPr>
        <a:xfrm xmlns:a="http://schemas.openxmlformats.org/drawingml/2006/main">
          <a:off x="393701" y="192809"/>
          <a:ext cx="838192" cy="3186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1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4ACB946C-AFAE-4860-BEC1-9558321216DE}" type="TxLink">
            <a:rPr lang="en-US" sz="1800" b="0" i="0" u="none" strike="noStrike">
              <a:solidFill>
                <a:schemeClr val="tx2"/>
              </a:solidFill>
              <a:latin typeface="Agency FB" panose="020B0503020202020204" pitchFamily="34" charset="0"/>
              <a:ea typeface="+mn-ea"/>
              <a:cs typeface="Arial"/>
            </a:rPr>
            <a:pPr marL="0" indent="0" algn="ctr"/>
            <a:t>89%</a:t>
          </a:fld>
          <a:endParaRPr lang="en-US" sz="1800" b="0" i="0" u="none" strike="noStrike">
            <a:solidFill>
              <a:schemeClr val="tx2"/>
            </a:solidFill>
            <a:latin typeface="Agency FB" panose="020B0503020202020204" pitchFamily="34" charset="0"/>
            <a:ea typeface="+mn-ea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0.20678</cdr:x>
      <cdr:y>0.36192</cdr:y>
    </cdr:from>
    <cdr:to>
      <cdr:x>0.79901</cdr:x>
      <cdr:y>0.77678</cdr:y>
    </cdr:to>
    <cdr:sp macro="" textlink="">
      <cdr:nvSpPr>
        <cdr:cNvPr id="2" name="TextBox 82">
          <a:extLst xmlns:a="http://schemas.openxmlformats.org/drawingml/2006/main">
            <a:ext uri="{FF2B5EF4-FFF2-40B4-BE49-F238E27FC236}">
              <a16:creationId xmlns:a16="http://schemas.microsoft.com/office/drawing/2014/main" id="{CBA39717-40BC-4D93-B158-C84B57F44A98}"/>
            </a:ext>
          </a:extLst>
        </cdr:cNvPr>
        <cdr:cNvSpPr txBox="1"/>
      </cdr:nvSpPr>
      <cdr:spPr>
        <a:xfrm xmlns:a="http://schemas.openxmlformats.org/drawingml/2006/main">
          <a:off x="317493" y="410915"/>
          <a:ext cx="909327" cy="47102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MP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Achievement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ar-EG" sz="1200">
            <a:effectLst/>
          </a:endParaRPr>
        </a:p>
      </cdr:txBody>
    </cdr:sp>
  </cdr:relSizeAnchor>
  <cdr:relSizeAnchor xmlns:cdr="http://schemas.openxmlformats.org/drawingml/2006/chartDrawing">
    <cdr:from>
      <cdr:x>0.24649</cdr:x>
      <cdr:y>0.14116</cdr:y>
    </cdr:from>
    <cdr:to>
      <cdr:x>0.79239</cdr:x>
      <cdr:y>0.40921</cdr:y>
    </cdr:to>
    <cdr:sp macro="" textlink="Sheet1!$Y$41">
      <cdr:nvSpPr>
        <cdr:cNvPr id="3" name="TextBox 83">
          <a:extLst xmlns:a="http://schemas.openxmlformats.org/drawingml/2006/main">
            <a:ext uri="{FF2B5EF4-FFF2-40B4-BE49-F238E27FC236}">
              <a16:creationId xmlns:a16="http://schemas.microsoft.com/office/drawing/2014/main" id="{ED669A59-D3B1-4CE1-8A1C-931A386C3063}"/>
            </a:ext>
          </a:extLst>
        </cdr:cNvPr>
        <cdr:cNvSpPr txBox="1"/>
      </cdr:nvSpPr>
      <cdr:spPr>
        <a:xfrm xmlns:a="http://schemas.openxmlformats.org/drawingml/2006/main">
          <a:off x="378461" y="160272"/>
          <a:ext cx="838192" cy="3043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1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D9BB8495-1644-49FE-A034-77886AB35F51}" type="TxLink">
            <a:rPr lang="en-US" sz="1800" b="0" i="0" u="none" strike="noStrike">
              <a:solidFill>
                <a:schemeClr val="tx2"/>
              </a:solidFill>
              <a:latin typeface="Agency FB" panose="020B0503020202020204" pitchFamily="34" charset="0"/>
              <a:ea typeface="+mn-ea"/>
              <a:cs typeface="Arial"/>
            </a:rPr>
            <a:pPr marL="0" indent="0" algn="ctr"/>
            <a:t>90%</a:t>
          </a:fld>
          <a:endParaRPr lang="en-US" sz="1800" b="0" i="0" u="none" strike="noStrike">
            <a:solidFill>
              <a:schemeClr val="tx2"/>
            </a:solidFill>
            <a:latin typeface="Agency FB" panose="020B0503020202020204" pitchFamily="34" charset="0"/>
            <a:ea typeface="+mn-ea"/>
            <a:cs typeface="Arial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4F227EC-CA7E-4639-B9A6-6BDB09C57ABE}" autoFormatId="16" applyNumberFormats="0" applyBorderFormats="0" applyFontFormats="0" applyPatternFormats="0" applyAlignmentFormats="0" applyWidthHeightFormats="0">
  <queryTableRefresh nextId="35">
    <queryTableFields count="34">
      <queryTableField id="1" name="Month" tableColumnId="1"/>
      <queryTableField id="2" name="Saudis" tableColumnId="2"/>
      <queryTableField id="3" name="Non-Sauids" tableColumnId="3"/>
      <queryTableField id="4" name="# Headcount" tableColumnId="4"/>
      <queryTableField id="5" name="% Saudization" tableColumnId="5"/>
      <queryTableField id="6" name="# Sick Leave" tableColumnId="6"/>
      <queryTableField id="7" name="# Hours Late" tableColumnId="7"/>
      <queryTableField id="8" name="# Unpaid Leaves" tableColumnId="8"/>
      <queryTableField id="9" name="$ Incentive" tableColumnId="9"/>
      <queryTableField id="10" name="$ Overtime" tableColumnId="10"/>
      <queryTableField id="11" name="$ Payroll" tableColumnId="11"/>
      <queryTableField id="12" name="# Leavers" tableColumnId="12"/>
      <queryTableField id="13" name="# Joiners" tableColumnId="13"/>
      <queryTableField id="14" name="% Outsource" tableColumnId="14"/>
      <queryTableField id="15" name="# Part Timers" tableColumnId="15"/>
      <queryTableField id="16" name="# Employees Aged &gt;50" tableColumnId="16"/>
      <queryTableField id="17" name="% Of Females" tableColumnId="17"/>
      <queryTableField id="18" name="# Corrective Actions" tableColumnId="18"/>
      <queryTableField id="19" name="# Contract Termination" tableColumnId="19"/>
      <queryTableField id="20" name="# Probation Period Termination" tableColumnId="20"/>
      <queryTableField id="21" name="# Leavers With Service Less Than 3 Years" tableColumnId="21"/>
      <queryTableField id="22" name="% Turnover" tableColumnId="22"/>
      <queryTableField id="23" name="# Retried Employees" tableColumnId="23"/>
      <queryTableField id="24" name="Avg Age" tableColumnId="24"/>
      <queryTableField id="25" name="% Hr Expenses Vs Budget" tableColumnId="25"/>
      <queryTableField id="26" name="# Training Hours" tableColumnId="26"/>
      <queryTableField id="27" name="# Trained Employees" tableColumnId="27"/>
      <queryTableField id="28" name="# HR Headcount" tableColumnId="28"/>
      <queryTableField id="29" name="% Automated Processes" tableColumnId="29"/>
      <queryTableField id="30" name="% High Performers" tableColumnId="30"/>
      <queryTableField id="31" name="% Low Performers" tableColumnId="31"/>
      <queryTableField id="32" name="% Training Effectiveness Index" tableColumnId="32"/>
      <queryTableField id="33" name="% Training Plan Achieved'" tableColumnId="33"/>
      <queryTableField id="34" name="% Manpower Plan Achieved" tableColumnId="3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76BCCE-8711-4E6D-AD19-D429BD9907CE}" name="Main_data1" displayName="Main_data1" ref="A1:AH14" tableType="queryTable" totalsRowCount="1">
  <autoFilter ref="A1:AH13" xr:uid="{3A76BCCE-8711-4E6D-AD19-D429BD9907CE}"/>
  <tableColumns count="34">
    <tableColumn id="1" xr3:uid="{FC3A5F41-59F2-4317-9C30-94366EABA5ED}" uniqueName="1" name="Month" totalsRowLabel="Total" queryTableFieldId="1" dataDxfId="0"/>
    <tableColumn id="2" xr3:uid="{B5BE4A5D-3917-456B-8BC6-90961D629356}" uniqueName="2" name="Saudis" totalsRowFunction="sum" queryTableFieldId="2"/>
    <tableColumn id="3" xr3:uid="{02E9D0F3-5A9D-4429-AB81-6E7753002064}" uniqueName="3" name="Non-Sauids" totalsRowFunction="sum" queryTableFieldId="3"/>
    <tableColumn id="4" xr3:uid="{A62756B7-78FD-46C3-8CFA-D79F733CE4B9}" uniqueName="4" name="# Headcount" totalsRowFunction="sum" queryTableFieldId="4"/>
    <tableColumn id="5" xr3:uid="{65CFECBE-880E-4CA5-B2E5-4EA68E9A1E54}" uniqueName="5" name="% Saudization" totalsRowFunction="sum" queryTableFieldId="5"/>
    <tableColumn id="6" xr3:uid="{FDDCDB87-6D35-4198-9570-0E2928F87DAA}" uniqueName="6" name="# Sick Leave" totalsRowFunction="sum" queryTableFieldId="6"/>
    <tableColumn id="7" xr3:uid="{3874D718-5D26-40C8-B90C-C24D4FCF7B0F}" uniqueName="7" name="# Hours Late" totalsRowFunction="sum" queryTableFieldId="7"/>
    <tableColumn id="8" xr3:uid="{7BCD93EF-D704-4FA3-B23B-AF3F65B998B1}" uniqueName="8" name="# Unpaid Leaves" totalsRowFunction="sum" queryTableFieldId="8"/>
    <tableColumn id="9" xr3:uid="{E71713BC-C2C6-4EC3-9485-2BD884779145}" uniqueName="9" name="$ Incentive" totalsRowFunction="sum" queryTableFieldId="9"/>
    <tableColumn id="10" xr3:uid="{963B5B91-1259-4C60-AFB3-6E5EDA46AD3B}" uniqueName="10" name="$ Overtime" totalsRowFunction="sum" queryTableFieldId="10"/>
    <tableColumn id="11" xr3:uid="{689A5551-DD8D-4BF0-A088-218DEEA995F8}" uniqueName="11" name="$ Payroll" totalsRowFunction="sum" queryTableFieldId="11"/>
    <tableColumn id="12" xr3:uid="{08CEBA16-C04F-49AD-9C49-7FB2C364D431}" uniqueName="12" name="# Leavers" totalsRowFunction="sum" queryTableFieldId="12"/>
    <tableColumn id="13" xr3:uid="{AC9F32FA-1E5A-4769-AECC-6DEED3A7D94B}" uniqueName="13" name="# Joiners" totalsRowFunction="sum" queryTableFieldId="13"/>
    <tableColumn id="14" xr3:uid="{2C66E7B4-AAD6-4B82-8E62-AF23C926043D}" uniqueName="14" name="% Outsource" totalsRowFunction="sum" queryTableFieldId="14"/>
    <tableColumn id="15" xr3:uid="{708C8AE0-25B0-4CE7-9309-CB9F720F02D2}" uniqueName="15" name="# Part Timers" totalsRowFunction="sum" queryTableFieldId="15"/>
    <tableColumn id="16" xr3:uid="{F32B686B-9C14-4710-933A-DE629D4370CA}" uniqueName="16" name="# Employees Aged &gt;50" totalsRowFunction="sum" queryTableFieldId="16"/>
    <tableColumn id="17" xr3:uid="{34434F0B-8495-42A3-9A32-04CCECF8B9BD}" uniqueName="17" name="% Of Females" totalsRowFunction="sum" queryTableFieldId="17"/>
    <tableColumn id="18" xr3:uid="{14044A8A-44C4-4F33-B0A8-93F4A199E9A6}" uniqueName="18" name="# Corrective Actions" totalsRowFunction="sum" queryTableFieldId="18"/>
    <tableColumn id="19" xr3:uid="{FE20F5A3-6C69-481F-9FAC-3BCA2D02FA8C}" uniqueName="19" name="# Contract Termination" totalsRowFunction="sum" queryTableFieldId="19"/>
    <tableColumn id="20" xr3:uid="{C0C12B3F-27BB-42F1-A4F3-CD135F19EC15}" uniqueName="20" name="# Probation Period Termination" totalsRowFunction="sum" queryTableFieldId="20"/>
    <tableColumn id="21" xr3:uid="{641E804C-F7B6-4CE2-9224-75A55E757021}" uniqueName="21" name="# Leavers With Service Less Than 3 Years" totalsRowFunction="sum" queryTableFieldId="21"/>
    <tableColumn id="22" xr3:uid="{657ADAB5-2FB7-4FC5-8CFC-049F026B74CE}" uniqueName="22" name="% Turnover" totalsRowFunction="sum" queryTableFieldId="22"/>
    <tableColumn id="23" xr3:uid="{333DE11D-4A04-43C5-92E9-91B64AB5F9E0}" uniqueName="23" name="# Retried Employees" totalsRowFunction="sum" queryTableFieldId="23"/>
    <tableColumn id="24" xr3:uid="{652DA164-ECD8-40B6-9512-0C3DC6D30130}" uniqueName="24" name="Avg Age" totalsRowFunction="sum" queryTableFieldId="24"/>
    <tableColumn id="25" xr3:uid="{7E1CF666-3C66-4D73-8629-D503E83D776B}" uniqueName="25" name="% Hr Expenses Vs Budget" totalsRowFunction="sum" queryTableFieldId="25"/>
    <tableColumn id="26" xr3:uid="{4A0AEA65-AC46-43E2-80F8-DCB0CF6E4772}" uniqueName="26" name="# Training Hours" totalsRowFunction="sum" queryTableFieldId="26"/>
    <tableColumn id="27" xr3:uid="{EB3A7D34-ECEE-49E5-A472-F6379A90700D}" uniqueName="27" name="# Trained Employees" totalsRowFunction="sum" queryTableFieldId="27"/>
    <tableColumn id="28" xr3:uid="{A735C0A5-ECDD-4FD9-964C-21F17B1ABB49}" uniqueName="28" name="# HR Headcount" totalsRowFunction="sum" queryTableFieldId="28"/>
    <tableColumn id="29" xr3:uid="{22C908DE-1A74-476A-BE38-AA9527C8EDC1}" uniqueName="29" name="% Automated Processes" totalsRowFunction="sum" queryTableFieldId="29"/>
    <tableColumn id="30" xr3:uid="{666D29C6-68D9-4FE2-A3A7-6B98CA33ABBC}" uniqueName="30" name="% High Performers" totalsRowFunction="sum" queryTableFieldId="30"/>
    <tableColumn id="31" xr3:uid="{1B1B25FD-5EC3-46CC-B73B-5550045666F4}" uniqueName="31" name="% Low Performers" totalsRowFunction="sum" queryTableFieldId="31"/>
    <tableColumn id="32" xr3:uid="{220777F1-F2D3-47A7-9F68-8B8ECF363DFD}" uniqueName="32" name="% Training Effectiveness Index" totalsRowFunction="sum" queryTableFieldId="32"/>
    <tableColumn id="33" xr3:uid="{11CBF9FD-4CE4-4A46-8298-9EEB8E73BD06}" uniqueName="33" name="% Training Plan Achieved'" totalsRowFunction="sum" queryTableFieldId="33"/>
    <tableColumn id="34" xr3:uid="{CEDA3CED-BB09-439E-83B6-90C8D26EF59C}" uniqueName="34" name="% Manpower Plan Achieved" totalsRowFunction="sum" queryTableFieldId="3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762B2-0902-4317-9E43-FFBD0F9F28C9}">
  <dimension ref="A1:AH14"/>
  <sheetViews>
    <sheetView workbookViewId="0">
      <selection activeCell="AA4" sqref="AA4"/>
    </sheetView>
  </sheetViews>
  <sheetFormatPr defaultRowHeight="13.8" x14ac:dyDescent="0.25"/>
  <cols>
    <col min="1" max="1" width="8.296875" bestFit="1" customWidth="1"/>
    <col min="2" max="2" width="11.8984375" bestFit="1" customWidth="1"/>
    <col min="3" max="3" width="12.8984375" bestFit="1" customWidth="1"/>
    <col min="4" max="4" width="13.796875" bestFit="1" customWidth="1"/>
    <col min="5" max="5" width="15.296875" bestFit="1" customWidth="1"/>
    <col min="6" max="6" width="14" bestFit="1" customWidth="1"/>
    <col min="7" max="7" width="13.8984375" bestFit="1" customWidth="1"/>
    <col min="8" max="8" width="17.5" bestFit="1" customWidth="1"/>
    <col min="9" max="9" width="12.5" bestFit="1" customWidth="1"/>
    <col min="10" max="10" width="12.59765625" bestFit="1" customWidth="1"/>
    <col min="11" max="11" width="10.5" bestFit="1" customWidth="1"/>
    <col min="12" max="12" width="11.5" bestFit="1" customWidth="1"/>
    <col min="13" max="13" width="10.8984375" bestFit="1" customWidth="1"/>
    <col min="14" max="14" width="14.19921875" bestFit="1" customWidth="1"/>
    <col min="15" max="15" width="14.5" bestFit="1" customWidth="1"/>
    <col min="16" max="16" width="23.296875" bestFit="1" customWidth="1"/>
    <col min="17" max="17" width="15.19921875" bestFit="1" customWidth="1"/>
    <col min="18" max="18" width="20.8984375" bestFit="1" customWidth="1"/>
    <col min="19" max="19" width="23" bestFit="1" customWidth="1"/>
    <col min="20" max="20" width="30.3984375" bestFit="1" customWidth="1"/>
    <col min="21" max="21" width="40.3984375" bestFit="1" customWidth="1"/>
    <col min="22" max="22" width="13.09765625" bestFit="1" customWidth="1"/>
    <col min="23" max="23" width="21.3984375" bestFit="1" customWidth="1"/>
    <col min="24" max="24" width="10.3984375" bestFit="1" customWidth="1"/>
    <col min="25" max="25" width="26.19921875" bestFit="1" customWidth="1"/>
    <col min="26" max="26" width="17.296875" bestFit="1" customWidth="1"/>
    <col min="27" max="27" width="21.59765625" bestFit="1" customWidth="1"/>
    <col min="28" max="28" width="17" bestFit="1" customWidth="1"/>
    <col min="29" max="29" width="24.69921875" bestFit="1" customWidth="1"/>
    <col min="30" max="30" width="19.69921875" bestFit="1" customWidth="1"/>
    <col min="31" max="31" width="19.3984375" bestFit="1" customWidth="1"/>
    <col min="32" max="32" width="30.5" bestFit="1" customWidth="1"/>
    <col min="33" max="33" width="26" bestFit="1" customWidth="1"/>
    <col min="34" max="34" width="27.6992187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s="1" t="s">
        <v>34</v>
      </c>
      <c r="B2">
        <v>1000</v>
      </c>
      <c r="C2">
        <v>2700</v>
      </c>
      <c r="D2">
        <v>3700</v>
      </c>
      <c r="E2">
        <v>0.27027027027027029</v>
      </c>
      <c r="F2">
        <v>33</v>
      </c>
      <c r="G2">
        <v>33</v>
      </c>
      <c r="H2">
        <v>120</v>
      </c>
      <c r="I2">
        <v>887209</v>
      </c>
      <c r="J2">
        <v>150000</v>
      </c>
      <c r="K2">
        <v>12009400</v>
      </c>
      <c r="L2">
        <v>22</v>
      </c>
      <c r="M2">
        <v>10</v>
      </c>
      <c r="N2">
        <v>40</v>
      </c>
      <c r="O2">
        <v>50</v>
      </c>
      <c r="P2">
        <v>50</v>
      </c>
      <c r="Q2">
        <v>300</v>
      </c>
      <c r="R2">
        <v>100</v>
      </c>
      <c r="S2">
        <v>10</v>
      </c>
      <c r="T2">
        <v>12</v>
      </c>
      <c r="U2">
        <v>3</v>
      </c>
      <c r="V2">
        <v>0.12</v>
      </c>
      <c r="W2">
        <v>1</v>
      </c>
      <c r="X2">
        <v>32</v>
      </c>
      <c r="Y2">
        <v>0.8</v>
      </c>
      <c r="Z2">
        <v>120</v>
      </c>
      <c r="AA2">
        <v>45</v>
      </c>
      <c r="AB2">
        <v>320</v>
      </c>
      <c r="AC2">
        <v>0.18</v>
      </c>
      <c r="AD2">
        <v>0.1</v>
      </c>
      <c r="AE2">
        <v>0.22</v>
      </c>
      <c r="AF2">
        <v>0.8</v>
      </c>
      <c r="AG2">
        <v>0.7</v>
      </c>
      <c r="AH2">
        <v>0.22</v>
      </c>
    </row>
    <row r="3" spans="1:34" x14ac:dyDescent="0.25">
      <c r="A3" s="1" t="s">
        <v>35</v>
      </c>
      <c r="B3">
        <v>1100</v>
      </c>
      <c r="C3">
        <v>2800</v>
      </c>
      <c r="D3">
        <v>3900</v>
      </c>
      <c r="E3">
        <v>0.28205128205128205</v>
      </c>
      <c r="F3">
        <v>12</v>
      </c>
      <c r="G3">
        <v>50</v>
      </c>
      <c r="H3">
        <v>300</v>
      </c>
      <c r="I3">
        <v>665840</v>
      </c>
      <c r="J3">
        <v>550403</v>
      </c>
      <c r="K3">
        <v>13004030</v>
      </c>
      <c r="L3">
        <v>14</v>
      </c>
      <c r="M3">
        <v>30</v>
      </c>
      <c r="N3">
        <v>150</v>
      </c>
      <c r="O3">
        <v>55</v>
      </c>
      <c r="P3">
        <v>40</v>
      </c>
      <c r="Q3">
        <v>250</v>
      </c>
      <c r="R3">
        <v>90</v>
      </c>
      <c r="S3">
        <v>2</v>
      </c>
      <c r="T3">
        <v>5</v>
      </c>
      <c r="U3">
        <v>12</v>
      </c>
      <c r="V3">
        <v>0.123</v>
      </c>
      <c r="W3">
        <v>1</v>
      </c>
      <c r="X3">
        <v>33</v>
      </c>
      <c r="Y3">
        <v>0.7</v>
      </c>
      <c r="Z3">
        <v>100</v>
      </c>
      <c r="AA3">
        <v>40</v>
      </c>
      <c r="AB3">
        <v>320</v>
      </c>
      <c r="AC3">
        <v>0.33</v>
      </c>
      <c r="AD3">
        <v>0.1</v>
      </c>
      <c r="AE3">
        <v>0.19</v>
      </c>
      <c r="AF3">
        <v>0.85</v>
      </c>
      <c r="AG3">
        <v>0.55000000000000004</v>
      </c>
      <c r="AH3">
        <v>0.5</v>
      </c>
    </row>
    <row r="4" spans="1:34" x14ac:dyDescent="0.25">
      <c r="A4" s="1" t="s">
        <v>36</v>
      </c>
      <c r="B4">
        <v>1101</v>
      </c>
      <c r="C4">
        <v>2900</v>
      </c>
      <c r="D4">
        <v>4001</v>
      </c>
      <c r="E4">
        <v>0.27518120469882529</v>
      </c>
      <c r="F4">
        <v>2</v>
      </c>
      <c r="G4">
        <v>120</v>
      </c>
      <c r="H4">
        <v>450</v>
      </c>
      <c r="I4">
        <v>398485</v>
      </c>
      <c r="J4">
        <v>1223002</v>
      </c>
      <c r="K4">
        <v>12902030</v>
      </c>
      <c r="L4">
        <v>29</v>
      </c>
      <c r="M4">
        <v>4</v>
      </c>
      <c r="N4">
        <v>160</v>
      </c>
      <c r="O4">
        <v>60</v>
      </c>
      <c r="P4">
        <v>30</v>
      </c>
      <c r="Q4">
        <v>100</v>
      </c>
      <c r="R4">
        <v>30</v>
      </c>
      <c r="S4">
        <v>1</v>
      </c>
      <c r="T4">
        <v>2</v>
      </c>
      <c r="U4">
        <v>33</v>
      </c>
      <c r="V4">
        <v>0.13</v>
      </c>
      <c r="W4">
        <v>22</v>
      </c>
      <c r="X4">
        <v>34</v>
      </c>
      <c r="Y4">
        <v>0.55000000000000004</v>
      </c>
      <c r="Z4">
        <v>92</v>
      </c>
      <c r="AA4">
        <v>19</v>
      </c>
      <c r="AB4">
        <v>290</v>
      </c>
      <c r="AC4">
        <v>0.45</v>
      </c>
      <c r="AD4">
        <v>0.12</v>
      </c>
      <c r="AE4">
        <v>0.15</v>
      </c>
      <c r="AF4">
        <v>0.7</v>
      </c>
      <c r="AG4">
        <v>0.4</v>
      </c>
      <c r="AH4">
        <v>0.6</v>
      </c>
    </row>
    <row r="5" spans="1:34" x14ac:dyDescent="0.25">
      <c r="A5" s="1" t="s">
        <v>37</v>
      </c>
      <c r="B5">
        <v>900</v>
      </c>
      <c r="C5">
        <v>3000</v>
      </c>
      <c r="D5">
        <v>3900</v>
      </c>
      <c r="E5">
        <v>0.23076923076923078</v>
      </c>
      <c r="F5">
        <v>11</v>
      </c>
      <c r="G5">
        <v>70</v>
      </c>
      <c r="H5">
        <v>100</v>
      </c>
      <c r="I5">
        <v>150003</v>
      </c>
      <c r="J5">
        <v>900540</v>
      </c>
      <c r="K5">
        <v>12915020</v>
      </c>
      <c r="L5">
        <v>30</v>
      </c>
      <c r="M5">
        <v>50</v>
      </c>
      <c r="N5">
        <v>30</v>
      </c>
      <c r="O5">
        <v>40</v>
      </c>
      <c r="P5">
        <v>10</v>
      </c>
      <c r="Q5">
        <v>150</v>
      </c>
      <c r="R5">
        <v>11</v>
      </c>
      <c r="S5">
        <v>0</v>
      </c>
      <c r="T5">
        <v>2</v>
      </c>
      <c r="U5">
        <v>2</v>
      </c>
      <c r="V5">
        <v>0.14000000000000001</v>
      </c>
      <c r="W5">
        <v>12</v>
      </c>
      <c r="X5">
        <v>40</v>
      </c>
      <c r="Y5">
        <v>0.9</v>
      </c>
      <c r="Z5">
        <v>76</v>
      </c>
      <c r="AA5">
        <v>5</v>
      </c>
      <c r="AB5">
        <v>290</v>
      </c>
      <c r="AC5">
        <v>0.6</v>
      </c>
      <c r="AD5">
        <v>0.11</v>
      </c>
      <c r="AE5">
        <v>0.12</v>
      </c>
      <c r="AF5">
        <v>0.74</v>
      </c>
      <c r="AG5">
        <v>0.8</v>
      </c>
      <c r="AH5">
        <v>0.9</v>
      </c>
    </row>
    <row r="6" spans="1:34" x14ac:dyDescent="0.25">
      <c r="A6" s="1" t="s">
        <v>38</v>
      </c>
      <c r="B6">
        <v>1110</v>
      </c>
      <c r="C6">
        <v>2700</v>
      </c>
      <c r="D6">
        <v>3810</v>
      </c>
      <c r="E6">
        <v>0.29133858267716534</v>
      </c>
      <c r="F6">
        <v>14</v>
      </c>
      <c r="G6">
        <v>26</v>
      </c>
      <c r="H6">
        <v>11</v>
      </c>
      <c r="I6">
        <v>433779</v>
      </c>
      <c r="J6">
        <v>248723</v>
      </c>
      <c r="K6">
        <v>13669607</v>
      </c>
      <c r="L6">
        <v>233</v>
      </c>
      <c r="M6">
        <v>107</v>
      </c>
      <c r="N6">
        <v>158</v>
      </c>
      <c r="O6">
        <v>197</v>
      </c>
      <c r="P6">
        <v>80</v>
      </c>
      <c r="Q6">
        <v>167</v>
      </c>
      <c r="R6">
        <v>76</v>
      </c>
      <c r="S6">
        <v>61</v>
      </c>
      <c r="T6">
        <v>58</v>
      </c>
      <c r="U6">
        <v>166</v>
      </c>
      <c r="V6">
        <v>0.12</v>
      </c>
      <c r="W6">
        <v>16</v>
      </c>
      <c r="X6">
        <v>41</v>
      </c>
      <c r="Y6">
        <v>0.6</v>
      </c>
      <c r="Z6">
        <v>84</v>
      </c>
      <c r="AA6">
        <v>75</v>
      </c>
      <c r="AB6">
        <v>281</v>
      </c>
      <c r="AC6">
        <v>0.6</v>
      </c>
      <c r="AD6">
        <v>0.12</v>
      </c>
      <c r="AE6">
        <v>0.12</v>
      </c>
      <c r="AF6">
        <v>0.7</v>
      </c>
      <c r="AG6">
        <v>0.89</v>
      </c>
      <c r="AH6">
        <v>0.9</v>
      </c>
    </row>
    <row r="7" spans="1:34" x14ac:dyDescent="0.25">
      <c r="A7" s="1" t="s">
        <v>39</v>
      </c>
      <c r="B7">
        <v>1000</v>
      </c>
      <c r="C7">
        <v>2713</v>
      </c>
      <c r="D7">
        <v>3713</v>
      </c>
      <c r="E7">
        <v>0.26932399676811203</v>
      </c>
      <c r="F7">
        <v>33</v>
      </c>
      <c r="G7">
        <v>94</v>
      </c>
      <c r="H7">
        <v>75</v>
      </c>
      <c r="I7">
        <v>516453</v>
      </c>
      <c r="J7">
        <v>207989</v>
      </c>
      <c r="K7">
        <v>14397345</v>
      </c>
      <c r="L7">
        <v>164</v>
      </c>
      <c r="M7">
        <v>232</v>
      </c>
      <c r="N7">
        <v>235</v>
      </c>
      <c r="O7">
        <v>59</v>
      </c>
      <c r="P7">
        <v>80</v>
      </c>
      <c r="Q7">
        <v>59</v>
      </c>
      <c r="R7">
        <v>288</v>
      </c>
      <c r="S7">
        <v>153</v>
      </c>
      <c r="T7">
        <v>186</v>
      </c>
      <c r="U7">
        <v>163</v>
      </c>
      <c r="V7">
        <v>0.13</v>
      </c>
      <c r="W7">
        <v>9</v>
      </c>
      <c r="X7">
        <v>39</v>
      </c>
      <c r="Y7">
        <v>0.7</v>
      </c>
      <c r="Z7">
        <v>85</v>
      </c>
      <c r="AA7">
        <v>58</v>
      </c>
      <c r="AB7">
        <v>337</v>
      </c>
      <c r="AC7">
        <v>0.66</v>
      </c>
      <c r="AD7">
        <v>0.19</v>
      </c>
      <c r="AE7">
        <v>0.12</v>
      </c>
      <c r="AF7">
        <v>0.7</v>
      </c>
      <c r="AG7">
        <v>0.6</v>
      </c>
      <c r="AH7">
        <v>0.87</v>
      </c>
    </row>
    <row r="8" spans="1:34" x14ac:dyDescent="0.25">
      <c r="A8" s="1" t="s">
        <v>40</v>
      </c>
      <c r="B8">
        <v>1009</v>
      </c>
      <c r="C8">
        <v>2710</v>
      </c>
      <c r="D8">
        <v>3719</v>
      </c>
      <c r="E8">
        <v>0.27130949179887065</v>
      </c>
      <c r="F8">
        <v>98</v>
      </c>
      <c r="G8">
        <v>66</v>
      </c>
      <c r="H8">
        <v>35</v>
      </c>
      <c r="I8">
        <v>789394</v>
      </c>
      <c r="J8">
        <v>245972</v>
      </c>
      <c r="K8">
        <v>10881281</v>
      </c>
      <c r="L8">
        <v>278</v>
      </c>
      <c r="M8">
        <v>99</v>
      </c>
      <c r="N8">
        <v>168</v>
      </c>
      <c r="O8">
        <v>30</v>
      </c>
      <c r="P8">
        <v>67</v>
      </c>
      <c r="Q8">
        <v>201</v>
      </c>
      <c r="R8">
        <v>180</v>
      </c>
      <c r="S8">
        <v>30</v>
      </c>
      <c r="T8">
        <v>54</v>
      </c>
      <c r="U8">
        <v>154</v>
      </c>
      <c r="V8">
        <v>0.19</v>
      </c>
      <c r="W8">
        <v>6</v>
      </c>
      <c r="X8">
        <v>35</v>
      </c>
      <c r="Y8">
        <v>0.7</v>
      </c>
      <c r="Z8">
        <v>114</v>
      </c>
      <c r="AA8">
        <v>73</v>
      </c>
      <c r="AB8">
        <v>345</v>
      </c>
      <c r="AC8">
        <v>0.7</v>
      </c>
      <c r="AD8">
        <v>0.1</v>
      </c>
      <c r="AE8">
        <v>0.12</v>
      </c>
      <c r="AF8">
        <v>0.8</v>
      </c>
      <c r="AG8">
        <v>0.5</v>
      </c>
      <c r="AH8">
        <v>0.87</v>
      </c>
    </row>
    <row r="9" spans="1:34" x14ac:dyDescent="0.25">
      <c r="A9" s="1" t="s">
        <v>41</v>
      </c>
      <c r="B9">
        <v>1003</v>
      </c>
      <c r="C9">
        <v>2600</v>
      </c>
      <c r="D9">
        <v>3603</v>
      </c>
      <c r="E9">
        <v>0.27837912850402441</v>
      </c>
      <c r="F9">
        <v>80</v>
      </c>
      <c r="G9">
        <v>46</v>
      </c>
      <c r="H9">
        <v>71</v>
      </c>
      <c r="I9">
        <v>407225</v>
      </c>
      <c r="J9">
        <v>798950</v>
      </c>
      <c r="K9">
        <v>12046951</v>
      </c>
      <c r="L9">
        <v>101</v>
      </c>
      <c r="M9">
        <v>70</v>
      </c>
      <c r="N9">
        <v>165</v>
      </c>
      <c r="O9">
        <v>166</v>
      </c>
      <c r="P9">
        <v>56</v>
      </c>
      <c r="Q9">
        <v>213</v>
      </c>
      <c r="R9">
        <v>260</v>
      </c>
      <c r="S9">
        <v>32</v>
      </c>
      <c r="T9">
        <v>278</v>
      </c>
      <c r="U9">
        <v>214</v>
      </c>
      <c r="V9">
        <v>0.18</v>
      </c>
      <c r="W9">
        <v>10</v>
      </c>
      <c r="X9">
        <v>32</v>
      </c>
      <c r="Y9">
        <v>0.4</v>
      </c>
      <c r="Z9">
        <v>51</v>
      </c>
      <c r="AA9">
        <v>158</v>
      </c>
      <c r="AB9">
        <v>308</v>
      </c>
      <c r="AC9">
        <v>0.71</v>
      </c>
      <c r="AD9">
        <v>0.04</v>
      </c>
      <c r="AE9">
        <v>0.19</v>
      </c>
      <c r="AF9">
        <v>0.76</v>
      </c>
      <c r="AG9">
        <v>0.97</v>
      </c>
      <c r="AH9">
        <v>0.89</v>
      </c>
    </row>
    <row r="10" spans="1:34" x14ac:dyDescent="0.25">
      <c r="A10" s="1" t="s">
        <v>42</v>
      </c>
      <c r="B10">
        <v>980</v>
      </c>
      <c r="C10">
        <v>2500</v>
      </c>
      <c r="D10">
        <v>3480</v>
      </c>
      <c r="E10">
        <v>0.28160919540229884</v>
      </c>
      <c r="F10">
        <v>60</v>
      </c>
      <c r="G10">
        <v>67</v>
      </c>
      <c r="H10">
        <v>55</v>
      </c>
      <c r="I10">
        <v>281429</v>
      </c>
      <c r="J10">
        <v>450543</v>
      </c>
      <c r="K10">
        <v>13066105</v>
      </c>
      <c r="L10">
        <v>183</v>
      </c>
      <c r="M10">
        <v>174</v>
      </c>
      <c r="N10">
        <v>83</v>
      </c>
      <c r="O10">
        <v>152</v>
      </c>
      <c r="P10">
        <v>243</v>
      </c>
      <c r="Q10">
        <v>95</v>
      </c>
      <c r="R10">
        <v>125</v>
      </c>
      <c r="S10">
        <v>236</v>
      </c>
      <c r="T10">
        <v>235</v>
      </c>
      <c r="U10">
        <v>145</v>
      </c>
      <c r="V10">
        <v>0.16</v>
      </c>
      <c r="W10">
        <v>9</v>
      </c>
      <c r="X10">
        <v>30</v>
      </c>
      <c r="Y10">
        <v>0.2</v>
      </c>
      <c r="Z10">
        <v>160</v>
      </c>
      <c r="AA10">
        <v>127</v>
      </c>
      <c r="AB10">
        <v>307</v>
      </c>
      <c r="AC10">
        <v>0.71</v>
      </c>
      <c r="AD10">
        <v>0.08</v>
      </c>
      <c r="AE10">
        <v>0.2</v>
      </c>
      <c r="AF10">
        <v>0.54</v>
      </c>
      <c r="AG10">
        <v>0.76</v>
      </c>
      <c r="AH10">
        <v>0.87</v>
      </c>
    </row>
    <row r="11" spans="1:34" x14ac:dyDescent="0.25">
      <c r="A11" s="1" t="s">
        <v>43</v>
      </c>
      <c r="B11">
        <v>930</v>
      </c>
      <c r="C11">
        <v>2400</v>
      </c>
      <c r="D11">
        <v>3330</v>
      </c>
      <c r="E11">
        <v>0.27927927927927926</v>
      </c>
      <c r="F11">
        <v>33</v>
      </c>
      <c r="G11">
        <v>27</v>
      </c>
      <c r="H11">
        <v>99</v>
      </c>
      <c r="I11">
        <v>730379</v>
      </c>
      <c r="J11">
        <v>330499</v>
      </c>
      <c r="K11">
        <v>14575876</v>
      </c>
      <c r="L11">
        <v>151</v>
      </c>
      <c r="M11">
        <v>62</v>
      </c>
      <c r="N11">
        <v>40</v>
      </c>
      <c r="O11">
        <v>274</v>
      </c>
      <c r="P11">
        <v>230</v>
      </c>
      <c r="Q11">
        <v>216</v>
      </c>
      <c r="R11">
        <v>237</v>
      </c>
      <c r="S11">
        <v>46</v>
      </c>
      <c r="T11">
        <v>283</v>
      </c>
      <c r="U11">
        <v>159</v>
      </c>
      <c r="V11">
        <v>0.15</v>
      </c>
      <c r="W11">
        <v>15</v>
      </c>
      <c r="X11">
        <v>30</v>
      </c>
      <c r="Y11">
        <v>0.9</v>
      </c>
      <c r="Z11">
        <v>106</v>
      </c>
      <c r="AA11">
        <v>53</v>
      </c>
      <c r="AB11">
        <v>309</v>
      </c>
      <c r="AC11">
        <v>0.72</v>
      </c>
      <c r="AD11">
        <v>0.19</v>
      </c>
      <c r="AE11">
        <v>0.04</v>
      </c>
      <c r="AF11">
        <v>0.77</v>
      </c>
      <c r="AG11">
        <v>0.54</v>
      </c>
      <c r="AH11">
        <v>0.54</v>
      </c>
    </row>
    <row r="12" spans="1:34" x14ac:dyDescent="0.25">
      <c r="A12" s="1" t="s">
        <v>44</v>
      </c>
      <c r="B12">
        <v>870</v>
      </c>
      <c r="C12">
        <v>2300</v>
      </c>
      <c r="D12">
        <v>3170</v>
      </c>
      <c r="E12">
        <v>0.27444794952681389</v>
      </c>
      <c r="F12">
        <v>28</v>
      </c>
      <c r="G12">
        <v>26</v>
      </c>
      <c r="H12">
        <v>77</v>
      </c>
      <c r="I12">
        <v>117709</v>
      </c>
      <c r="J12">
        <v>541242</v>
      </c>
      <c r="K12">
        <v>10588823</v>
      </c>
      <c r="L12">
        <v>300</v>
      </c>
      <c r="M12">
        <v>198</v>
      </c>
      <c r="N12">
        <v>287</v>
      </c>
      <c r="O12">
        <v>130</v>
      </c>
      <c r="P12">
        <v>146</v>
      </c>
      <c r="Q12">
        <v>269</v>
      </c>
      <c r="R12">
        <v>137</v>
      </c>
      <c r="S12">
        <v>53</v>
      </c>
      <c r="T12">
        <v>269</v>
      </c>
      <c r="U12">
        <v>61</v>
      </c>
      <c r="V12">
        <v>0.12</v>
      </c>
      <c r="W12">
        <v>15</v>
      </c>
      <c r="X12">
        <v>30</v>
      </c>
      <c r="Y12">
        <v>1</v>
      </c>
      <c r="Z12">
        <v>151</v>
      </c>
      <c r="AA12">
        <v>101</v>
      </c>
      <c r="AB12">
        <v>311</v>
      </c>
      <c r="AC12">
        <v>0.8</v>
      </c>
      <c r="AD12">
        <v>0.2</v>
      </c>
      <c r="AE12">
        <v>0.05</v>
      </c>
      <c r="AF12">
        <v>0.76</v>
      </c>
      <c r="AG12">
        <v>0.67</v>
      </c>
      <c r="AH12">
        <v>0.78</v>
      </c>
    </row>
    <row r="13" spans="1:34" x14ac:dyDescent="0.25">
      <c r="A13" s="1" t="s">
        <v>45</v>
      </c>
      <c r="B13">
        <v>990</v>
      </c>
      <c r="C13">
        <v>2210</v>
      </c>
      <c r="D13">
        <v>3200</v>
      </c>
      <c r="E13">
        <v>0.30937500000000001</v>
      </c>
      <c r="F13">
        <v>14</v>
      </c>
      <c r="G13">
        <v>87</v>
      </c>
      <c r="H13">
        <v>79</v>
      </c>
      <c r="I13">
        <v>888950</v>
      </c>
      <c r="J13">
        <v>253079</v>
      </c>
      <c r="K13">
        <v>14824780</v>
      </c>
      <c r="L13">
        <v>230</v>
      </c>
      <c r="M13">
        <v>266</v>
      </c>
      <c r="N13">
        <v>260</v>
      </c>
      <c r="O13">
        <v>72</v>
      </c>
      <c r="P13">
        <v>73</v>
      </c>
      <c r="Q13">
        <v>283</v>
      </c>
      <c r="R13">
        <v>217</v>
      </c>
      <c r="S13">
        <v>15</v>
      </c>
      <c r="T13">
        <v>102</v>
      </c>
      <c r="U13">
        <v>100</v>
      </c>
      <c r="V13">
        <v>0.16</v>
      </c>
      <c r="W13">
        <v>13</v>
      </c>
      <c r="X13">
        <v>30</v>
      </c>
      <c r="Y13">
        <v>1</v>
      </c>
      <c r="Z13">
        <v>156</v>
      </c>
      <c r="AA13">
        <v>191</v>
      </c>
      <c r="AB13">
        <v>291</v>
      </c>
      <c r="AC13">
        <v>0.8</v>
      </c>
      <c r="AD13">
        <v>0.33</v>
      </c>
      <c r="AE13">
        <v>0.05</v>
      </c>
      <c r="AF13">
        <v>0.9</v>
      </c>
      <c r="AG13">
        <v>0.87</v>
      </c>
      <c r="AH13">
        <v>0.86</v>
      </c>
    </row>
    <row r="14" spans="1:34" x14ac:dyDescent="0.25">
      <c r="A14" t="s">
        <v>46</v>
      </c>
      <c r="B14">
        <f>SUBTOTAL(109,Main_data1[Saudis])</f>
        <v>11993</v>
      </c>
      <c r="C14">
        <f>SUBTOTAL(109,Main_data1[Non-Sauids])</f>
        <v>31533</v>
      </c>
      <c r="D14">
        <f>SUBTOTAL(109,Main_data1['# Headcount])</f>
        <v>43526</v>
      </c>
      <c r="E14">
        <f>SUBTOTAL(109,Main_data1[% Saudization])</f>
        <v>3.3133346117461731</v>
      </c>
      <c r="F14">
        <f>SUBTOTAL(109,Main_data1['# Sick Leave])</f>
        <v>418</v>
      </c>
      <c r="G14">
        <f>SUBTOTAL(109,Main_data1['# Hours Late])</f>
        <v>712</v>
      </c>
      <c r="H14">
        <f>SUBTOTAL(109,Main_data1['# Unpaid Leaves])</f>
        <v>1472</v>
      </c>
      <c r="I14">
        <f>SUBTOTAL(109,Main_data1[$ Incentive])</f>
        <v>6266855</v>
      </c>
      <c r="J14">
        <f>SUBTOTAL(109,Main_data1[$ Overtime])</f>
        <v>5900942</v>
      </c>
      <c r="K14">
        <f>SUBTOTAL(109,Main_data1[$ Payroll])</f>
        <v>154881248</v>
      </c>
      <c r="L14">
        <f>SUBTOTAL(109,Main_data1['# Leavers])</f>
        <v>1735</v>
      </c>
      <c r="M14">
        <f>SUBTOTAL(109,Main_data1['# Joiners])</f>
        <v>1302</v>
      </c>
      <c r="N14">
        <f>SUBTOTAL(109,Main_data1[% Outsource])</f>
        <v>1776</v>
      </c>
      <c r="O14">
        <f>SUBTOTAL(109,Main_data1['# Part Timers])</f>
        <v>1285</v>
      </c>
      <c r="P14">
        <f>SUBTOTAL(109,Main_data1['# Employees Aged &gt;50])</f>
        <v>1105</v>
      </c>
      <c r="Q14">
        <f>SUBTOTAL(109,Main_data1[% Of Females])</f>
        <v>2303</v>
      </c>
      <c r="R14">
        <f>SUBTOTAL(109,Main_data1['# Corrective Actions])</f>
        <v>1751</v>
      </c>
      <c r="S14">
        <f>SUBTOTAL(109,Main_data1['# Contract Termination])</f>
        <v>639</v>
      </c>
      <c r="T14">
        <f>SUBTOTAL(109,Main_data1['# Probation Period Termination])</f>
        <v>1486</v>
      </c>
      <c r="U14">
        <f>SUBTOTAL(109,Main_data1['# Leavers With Service Less Than 3 Years])</f>
        <v>1212</v>
      </c>
      <c r="V14">
        <f>SUBTOTAL(109,Main_data1[% Turnover])</f>
        <v>1.7229999999999996</v>
      </c>
      <c r="W14">
        <f>SUBTOTAL(109,Main_data1['# Retried Employees])</f>
        <v>129</v>
      </c>
      <c r="X14">
        <f>SUBTOTAL(109,Main_data1[Avg Age])</f>
        <v>406</v>
      </c>
      <c r="Y14">
        <f>SUBTOTAL(109,Main_data1[% Hr Expenses Vs Budget])</f>
        <v>8.4500000000000011</v>
      </c>
      <c r="Z14">
        <f>SUBTOTAL(109,Main_data1['# Training Hours])</f>
        <v>1295</v>
      </c>
      <c r="AA14">
        <f>SUBTOTAL(109,Main_data1['# Trained Employees])</f>
        <v>945</v>
      </c>
      <c r="AB14">
        <f>SUBTOTAL(109,Main_data1['# HR Headcount])</f>
        <v>3709</v>
      </c>
      <c r="AC14">
        <f>SUBTOTAL(109,Main_data1[% Automated Processes])</f>
        <v>7.26</v>
      </c>
      <c r="AD14">
        <f>SUBTOTAL(109,Main_data1[% High Performers])</f>
        <v>1.68</v>
      </c>
      <c r="AE14">
        <f>SUBTOTAL(109,Main_data1[% Low Performers])</f>
        <v>1.57</v>
      </c>
      <c r="AF14">
        <f>SUBTOTAL(109,Main_data1[% Training Effectiveness Index])</f>
        <v>9.02</v>
      </c>
      <c r="AG14">
        <f>SUBTOTAL(109,Main_data1[% Training Plan Achieved''])</f>
        <v>8.25</v>
      </c>
      <c r="AH14">
        <f>SUBTOTAL(109,Main_data1[% Manpower Plan Achieved])</f>
        <v>8.7999999999999989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20EDB-E126-454D-9CEE-B26A4D3DA384}">
  <dimension ref="C1:AK41"/>
  <sheetViews>
    <sheetView showGridLines="0" tabSelected="1" zoomScale="92" zoomScaleNormal="92" workbookViewId="0">
      <selection activeCell="Q17" sqref="Q17"/>
    </sheetView>
  </sheetViews>
  <sheetFormatPr defaultRowHeight="13.8" x14ac:dyDescent="0.25"/>
  <cols>
    <col min="1" max="23" width="8.796875" style="2"/>
    <col min="24" max="24" width="25.3984375" style="2" customWidth="1"/>
    <col min="25" max="25" width="14.69921875" style="2" bestFit="1" customWidth="1"/>
    <col min="26" max="16384" width="8.796875" style="2"/>
  </cols>
  <sheetData>
    <row r="1" spans="3:34" ht="24.6" x14ac:dyDescent="0.4">
      <c r="C1" s="18" t="s">
        <v>50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3:34" ht="15.6" x14ac:dyDescent="0.3">
      <c r="C2" s="19" t="s">
        <v>47</v>
      </c>
      <c r="D2" s="19" t="s">
        <v>38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3:34" x14ac:dyDescent="0.25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3:34" x14ac:dyDescent="0.25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Y4" s="2" t="s">
        <v>48</v>
      </c>
      <c r="Z4" s="2" t="s">
        <v>49</v>
      </c>
    </row>
    <row r="5" spans="3:34" x14ac:dyDescent="0.2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X5" s="2" t="str">
        <f>D2</f>
        <v>May</v>
      </c>
      <c r="Y5" s="2">
        <f>VLOOKUP(X5,Main_data1[[#Headers],[#Data],[Month]:[Saudis]],2,FALSE)</f>
        <v>1110</v>
      </c>
      <c r="Z5" s="2">
        <f>VLOOKUP(X5,Main_data1[[#Headers],[#Data],[Month]:[Non-Sauids]],3,FALSE)</f>
        <v>2700</v>
      </c>
    </row>
    <row r="6" spans="3:34" x14ac:dyDescent="0.25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3:34" x14ac:dyDescent="0.25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3:34" x14ac:dyDescent="0.25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X8" s="9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3:34" x14ac:dyDescent="0.25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X9" s="9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3:34" x14ac:dyDescent="0.25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X10" s="9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3:34" x14ac:dyDescent="0.25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W11" s="2">
        <v>4</v>
      </c>
      <c r="X11" s="4" t="s">
        <v>3</v>
      </c>
      <c r="Y11" s="10">
        <f>VLOOKUP(X5,Main_data1[],4,FALSE)</f>
        <v>3810</v>
      </c>
      <c r="Z11" s="5"/>
      <c r="AA11" s="5"/>
      <c r="AB11" s="5"/>
      <c r="AC11" s="5"/>
      <c r="AD11" s="5"/>
      <c r="AE11" s="5"/>
      <c r="AF11" s="5"/>
      <c r="AG11" s="5"/>
    </row>
    <row r="12" spans="3:34" x14ac:dyDescent="0.25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W12" s="2">
        <v>5</v>
      </c>
      <c r="X12" s="6" t="s">
        <v>4</v>
      </c>
      <c r="Y12" s="11">
        <f>VLOOKUP(X5,Main_data1[],5,FALSE)</f>
        <v>0.29133858267716534</v>
      </c>
      <c r="Z12" s="7"/>
      <c r="AA12" s="7"/>
      <c r="AB12" s="7"/>
      <c r="AC12" s="7"/>
      <c r="AD12" s="7"/>
      <c r="AE12" s="7"/>
      <c r="AF12" s="7"/>
      <c r="AG12" s="7"/>
    </row>
    <row r="13" spans="3:34" x14ac:dyDescent="0.25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W13" s="2">
        <v>6</v>
      </c>
      <c r="X13" s="4" t="s">
        <v>5</v>
      </c>
      <c r="Y13" s="5">
        <f>VLOOKUP(X5,Main_data1[],6,FALSE)</f>
        <v>14</v>
      </c>
      <c r="Z13" s="5"/>
      <c r="AA13" s="5"/>
      <c r="AB13" s="5"/>
      <c r="AC13" s="5"/>
      <c r="AD13" s="5"/>
      <c r="AE13" s="5"/>
      <c r="AF13" s="5"/>
      <c r="AG13" s="5"/>
    </row>
    <row r="14" spans="3:34" x14ac:dyDescent="0.25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W14" s="2">
        <v>7</v>
      </c>
      <c r="X14" s="4" t="s">
        <v>6</v>
      </c>
      <c r="Y14" s="5">
        <f>VLOOKUP(X5,Main_data1[],7,FALSE)</f>
        <v>26</v>
      </c>
      <c r="Z14" s="5"/>
      <c r="AA14" s="5"/>
      <c r="AB14" s="5"/>
      <c r="AC14" s="5"/>
      <c r="AD14" s="5"/>
      <c r="AE14" s="5"/>
      <c r="AF14" s="5"/>
      <c r="AG14" s="5"/>
    </row>
    <row r="15" spans="3:34" ht="15" x14ac:dyDescent="0.3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15"/>
      <c r="W15" s="2">
        <v>8</v>
      </c>
      <c r="X15" s="4" t="s">
        <v>7</v>
      </c>
      <c r="Y15" s="5">
        <f>VLOOKUP(X5,Main_data1[],8,FALSE)</f>
        <v>11</v>
      </c>
      <c r="Z15" s="5"/>
      <c r="AA15" s="5"/>
      <c r="AB15" s="5"/>
      <c r="AC15" s="5"/>
      <c r="AD15" s="5"/>
      <c r="AE15" s="5"/>
      <c r="AF15" s="5"/>
      <c r="AG15" s="5"/>
    </row>
    <row r="16" spans="3:34" x14ac:dyDescent="0.25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W16" s="2">
        <v>9</v>
      </c>
      <c r="X16" s="4" t="s">
        <v>8</v>
      </c>
      <c r="Y16" s="12">
        <f>VLOOKUP(X5,Main_data1[],9,FALSE)</f>
        <v>433779</v>
      </c>
      <c r="Z16" s="5"/>
      <c r="AA16" s="5"/>
      <c r="AB16" s="5"/>
      <c r="AC16" s="5"/>
      <c r="AD16" s="5"/>
      <c r="AE16" s="5"/>
      <c r="AF16" s="5"/>
      <c r="AG16" s="5"/>
    </row>
    <row r="17" spans="3:37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W17" s="2">
        <v>10</v>
      </c>
      <c r="X17" s="4" t="s">
        <v>9</v>
      </c>
      <c r="Y17" s="12">
        <f>VLOOKUP(X5,Main_data1[],10,FALSE)</f>
        <v>248723</v>
      </c>
      <c r="Z17" s="5"/>
      <c r="AA17" s="5"/>
      <c r="AB17" s="5"/>
      <c r="AC17" s="5"/>
      <c r="AD17" s="5"/>
      <c r="AE17" s="5"/>
      <c r="AF17" s="5"/>
      <c r="AG17" s="5"/>
    </row>
    <row r="18" spans="3:37" x14ac:dyDescent="0.2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W18" s="2">
        <v>11</v>
      </c>
      <c r="X18" s="4" t="s">
        <v>10</v>
      </c>
      <c r="Y18" s="12">
        <f>VLOOKUP(X5,Main_data1[],11,FALSE)</f>
        <v>13669607</v>
      </c>
      <c r="Z18" s="5"/>
      <c r="AA18" s="5"/>
      <c r="AB18" s="5"/>
      <c r="AC18" s="5"/>
      <c r="AD18" s="5"/>
      <c r="AE18" s="5"/>
      <c r="AF18" s="5"/>
      <c r="AG18" s="5"/>
    </row>
    <row r="19" spans="3:37" x14ac:dyDescent="0.2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W19" s="2">
        <v>12</v>
      </c>
      <c r="X19" s="4" t="s">
        <v>11</v>
      </c>
      <c r="Y19" s="13">
        <f>VLOOKUP(X5,Main_data1[],12,FALSE)</f>
        <v>233</v>
      </c>
      <c r="Z19" s="5"/>
      <c r="AA19" s="5"/>
      <c r="AB19" s="5"/>
      <c r="AC19" s="5"/>
      <c r="AD19" s="5"/>
      <c r="AE19" s="5"/>
      <c r="AF19" s="5"/>
      <c r="AG19" s="5"/>
      <c r="AI19" s="2">
        <v>1</v>
      </c>
    </row>
    <row r="20" spans="3:37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W20" s="2">
        <v>13</v>
      </c>
      <c r="X20" s="4" t="s">
        <v>12</v>
      </c>
      <c r="Y20" s="13">
        <f>VLOOKUP(X5,Main_data1[],13,FALSE)</f>
        <v>107</v>
      </c>
      <c r="Z20" s="5"/>
      <c r="AA20" s="5"/>
      <c r="AB20" s="5"/>
      <c r="AC20" s="5"/>
      <c r="AD20" s="5"/>
      <c r="AE20" s="5"/>
      <c r="AF20" s="5"/>
      <c r="AG20" s="5"/>
      <c r="AI20" s="2">
        <v>1</v>
      </c>
    </row>
    <row r="21" spans="3:37" x14ac:dyDescent="0.2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W21" s="2">
        <v>14</v>
      </c>
      <c r="X21" s="4" t="s">
        <v>13</v>
      </c>
      <c r="Y21" s="13">
        <f>VLOOKUP(X5,Main_data1[],14,FALSE)</f>
        <v>158</v>
      </c>
      <c r="Z21" s="5"/>
      <c r="AA21" s="5"/>
      <c r="AB21" s="5"/>
      <c r="AC21" s="5"/>
      <c r="AD21" s="5"/>
      <c r="AE21" s="5"/>
      <c r="AF21" s="5"/>
      <c r="AG21" s="5"/>
      <c r="AI21" s="2">
        <v>1</v>
      </c>
    </row>
    <row r="22" spans="3:37" x14ac:dyDescent="0.2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W22" s="2">
        <v>15</v>
      </c>
      <c r="X22" s="4" t="s">
        <v>14</v>
      </c>
      <c r="Y22" s="13">
        <f>VLOOKUP(X5,Main_data1[],15,FALSE)</f>
        <v>197</v>
      </c>
      <c r="Z22" s="5"/>
      <c r="AA22" s="5"/>
      <c r="AB22" s="5"/>
      <c r="AC22" s="5"/>
      <c r="AD22" s="5"/>
      <c r="AE22" s="5"/>
      <c r="AF22" s="5"/>
      <c r="AG22" s="5"/>
      <c r="AI22" s="2">
        <v>1</v>
      </c>
    </row>
    <row r="23" spans="3:37" x14ac:dyDescent="0.2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W23" s="2">
        <v>16</v>
      </c>
      <c r="X23" s="4" t="s">
        <v>15</v>
      </c>
      <c r="Y23" s="13">
        <f>VLOOKUP(X5,Main_data1[],16,FALSE)</f>
        <v>80</v>
      </c>
      <c r="Z23" s="5"/>
      <c r="AA23" s="5"/>
      <c r="AB23" s="5"/>
      <c r="AC23" s="5"/>
      <c r="AD23" s="5"/>
      <c r="AE23" s="5"/>
      <c r="AF23" s="5"/>
      <c r="AG23" s="5"/>
      <c r="AI23" s="2">
        <v>1</v>
      </c>
    </row>
    <row r="24" spans="3:37" x14ac:dyDescent="0.25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W24" s="2">
        <v>17</v>
      </c>
      <c r="X24" s="4" t="s">
        <v>16</v>
      </c>
      <c r="Y24" s="13">
        <f>VLOOKUP(X5,Main_data1[],17,FALSE)</f>
        <v>167</v>
      </c>
      <c r="Z24" s="10">
        <f>Y11-Y24</f>
        <v>3643</v>
      </c>
      <c r="AA24" s="5"/>
      <c r="AB24" s="5"/>
      <c r="AC24" s="5"/>
      <c r="AD24" s="5"/>
      <c r="AE24" s="5"/>
      <c r="AF24" s="5"/>
      <c r="AG24" s="5"/>
      <c r="AI24" s="2">
        <v>1</v>
      </c>
    </row>
    <row r="25" spans="3:37" x14ac:dyDescent="0.2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W25" s="2">
        <v>18</v>
      </c>
      <c r="X25" s="4" t="s">
        <v>17</v>
      </c>
      <c r="Y25" s="5">
        <f>VLOOKUP(X5,Main_data1[],18,FALSE)</f>
        <v>76</v>
      </c>
      <c r="Z25" s="5"/>
      <c r="AA25" s="5"/>
      <c r="AB25" s="5"/>
      <c r="AC25" s="5"/>
      <c r="AD25" s="5"/>
      <c r="AE25" s="5"/>
      <c r="AF25" s="5"/>
      <c r="AG25" s="5"/>
      <c r="AI25" s="2">
        <v>1</v>
      </c>
    </row>
    <row r="26" spans="3:37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W26" s="2">
        <v>19</v>
      </c>
      <c r="X26" s="4" t="s">
        <v>18</v>
      </c>
      <c r="Y26" s="5">
        <f>VLOOKUP($X$5,Main_data1[],19,FALSE)</f>
        <v>61</v>
      </c>
      <c r="Z26" s="5"/>
      <c r="AA26" s="5"/>
      <c r="AB26" s="5"/>
      <c r="AC26" s="5"/>
      <c r="AD26" s="5"/>
      <c r="AE26" s="5"/>
      <c r="AF26" s="5"/>
      <c r="AG26" s="5"/>
      <c r="AI26" s="2">
        <v>1</v>
      </c>
    </row>
    <row r="27" spans="3:37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W27" s="2">
        <v>20</v>
      </c>
      <c r="X27" s="4" t="s">
        <v>19</v>
      </c>
      <c r="Y27" s="5">
        <f>VLOOKUP($X$5,Main_data1[],20,FALSE)</f>
        <v>58</v>
      </c>
      <c r="Z27" s="5"/>
      <c r="AA27" s="5"/>
      <c r="AB27" s="5"/>
      <c r="AC27" s="5"/>
      <c r="AD27" s="5"/>
      <c r="AE27" s="5"/>
      <c r="AF27" s="5"/>
      <c r="AG27" s="5"/>
      <c r="AI27" s="2">
        <v>1</v>
      </c>
    </row>
    <row r="28" spans="3:37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W28" s="2">
        <v>21</v>
      </c>
      <c r="X28" s="4" t="s">
        <v>20</v>
      </c>
      <c r="Y28" s="5">
        <f>VLOOKUP($X$5,Main_data1[],21,FALSE)</f>
        <v>166</v>
      </c>
      <c r="Z28" s="5"/>
      <c r="AA28" s="5"/>
      <c r="AB28" s="5"/>
      <c r="AC28" s="5"/>
      <c r="AD28" s="5"/>
      <c r="AE28" s="5"/>
      <c r="AF28" s="5"/>
      <c r="AG28" s="5"/>
      <c r="AI28" s="2">
        <v>1</v>
      </c>
    </row>
    <row r="29" spans="3:37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W29" s="2">
        <v>22</v>
      </c>
      <c r="X29" s="4" t="s">
        <v>21</v>
      </c>
      <c r="Y29" s="16">
        <f>VLOOKUP($X$5,Main_data1[],22,FALSE)</f>
        <v>0.12</v>
      </c>
      <c r="Z29" s="5"/>
      <c r="AA29" s="5"/>
      <c r="AB29" s="5"/>
      <c r="AC29" s="5"/>
      <c r="AD29" s="5"/>
      <c r="AE29" s="5"/>
      <c r="AF29" s="5"/>
      <c r="AG29" s="5"/>
      <c r="AI29" s="2">
        <v>1</v>
      </c>
    </row>
    <row r="30" spans="3:37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W30" s="2">
        <v>23</v>
      </c>
      <c r="X30" s="4" t="s">
        <v>22</v>
      </c>
      <c r="Y30" s="5">
        <f>VLOOKUP($X$5,Main_data1[],23,FALSE)</f>
        <v>16</v>
      </c>
      <c r="Z30" s="5"/>
      <c r="AA30" s="5"/>
      <c r="AB30" s="5"/>
      <c r="AC30" s="5"/>
      <c r="AD30" s="5"/>
      <c r="AE30" s="5"/>
      <c r="AF30" s="5"/>
      <c r="AG30" s="5"/>
      <c r="AI30" s="2">
        <v>1</v>
      </c>
      <c r="AJ30" s="2">
        <v>18</v>
      </c>
    </row>
    <row r="31" spans="3:37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W31" s="2">
        <v>24</v>
      </c>
      <c r="X31" s="4" t="s">
        <v>23</v>
      </c>
      <c r="Y31" s="5">
        <f>VLOOKUP($X$5,Main_data1[],24,FALSE)</f>
        <v>41</v>
      </c>
      <c r="Z31" s="5"/>
      <c r="AA31" s="5"/>
      <c r="AB31" s="5"/>
      <c r="AC31" s="5"/>
      <c r="AD31" s="5"/>
      <c r="AE31" s="5"/>
      <c r="AF31" s="5"/>
      <c r="AG31" s="5"/>
      <c r="AI31" s="2">
        <v>1</v>
      </c>
      <c r="AJ31" s="2">
        <f>AK32-AJ30</f>
        <v>23</v>
      </c>
    </row>
    <row r="32" spans="3:37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W32" s="2">
        <v>25</v>
      </c>
      <c r="X32" s="4" t="s">
        <v>24</v>
      </c>
      <c r="Y32" s="16">
        <f>VLOOKUP($X$5,Main_data1[],25,FALSE)</f>
        <v>0.6</v>
      </c>
      <c r="Z32" s="14">
        <f>1-Y32</f>
        <v>0.4</v>
      </c>
      <c r="AA32" s="5"/>
      <c r="AB32" s="5"/>
      <c r="AC32" s="5"/>
      <c r="AD32" s="5"/>
      <c r="AE32" s="5"/>
      <c r="AF32" s="5"/>
      <c r="AG32" s="5"/>
      <c r="AI32" s="2">
        <v>1</v>
      </c>
      <c r="AJ32" s="2">
        <v>5</v>
      </c>
      <c r="AK32" s="2">
        <f>Y31</f>
        <v>41</v>
      </c>
    </row>
    <row r="33" spans="3:36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W33" s="2">
        <v>26</v>
      </c>
      <c r="X33" s="4" t="s">
        <v>25</v>
      </c>
      <c r="Y33" s="5">
        <f>VLOOKUP($X$5,Main_data1[],26,FALSE)</f>
        <v>84</v>
      </c>
      <c r="Z33" s="5"/>
      <c r="AA33" s="5"/>
      <c r="AB33" s="5"/>
      <c r="AC33" s="5"/>
      <c r="AD33" s="5"/>
      <c r="AE33" s="5"/>
      <c r="AF33" s="5"/>
      <c r="AG33" s="5"/>
      <c r="AI33" s="2">
        <v>1</v>
      </c>
      <c r="AJ33" s="2">
        <f>AJ34-AK32</f>
        <v>19</v>
      </c>
    </row>
    <row r="34" spans="3:36" x14ac:dyDescent="0.25">
      <c r="W34" s="2">
        <v>27</v>
      </c>
      <c r="X34" s="4" t="s">
        <v>26</v>
      </c>
      <c r="Y34" s="5">
        <f>VLOOKUP($X$5,Main_data1[],27,FALSE)</f>
        <v>75</v>
      </c>
      <c r="Z34" s="5"/>
      <c r="AA34" s="5"/>
      <c r="AB34" s="5"/>
      <c r="AC34" s="5"/>
      <c r="AD34" s="5"/>
      <c r="AE34" s="5"/>
      <c r="AF34" s="5"/>
      <c r="AG34" s="5"/>
      <c r="AI34" s="2">
        <v>1</v>
      </c>
      <c r="AJ34" s="2">
        <v>60</v>
      </c>
    </row>
    <row r="35" spans="3:36" x14ac:dyDescent="0.25">
      <c r="W35" s="2">
        <v>28</v>
      </c>
      <c r="X35" s="4" t="s">
        <v>27</v>
      </c>
      <c r="Y35" s="5">
        <f>VLOOKUP($X$5,Main_data1[],28,FALSE)</f>
        <v>281</v>
      </c>
      <c r="Z35" s="16">
        <f>Y35/Y11</f>
        <v>7.3753280839895019E-2</v>
      </c>
      <c r="AA35" s="14">
        <f>1-Z35</f>
        <v>0.92624671916010493</v>
      </c>
      <c r="AB35" s="5"/>
      <c r="AC35" s="5"/>
      <c r="AD35" s="5"/>
      <c r="AE35" s="5"/>
      <c r="AF35" s="5"/>
      <c r="AG35" s="5"/>
      <c r="AI35" s="2">
        <v>1</v>
      </c>
    </row>
    <row r="36" spans="3:36" x14ac:dyDescent="0.25">
      <c r="W36" s="2">
        <v>29</v>
      </c>
      <c r="X36" s="4" t="s">
        <v>28</v>
      </c>
      <c r="Y36" s="16">
        <f>VLOOKUP($X$5,Main_data1[],29,FALSE)</f>
        <v>0.6</v>
      </c>
      <c r="Z36" s="14">
        <f>1-Y36</f>
        <v>0.4</v>
      </c>
      <c r="AA36" s="5"/>
      <c r="AB36" s="5"/>
      <c r="AC36" s="5"/>
      <c r="AD36" s="5"/>
      <c r="AE36" s="5"/>
      <c r="AF36" s="5"/>
      <c r="AG36" s="5"/>
      <c r="AI36" s="2">
        <v>1</v>
      </c>
    </row>
    <row r="37" spans="3:36" x14ac:dyDescent="0.25">
      <c r="W37" s="2">
        <v>30</v>
      </c>
      <c r="X37" s="4" t="s">
        <v>29</v>
      </c>
      <c r="Y37" s="14">
        <f>VLOOKUP(X5,Main_data1[],30,FALSE)</f>
        <v>0.12</v>
      </c>
      <c r="Z37" s="5"/>
      <c r="AA37" s="5"/>
      <c r="AB37" s="5"/>
      <c r="AC37" s="5"/>
      <c r="AD37" s="5"/>
      <c r="AE37" s="5"/>
      <c r="AF37" s="5"/>
      <c r="AG37" s="5"/>
      <c r="AI37" s="2">
        <v>1</v>
      </c>
    </row>
    <row r="38" spans="3:36" x14ac:dyDescent="0.25">
      <c r="W38" s="2">
        <v>31</v>
      </c>
      <c r="X38" s="4" t="s">
        <v>30</v>
      </c>
      <c r="Y38" s="14">
        <f>VLOOKUP(X5,Main_data1[],31,FALSE)</f>
        <v>0.12</v>
      </c>
      <c r="Z38" s="5"/>
      <c r="AA38" s="5"/>
      <c r="AB38" s="5"/>
      <c r="AC38" s="5"/>
      <c r="AD38" s="5"/>
      <c r="AE38" s="5"/>
      <c r="AF38" s="5"/>
      <c r="AG38" s="5"/>
      <c r="AI38" s="2">
        <v>1</v>
      </c>
    </row>
    <row r="39" spans="3:36" x14ac:dyDescent="0.25">
      <c r="W39" s="2">
        <v>32</v>
      </c>
      <c r="X39" s="4" t="s">
        <v>31</v>
      </c>
      <c r="Y39" s="14">
        <f>VLOOKUP(X5,Main_data1[],32,FALSE)</f>
        <v>0.7</v>
      </c>
      <c r="Z39" s="14">
        <f>1-Y39</f>
        <v>0.30000000000000004</v>
      </c>
      <c r="AA39" s="5"/>
      <c r="AB39" s="5"/>
      <c r="AC39" s="5"/>
      <c r="AD39" s="5"/>
      <c r="AE39" s="5"/>
      <c r="AF39" s="5"/>
      <c r="AG39" s="5"/>
      <c r="AI39" s="2">
        <f>COUNT(AI15:AI38)</f>
        <v>20</v>
      </c>
    </row>
    <row r="40" spans="3:36" x14ac:dyDescent="0.25">
      <c r="W40" s="2">
        <v>33</v>
      </c>
      <c r="X40" s="4" t="s">
        <v>32</v>
      </c>
      <c r="Y40" s="14">
        <f>VLOOKUP(X5,Main_data1[],33,FALSE)</f>
        <v>0.89</v>
      </c>
      <c r="Z40" s="14">
        <f>1-Y40</f>
        <v>0.10999999999999999</v>
      </c>
      <c r="AA40" s="5"/>
      <c r="AB40" s="5"/>
      <c r="AC40" s="5"/>
      <c r="AD40" s="5"/>
      <c r="AE40" s="5"/>
      <c r="AF40" s="5"/>
      <c r="AG40" s="5"/>
    </row>
    <row r="41" spans="3:36" x14ac:dyDescent="0.25">
      <c r="W41" s="2">
        <v>34</v>
      </c>
      <c r="X41" s="4" t="s">
        <v>33</v>
      </c>
      <c r="Y41" s="14">
        <f>VLOOKUP(X5,Main_data1[],34,FALSE)</f>
        <v>0.9</v>
      </c>
      <c r="Z41" s="14">
        <f>1-Y41</f>
        <v>9.9999999999999978E-2</v>
      </c>
      <c r="AA41" s="5"/>
      <c r="AB41" s="5"/>
      <c r="AC41" s="5"/>
      <c r="AD41" s="5"/>
      <c r="AE41" s="5"/>
      <c r="AF41" s="5"/>
      <c r="AG41" s="5"/>
    </row>
  </sheetData>
  <mergeCells count="1">
    <mergeCell ref="C1:P1"/>
  </mergeCells>
  <pageMargins left="0.7" right="0.7" top="0.75" bottom="0.75" header="0.3" footer="0.3"/>
  <pageSetup paperSize="9" scale="88" orientation="landscape" r:id="rId1"/>
  <rowBreaks count="1" manualBreakCount="1">
    <brk id="33" min="2" max="15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F226B1-B5BA-4C56-93EA-7179A6A79F56}">
          <x14:formula1>
            <xm:f>'Sheet1 (2)'!$A$2:$A$13</xm:f>
          </x14:formula1>
          <xm:sqref>B2 B7 D2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F A A B Q S w M E F A A C A A g A x 4 J C V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x 4 J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e C Q l d j 6 Q P h e w I A A C U G A A A T A B w A R m 9 y b X V s Y X M v U 2 V j d G l v b j E u b S C i G A A o o B Q A A A A A A A A A A A A A A A A A A A A A A A A A A A C F V N t q 2 0 A Q f T f 4 H w Y 5 o T a o p q G X h 4 Y U V D c h a Z 3 G x G 5 D S U J Z S 2 N r y W r X z K 4 c u y Z P L R T 6 h / 6 b j i 5 J m 3 q b 6 E V o z 8 y Z s 2 d m Z D F 2 0 m g Y V u + d 3 W a j 2 b C p I E x g m C K 6 H d g D h a 7 Z A H 6 G J q c Y + W R / E a P q n h m 6 G h t z 1 T 6 Q C r s 9 o x 1 q Z 9 v B w e u L 9 f f 1 j / W v 9 c + L d 8 I J i L R Q S y v t R Z k H x 8 I 6 p G v O Z t i m Y y M o 6 S 6 U X Q S d E H S u V A i O c u y E d d V S x 9 f y x b U r E a v z I 4 f Z X l C B Q f h B 6 q T + C i 5 v z o u y l 3 V + K x i Q y Y z j K x 2 i S J B s w D Q j M W b R N V K f t / 8 u F c J 5 j U Z K D W O h B N m 9 Q t d l 5 4 6 4 l w o 9 Z d 7 R c o Z / S E c k t J 0 Y y n p G 5 Z k u Q N v 2 q A h X q + C Y X U s D v j A H g c O F u w l h F Q x F n k h 7 e 6 z z b I x U A h + N f s q g T H x g q 2 S O T a 6 d B 9 2 G k v W b K B r t z R 7 K + A r 6 K O b I 8 J F 2 r 1 5 0 C + 2 3 3 O y 7 h b 5 w X v S T n g m Z V N l 2 M 2 C L D 2 K e D u n j 3 o K T O Z K T m R c b i C U Z p X x F y 2 r k K d e C 9 0 Z q L 7 Q N J 7 m z 5 Q z 5 8 g a C H I x Y i p 9 2 P 5 s p s 0 S 0 E B V 9 f / P y m b f C B A 4 w E 8 r n R A t 6 h q h Y t z l C V G 7 d f 6 K 0 I x G z G K R M 6 t u u b Q o m M y 5 B G C B J k z w W X 3 s G Z 9 K l v P Y 0 l 7 z R f b Q W R j z M 8 B y + o P D 7 N s p J G 8 7 1 z s 4 p O p L s y J 1 B m w z R f F q 4 5 q M + J P 6 l z F B b N v a z h b d 5 M k X f D L e A d 0 t q q a f V O P o u W E Y 8 r I S H + f T e r m w I i n J n M l E s K / s b s z v o W z g W L q d p Y X y x 7 d X I b M b 0 z f V j I X e 3 2 p 9 M q t H Q R U e O d I K L h x M G i p s W x a n E O S Z P v L H H Q s / M N d L 9 2 H 9 C b z r N h t T e / 9 r u b 1 B L A Q I t A B Q A A g A I A M e C Q l c g O B 9 n p A A A A P U A A A A S A A A A A A A A A A A A A A A A A A A A A A B D b 2 5 m a W c v U G F j a 2 F n Z S 5 4 b W x Q S w E C L Q A U A A I A C A D H g k J X D 8 r p q 6 Q A A A D p A A A A E w A A A A A A A A A A A A A A A A D w A A A A W 0 N v b n R l b n R f V H l w Z X N d L n h t b F B L A Q I t A B Q A A g A I A M e C Q l d j 6 Q P h e w I A A C U G A A A T A A A A A A A A A A A A A A A A A O E B A A B G b 3 J t d W x h c y 9 T Z W N 0 a W 9 u M S 5 t U E s F B g A A A A A D A A M A w g A A A K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d A A A A A A A A i R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Y W l u X 2 R h d G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y V D E z O j A 3 O j A w L j A 0 N D k w M T B a I i A v P j x F b n R y e S B U e X B l P S J G a W x s Q 2 9 s d W 1 u V H l w Z X M i I F Z h b H V l P S J z Q m d V R k J R V U R B d 0 1 E Q X d N R E F 3 T U R B d 0 1 E Q X d N R E J R T U R C U U 1 E Q X d V R k J R V U Z C U T 0 9 I i A v P j x F b n R y e S B U e X B l P S J G a W x s Q 2 9 s d W 1 u T m F t Z X M i I F Z h b H V l P S J z W y Z x d W 9 0 O 0 1 v b n R o J n F 1 b 3 Q 7 L C Z x d W 9 0 O 1 N h d W R p c y Z x d W 9 0 O y w m c X V v d D t O b 2 4 t U 2 F 1 a W R z J n F 1 b 3 Q 7 L C Z x d W 9 0 O y M g S G V h Z G N v d W 5 0 J n F 1 b 3 Q 7 L C Z x d W 9 0 O y U g U 2 F 1 Z G l 6 Y X R p b 2 4 m c X V v d D s s J n F 1 b 3 Q 7 I y B T a W N r I E x l Y X Z l J n F 1 b 3 Q 7 L C Z x d W 9 0 O y M g S G 9 1 c n M g T G F 0 Z S Z x d W 9 0 O y w m c X V v d D s j I F V u c G F p Z C B M Z W F 2 Z X M m c X V v d D s s J n F 1 b 3 Q 7 J C B J b m N l b n R p d m U m c X V v d D s s J n F 1 b 3 Q 7 J C B P d m V y d G l t Z S Z x d W 9 0 O y w m c X V v d D s k I F B h e X J v b G w m c X V v d D s s J n F 1 b 3 Q 7 I y B M Z W F 2 Z X J z J n F 1 b 3 Q 7 L C Z x d W 9 0 O y M g S m 9 p b m V y c y Z x d W 9 0 O y w m c X V v d D s l I E 9 1 d H N v d X J j Z S Z x d W 9 0 O y w m c X V v d D s j I F B h c n Q g V G l t Z X J z J n F 1 b 3 Q 7 L C Z x d W 9 0 O y M g R W 1 w b G 9 5 Z W V z I E F n Z W Q g X H U w M D N l N T A m c X V v d D s s J n F 1 b 3 Q 7 J S B P Z i B G Z W 1 h b G V z J n F 1 b 3 Q 7 L C Z x d W 9 0 O y M g Q 2 9 y c m V j d G l 2 Z S B B Y 3 R p b 2 5 z J n F 1 b 3 Q 7 L C Z x d W 9 0 O y M g Q 2 9 u d H J h Y 3 Q g V G V y b W l u Y X R p b 2 4 m c X V v d D s s J n F 1 b 3 Q 7 I y B Q c m 9 i Y X R p b 2 4 g U G V y a W 9 k I F R l c m 1 p b m F 0 a W 9 u J n F 1 b 3 Q 7 L C Z x d W 9 0 O y M g T G V h d m V y c y B X a X R o I F N l c n Z p Y 2 U g T G V z c y B U a G F u I D M g W W V h c n M m c X V v d D s s J n F 1 b 3 Q 7 J S B U d X J u b 3 Z l c i Z x d W 9 0 O y w m c X V v d D s j I F J l d H J p Z W Q g R W 1 w b G 9 5 Z W V z J n F 1 b 3 Q 7 L C Z x d W 9 0 O 0 F 2 Z y B B Z 2 U m c X V v d D s s J n F 1 b 3 Q 7 J S B I c i B F e H B l b n N l c y B W c y B C d W R n Z X Q m c X V v d D s s J n F 1 b 3 Q 7 I y B U c m F p b m l u Z y B I b 3 V y c y Z x d W 9 0 O y w m c X V v d D s j I F R y Y W l u Z W Q g R W 1 w b G 9 5 Z W V z J n F 1 b 3 Q 7 L C Z x d W 9 0 O y M g S F I g S G V h Z G N v d W 5 0 J n F 1 b 3 Q 7 L C Z x d W 9 0 O y U g Q X V 0 b 2 1 h d G V k I F B y b 2 N l c 3 N l c y Z x d W 9 0 O y w m c X V v d D s l I E h p Z 2 g g U G V y Z m 9 y b W V y c y Z x d W 9 0 O y w m c X V v d D s l I E x v d y B Q Z X J m b 3 J t Z X J z J n F 1 b 3 Q 7 L C Z x d W 9 0 O y U g V H J h a W 5 p b m c g R W Z m Z W N 0 a X Z l b m V z c y B J b m R l e C Z x d W 9 0 O y w m c X V v d D s l I F R y Y W l u a W 5 n I F B s Y W 4 g Q W N o a W V 2 Z W R c d T A w M j c m c X V v d D s s J n F 1 b 3 Q 7 J S B N Y W 5 w b 3 d l c i B Q b G F u I E F j a G l l d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D a G F u Z 2 V k I F R 5 c G U u e 0 1 v b n R o L D B 9 J n F 1 b 3 Q 7 L C Z x d W 9 0 O 1 N l Y 3 R p b 2 4 x L 1 N o Z W V 0 M S 9 D a G F u Z 2 V k I F R 5 c G U u e 1 N h d W R p c y w x f S Z x d W 9 0 O y w m c X V v d D t T Z W N 0 a W 9 u M S 9 T a G V l d D E v Q 2 h h b m d l Z C B U e X B l L n t O b 2 4 t U 2 F 1 a W R z L D J 9 J n F 1 b 3 Q 7 L C Z x d W 9 0 O 1 N l Y 3 R p b 2 4 x L 1 N o Z W V 0 M S 9 D a G F u Z 2 V k I F R 5 c G U u e y M g S G V h Z G N v d W 5 0 L D N 9 J n F 1 b 3 Q 7 L C Z x d W 9 0 O 1 N l Y 3 R p b 2 4 x L 1 N o Z W V 0 M S 9 D a G F u Z 2 V k I F R 5 c G U u e y U g U 2 F 1 Z G l 6 Y X R p b 2 4 s N H 0 m c X V v d D s s J n F 1 b 3 Q 7 U 2 V j d G l v b j E v U 2 h l Z X Q x L 0 N o Y W 5 n Z W Q g V H l w Z S 5 7 I y B T a W N r I E x l Y X Z l L D V 9 J n F 1 b 3 Q 7 L C Z x d W 9 0 O 1 N l Y 3 R p b 2 4 x L 1 N o Z W V 0 M S 9 D a G F u Z 2 V k I F R 5 c G U u e y M g S G 9 1 c n M g T G F 0 Z S w 2 f S Z x d W 9 0 O y w m c X V v d D t T Z W N 0 a W 9 u M S 9 T a G V l d D E v Q 2 h h b m d l Z C B U e X B l L n s j I F V u c G F p Z C B M Z W F 2 Z X M s N 3 0 m c X V v d D s s J n F 1 b 3 Q 7 U 2 V j d G l v b j E v U 2 h l Z X Q x L 0 N o Y W 5 n Z W Q g V H l w Z S 5 7 J C B J b m N l b n R p d m U s O H 0 m c X V v d D s s J n F 1 b 3 Q 7 U 2 V j d G l v b j E v U 2 h l Z X Q x L 0 N o Y W 5 n Z W Q g V H l w Z S 5 7 J C B P d m V y d G l t Z S w 5 f S Z x d W 9 0 O y w m c X V v d D t T Z W N 0 a W 9 u M S 9 T a G V l d D E v Q 2 h h b m d l Z C B U e X B l L n s k I F B h e X J v b G w s M T B 9 J n F 1 b 3 Q 7 L C Z x d W 9 0 O 1 N l Y 3 R p b 2 4 x L 1 N o Z W V 0 M S 9 D a G F u Z 2 V k I F R 5 c G U u e y M g T G V h d m V y c y w x M X 0 m c X V v d D s s J n F 1 b 3 Q 7 U 2 V j d G l v b j E v U 2 h l Z X Q x L 0 N o Y W 5 n Z W Q g V H l w Z S 5 7 I y B K b 2 l u Z X J z L D E y f S Z x d W 9 0 O y w m c X V v d D t T Z W N 0 a W 9 u M S 9 T a G V l d D E v Q 2 h h b m d l Z C B U e X B l L n s l I E 9 1 d H N v d X J j Z S w x M 3 0 m c X V v d D s s J n F 1 b 3 Q 7 U 2 V j d G l v b j E v U 2 h l Z X Q x L 0 N o Y W 5 n Z W Q g V H l w Z S 5 7 I y B Q Y X J 0 I F R p b W V y c y w x N H 0 m c X V v d D s s J n F 1 b 3 Q 7 U 2 V j d G l v b j E v U 2 h l Z X Q x L 0 N o Y W 5 n Z W Q g V H l w Z S 5 7 I y B F b X B s b 3 l l Z X M g Q W d l Z C B c d T A w M 2 U 1 M C w x N X 0 m c X V v d D s s J n F 1 b 3 Q 7 U 2 V j d G l v b j E v U 2 h l Z X Q x L 0 N o Y W 5 n Z W Q g V H l w Z S 5 7 J S B P Z i B G Z W 1 h b G V z L D E 2 f S Z x d W 9 0 O y w m c X V v d D t T Z W N 0 a W 9 u M S 9 T a G V l d D E v Q 2 h h b m d l Z C B U e X B l L n s j I E N v c n J l Y 3 R p d m U g Q W N 0 a W 9 u c y w x N 3 0 m c X V v d D s s J n F 1 b 3 Q 7 U 2 V j d G l v b j E v U 2 h l Z X Q x L 0 N o Y W 5 n Z W Q g V H l w Z S 5 7 I y B D b 2 5 0 c m F j d C B U Z X J t a W 5 h d G l v b i w x O H 0 m c X V v d D s s J n F 1 b 3 Q 7 U 2 V j d G l v b j E v U 2 h l Z X Q x L 0 N o Y W 5 n Z W Q g V H l w Z S 5 7 I y B Q c m 9 i Y X R p b 2 4 g U G V y a W 9 k I F R l c m 1 p b m F 0 a W 9 u L D E 5 f S Z x d W 9 0 O y w m c X V v d D t T Z W N 0 a W 9 u M S 9 T a G V l d D E v Q 2 h h b m d l Z C B U e X B l L n s j I E x l Y X Z l c n M g V 2 l 0 a C B T Z X J 2 a W N l I E x l c 3 M g V G h h b i A z I F l l Y X J z L D I w f S Z x d W 9 0 O y w m c X V v d D t T Z W N 0 a W 9 u M S 9 T a G V l d D E v Q 2 h h b m d l Z C B U e X B l L n s l I F R 1 c m 5 v d m V y L D I x f S Z x d W 9 0 O y w m c X V v d D t T Z W N 0 a W 9 u M S 9 T a G V l d D E v Q 2 h h b m d l Z C B U e X B l L n s j I F J l d H J p Z W Q g R W 1 w b G 9 5 Z W V z L D I y f S Z x d W 9 0 O y w m c X V v d D t T Z W N 0 a W 9 u M S 9 T a G V l d D E v Q 2 h h b m d l Z C B U e X B l L n t B d m c g Q W d l L D I z f S Z x d W 9 0 O y w m c X V v d D t T Z W N 0 a W 9 u M S 9 T a G V l d D E v Q 2 h h b m d l Z C B U e X B l L n s l I E h y I E V 4 c G V u c 2 V z I F Z z I E J 1 Z G d l d C w y N H 0 m c X V v d D s s J n F 1 b 3 Q 7 U 2 V j d G l v b j E v U 2 h l Z X Q x L 0 N o Y W 5 n Z W Q g V H l w Z S 5 7 I y B U c m F p b m l u Z y B I b 3 V y c y w y N X 0 m c X V v d D s s J n F 1 b 3 Q 7 U 2 V j d G l v b j E v U 2 h l Z X Q x L 0 N o Y W 5 n Z W Q g V H l w Z S 5 7 I y B U c m F p b m V k I E V t c G x v e W V l c y w y N n 0 m c X V v d D s s J n F 1 b 3 Q 7 U 2 V j d G l v b j E v U 2 h l Z X Q x L 0 N o Y W 5 n Z W Q g V H l w Z S 5 7 I y B I U i B I Z W F k Y 2 9 1 b n Q s M j d 9 J n F 1 b 3 Q 7 L C Z x d W 9 0 O 1 N l Y 3 R p b 2 4 x L 1 N o Z W V 0 M S 9 D a G F u Z 2 V k I F R 5 c G U u e y U g Q X V 0 b 2 1 h d G V k I F B y b 2 N l c 3 N l c y w y O H 0 m c X V v d D s s J n F 1 b 3 Q 7 U 2 V j d G l v b j E v U 2 h l Z X Q x L 0 N o Y W 5 n Z W Q g V H l w Z S 5 7 J S B I a W d o I F B l c m Z v c m 1 l c n M s M j l 9 J n F 1 b 3 Q 7 L C Z x d W 9 0 O 1 N l Y 3 R p b 2 4 x L 1 N o Z W V 0 M S 9 D a G F u Z 2 V k I F R 5 c G U u e y U g T G 9 3 I F B l c m Z v c m 1 l c n M s M z B 9 J n F 1 b 3 Q 7 L C Z x d W 9 0 O 1 N l Y 3 R p b 2 4 x L 1 N o Z W V 0 M S 9 D a G F u Z 2 V k I F R 5 c G U u e y U g V H J h a W 5 p b m c g R W Z m Z W N 0 a X Z l b m V z c y B J b m R l e C w z M X 0 m c X V v d D s s J n F 1 b 3 Q 7 U 2 V j d G l v b j E v U 2 h l Z X Q x L 0 N o Y W 5 n Z W Q g V H l w Z S 5 7 J S B U c m F p b m l u Z y B Q b G F u I E F j a G l l d m V k X H U w M D I 3 L D M y f S Z x d W 9 0 O y w m c X V v d D t T Z W N 0 a W 9 u M S 9 T a G V l d D E v Q 2 h h b m d l Z C B U e X B l L n s l I E 1 h b n B v d 2 V y I F B s Y W 4 g Q W N o a W V 2 Z W Q s M z N 9 J n F 1 b 3 Q 7 X S w m c X V v d D t D b 2 x 1 b W 5 D b 3 V u d C Z x d W 9 0 O z o z N C w m c X V v d D t L Z X l D b 2 x 1 b W 5 O Y W 1 l c y Z x d W 9 0 O z p b X S w m c X V v d D t D b 2 x 1 b W 5 J Z G V u d G l 0 a W V z J n F 1 b 3 Q 7 O l s m c X V v d D t T Z W N 0 a W 9 u M S 9 T a G V l d D E v Q 2 h h b m d l Z C B U e X B l L n t N b 2 5 0 a C w w f S Z x d W 9 0 O y w m c X V v d D t T Z W N 0 a W 9 u M S 9 T a G V l d D E v Q 2 h h b m d l Z C B U e X B l L n t T Y X V k a X M s M X 0 m c X V v d D s s J n F 1 b 3 Q 7 U 2 V j d G l v b j E v U 2 h l Z X Q x L 0 N o Y W 5 n Z W Q g V H l w Z S 5 7 T m 9 u L V N h d W l k c y w y f S Z x d W 9 0 O y w m c X V v d D t T Z W N 0 a W 9 u M S 9 T a G V l d D E v Q 2 h h b m d l Z C B U e X B l L n s j I E h l Y W R j b 3 V u d C w z f S Z x d W 9 0 O y w m c X V v d D t T Z W N 0 a W 9 u M S 9 T a G V l d D E v Q 2 h h b m d l Z C B U e X B l L n s l I F N h d W R p e m F 0 a W 9 u L D R 9 J n F 1 b 3 Q 7 L C Z x d W 9 0 O 1 N l Y 3 R p b 2 4 x L 1 N o Z W V 0 M S 9 D a G F u Z 2 V k I F R 5 c G U u e y M g U 2 l j a y B M Z W F 2 Z S w 1 f S Z x d W 9 0 O y w m c X V v d D t T Z W N 0 a W 9 u M S 9 T a G V l d D E v Q 2 h h b m d l Z C B U e X B l L n s j I E h v d X J z I E x h d G U s N n 0 m c X V v d D s s J n F 1 b 3 Q 7 U 2 V j d G l v b j E v U 2 h l Z X Q x L 0 N o Y W 5 n Z W Q g V H l w Z S 5 7 I y B V b n B h a W Q g T G V h d m V z L D d 9 J n F 1 b 3 Q 7 L C Z x d W 9 0 O 1 N l Y 3 R p b 2 4 x L 1 N o Z W V 0 M S 9 D a G F u Z 2 V k I F R 5 c G U u e y Q g S W 5 j Z W 5 0 a X Z l L D h 9 J n F 1 b 3 Q 7 L C Z x d W 9 0 O 1 N l Y 3 R p b 2 4 x L 1 N o Z W V 0 M S 9 D a G F u Z 2 V k I F R 5 c G U u e y Q g T 3 Z l c n R p b W U s O X 0 m c X V v d D s s J n F 1 b 3 Q 7 U 2 V j d G l v b j E v U 2 h l Z X Q x L 0 N o Y W 5 n Z W Q g V H l w Z S 5 7 J C B Q Y X l y b 2 x s L D E w f S Z x d W 9 0 O y w m c X V v d D t T Z W N 0 a W 9 u M S 9 T a G V l d D E v Q 2 h h b m d l Z C B U e X B l L n s j I E x l Y X Z l c n M s M T F 9 J n F 1 b 3 Q 7 L C Z x d W 9 0 O 1 N l Y 3 R p b 2 4 x L 1 N o Z W V 0 M S 9 D a G F u Z 2 V k I F R 5 c G U u e y M g S m 9 p b m V y c y w x M n 0 m c X V v d D s s J n F 1 b 3 Q 7 U 2 V j d G l v b j E v U 2 h l Z X Q x L 0 N o Y W 5 n Z W Q g V H l w Z S 5 7 J S B P d X R z b 3 V y Y 2 U s M T N 9 J n F 1 b 3 Q 7 L C Z x d W 9 0 O 1 N l Y 3 R p b 2 4 x L 1 N o Z W V 0 M S 9 D a G F u Z 2 V k I F R 5 c G U u e y M g U G F y d C B U a W 1 l c n M s M T R 9 J n F 1 b 3 Q 7 L C Z x d W 9 0 O 1 N l Y 3 R p b 2 4 x L 1 N o Z W V 0 M S 9 D a G F u Z 2 V k I F R 5 c G U u e y M g R W 1 w b G 9 5 Z W V z I E F n Z W Q g X H U w M D N l N T A s M T V 9 J n F 1 b 3 Q 7 L C Z x d W 9 0 O 1 N l Y 3 R p b 2 4 x L 1 N o Z W V 0 M S 9 D a G F u Z 2 V k I F R 5 c G U u e y U g T 2 Y g R m V t Y W x l c y w x N n 0 m c X V v d D s s J n F 1 b 3 Q 7 U 2 V j d G l v b j E v U 2 h l Z X Q x L 0 N o Y W 5 n Z W Q g V H l w Z S 5 7 I y B D b 3 J y Z W N 0 a X Z l I E F j d G l v b n M s M T d 9 J n F 1 b 3 Q 7 L C Z x d W 9 0 O 1 N l Y 3 R p b 2 4 x L 1 N o Z W V 0 M S 9 D a G F u Z 2 V k I F R 5 c G U u e y M g Q 2 9 u d H J h Y 3 Q g V G V y b W l u Y X R p b 2 4 s M T h 9 J n F 1 b 3 Q 7 L C Z x d W 9 0 O 1 N l Y 3 R p b 2 4 x L 1 N o Z W V 0 M S 9 D a G F u Z 2 V k I F R 5 c G U u e y M g U H J v Y m F 0 a W 9 u I F B l c m l v Z C B U Z X J t a W 5 h d G l v b i w x O X 0 m c X V v d D s s J n F 1 b 3 Q 7 U 2 V j d G l v b j E v U 2 h l Z X Q x L 0 N o Y W 5 n Z W Q g V H l w Z S 5 7 I y B M Z W F 2 Z X J z I F d p d G g g U 2 V y d m l j Z S B M Z X N z I F R o Y W 4 g M y B Z Z W F y c y w y M H 0 m c X V v d D s s J n F 1 b 3 Q 7 U 2 V j d G l v b j E v U 2 h l Z X Q x L 0 N o Y W 5 n Z W Q g V H l w Z S 5 7 J S B U d X J u b 3 Z l c i w y M X 0 m c X V v d D s s J n F 1 b 3 Q 7 U 2 V j d G l v b j E v U 2 h l Z X Q x L 0 N o Y W 5 n Z W Q g V H l w Z S 5 7 I y B S Z X R y a W V k I E V t c G x v e W V l c y w y M n 0 m c X V v d D s s J n F 1 b 3 Q 7 U 2 V j d G l v b j E v U 2 h l Z X Q x L 0 N o Y W 5 n Z W Q g V H l w Z S 5 7 Q X Z n I E F n Z S w y M 3 0 m c X V v d D s s J n F 1 b 3 Q 7 U 2 V j d G l v b j E v U 2 h l Z X Q x L 0 N o Y W 5 n Z W Q g V H l w Z S 5 7 J S B I c i B F e H B l b n N l c y B W c y B C d W R n Z X Q s M j R 9 J n F 1 b 3 Q 7 L C Z x d W 9 0 O 1 N l Y 3 R p b 2 4 x L 1 N o Z W V 0 M S 9 D a G F u Z 2 V k I F R 5 c G U u e y M g V H J h a W 5 p b m c g S G 9 1 c n M s M j V 9 J n F 1 b 3 Q 7 L C Z x d W 9 0 O 1 N l Y 3 R p b 2 4 x L 1 N o Z W V 0 M S 9 D a G F u Z 2 V k I F R 5 c G U u e y M g V H J h a W 5 l Z C B F b X B s b 3 l l Z X M s M j Z 9 J n F 1 b 3 Q 7 L C Z x d W 9 0 O 1 N l Y 3 R p b 2 4 x L 1 N o Z W V 0 M S 9 D a G F u Z 2 V k I F R 5 c G U u e y M g S F I g S G V h Z G N v d W 5 0 L D I 3 f S Z x d W 9 0 O y w m c X V v d D t T Z W N 0 a W 9 u M S 9 T a G V l d D E v Q 2 h h b m d l Z C B U e X B l L n s l I E F 1 d G 9 t Y X R l Z C B Q c m 9 j Z X N z Z X M s M j h 9 J n F 1 b 3 Q 7 L C Z x d W 9 0 O 1 N l Y 3 R p b 2 4 x L 1 N o Z W V 0 M S 9 D a G F u Z 2 V k I F R 5 c G U u e y U g S G l n a C B Q Z X J m b 3 J t Z X J z L D I 5 f S Z x d W 9 0 O y w m c X V v d D t T Z W N 0 a W 9 u M S 9 T a G V l d D E v Q 2 h h b m d l Z C B U e X B l L n s l I E x v d y B Q Z X J m b 3 J t Z X J z L D M w f S Z x d W 9 0 O y w m c X V v d D t T Z W N 0 a W 9 u M S 9 T a G V l d D E v Q 2 h h b m d l Z C B U e X B l L n s l I F R y Y W l u a W 5 n I E V m Z m V j d G l 2 Z W 5 l c 3 M g S W 5 k Z X g s M z F 9 J n F 1 b 3 Q 7 L C Z x d W 9 0 O 1 N l Y 3 R p b 2 4 x L 1 N o Z W V 0 M S 9 D a G F u Z 2 V k I F R 5 c G U u e y U g V H J h a W 5 p b m c g U G x h b i B B Y 2 h p Z X Z l Z F x 1 M D A y N y w z M n 0 m c X V v d D s s J n F 1 b 3 Q 7 U 2 V j d G l v b j E v U 2 h l Z X Q x L 0 N o Y W 5 n Z W Q g V H l w Z S 5 7 J S B N Y W 5 w b 3 d l c i B Q b G F u I E F j a G l l d m V k L D M z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z D 2 9 T z C l T 7 f + + Q U e L f w H A A A A A A I A A A A A A B B m A A A A A Q A A I A A A A F l Q p y a T + H B 2 H 3 E P x J A g E O U q R M i f J d Y t b 3 G X W u 9 Y z g + a A A A A A A 6 A A A A A A g A A I A A A A L J t k G r r U 5 6 p + Y L N T V Q i K + M S N c 2 P C Y n 7 z d P K T K R N q n 3 d U A A A A F e v t j 1 0 8 v + u Z 4 m K Z m a 3 D S 0 V d v e 9 h a 7 G R r y f A + G p n 4 O X m 8 s N t b + O a i S I j h + S 5 m r 3 3 M 4 H E J v U P 0 R D K s 3 m x z g S l 6 g 0 e T o 3 y q j a t f a U F 4 z c 4 v 2 f Q A A A A M E W K W k e B W u W U V s B r v K q 8 h k J x 5 + u w 8 J 9 7 i i 0 U y X S r Z 8 O Y 9 B H P p j 2 L j d m g t U F r Q i d q T A X q 1 R K l x S h E 6 4 R S m 6 R y Y s = < / D a t a M a s h u p > 
</file>

<file path=customXml/itemProps1.xml><?xml version="1.0" encoding="utf-8"?>
<ds:datastoreItem xmlns:ds="http://schemas.openxmlformats.org/officeDocument/2006/customXml" ds:itemID="{0DC9BDAB-5E7F-41F0-8100-C630E4C76E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 (2)</vt:lpstr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ALTAYIB</dc:creator>
  <cp:lastModifiedBy>ALTAYIB</cp:lastModifiedBy>
  <cp:lastPrinted>2023-10-03T12:10:56Z</cp:lastPrinted>
  <dcterms:created xsi:type="dcterms:W3CDTF">2023-10-02T13:04:08Z</dcterms:created>
  <dcterms:modified xsi:type="dcterms:W3CDTF">2023-10-03T12:11:14Z</dcterms:modified>
</cp:coreProperties>
</file>