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hmedDakrory\Desktop\"/>
    </mc:Choice>
  </mc:AlternateContent>
  <bookViews>
    <workbookView xWindow="0" yWindow="0" windowWidth="20490" windowHeight="7755"/>
  </bookViews>
  <sheets>
    <sheet name="Database" sheetId="1" r:id="rId1"/>
    <sheet name="Processing Database" sheetId="2" r:id="rId2"/>
    <sheet name="Fl 19 Follow up" sheetId="3" r:id="rId3"/>
    <sheet name="Fl 19 Summary" sheetId="4" r:id="rId4"/>
    <sheet name="Backlog" sheetId="5" state="hidden" r:id="rId5"/>
  </sheets>
  <definedNames>
    <definedName name="Programs">Backlog!$A$2:$A$16</definedName>
    <definedName name="Z_5AD1DB9D_5AA6_4240_BF2F_0293C0D5B73F_.wvu.FilterData" localSheetId="0" hidden="1">Database!$A$1:$S$244</definedName>
    <definedName name="Z_5AD1DB9D_5AA6_4240_BF2F_0293C0D5B73F_.wvu.FilterData" localSheetId="1" hidden="1">'Processing Database'!$A$1:$Q$244</definedName>
  </definedNames>
  <calcPr calcId="152511"/>
  <customWorkbookViews>
    <customWorkbookView name="Filter 1" guid="{5AD1DB9D-5AA6-4240-BF2F-0293C0D5B73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167" i="3" l="1"/>
  <c r="AJ166" i="3"/>
  <c r="AJ165" i="3"/>
  <c r="AJ164" i="3"/>
  <c r="AJ163" i="3"/>
  <c r="AJ162" i="3"/>
  <c r="AJ161" i="3"/>
  <c r="AJ160" i="3"/>
  <c r="AJ159" i="3"/>
  <c r="AJ158" i="3"/>
  <c r="AJ157" i="3"/>
  <c r="AJ156" i="3"/>
  <c r="AJ155" i="3"/>
  <c r="AJ154" i="3"/>
  <c r="AJ153" i="3"/>
  <c r="AJ152" i="3"/>
  <c r="AJ151" i="3"/>
  <c r="AJ150" i="3"/>
  <c r="AJ149" i="3"/>
  <c r="AJ148" i="3"/>
  <c r="AJ147" i="3"/>
  <c r="AJ146" i="3"/>
  <c r="AJ145" i="3"/>
  <c r="AJ144" i="3"/>
  <c r="AJ143" i="3"/>
  <c r="AJ142" i="3"/>
  <c r="AJ141" i="3"/>
  <c r="AJ140" i="3"/>
  <c r="AJ139" i="3"/>
  <c r="AJ138" i="3"/>
  <c r="AJ137" i="3"/>
  <c r="AJ136" i="3"/>
  <c r="AJ135" i="3"/>
  <c r="AJ134" i="3"/>
  <c r="AJ133" i="3"/>
  <c r="AJ132" i="3"/>
  <c r="AJ131" i="3"/>
  <c r="AJ130" i="3"/>
  <c r="AJ129" i="3"/>
  <c r="AJ128" i="3"/>
  <c r="AJ127" i="3"/>
  <c r="AJ126" i="3"/>
  <c r="AJ125" i="3"/>
  <c r="AJ124" i="3"/>
  <c r="AJ123" i="3"/>
  <c r="AJ122" i="3"/>
  <c r="AJ121" i="3"/>
  <c r="AJ120" i="3"/>
  <c r="AJ119" i="3"/>
  <c r="AJ118" i="3"/>
  <c r="AJ117" i="3"/>
  <c r="AJ116" i="3"/>
  <c r="AJ115" i="3"/>
  <c r="AJ114" i="3"/>
  <c r="AJ113" i="3"/>
  <c r="AJ112" i="3"/>
  <c r="AJ111" i="3"/>
  <c r="AJ110" i="3"/>
  <c r="AJ109" i="3"/>
  <c r="AJ108" i="3"/>
  <c r="AJ107" i="3"/>
  <c r="AJ106" i="3"/>
  <c r="AJ105" i="3"/>
  <c r="AJ104" i="3"/>
  <c r="AJ103" i="3"/>
  <c r="AJ102" i="3"/>
  <c r="AJ101" i="3"/>
  <c r="AJ100" i="3"/>
  <c r="AJ99" i="3"/>
  <c r="AJ98" i="3"/>
  <c r="AJ97" i="3"/>
  <c r="AJ96" i="3"/>
  <c r="AJ95" i="3"/>
  <c r="AJ94" i="3"/>
  <c r="AJ93" i="3"/>
  <c r="AJ92" i="3"/>
  <c r="AJ91" i="3"/>
  <c r="AJ90" i="3"/>
  <c r="AJ89" i="3"/>
  <c r="AJ88" i="3"/>
  <c r="AJ87" i="3"/>
  <c r="AJ86" i="3"/>
  <c r="AJ85" i="3"/>
  <c r="AJ84" i="3"/>
  <c r="AJ83" i="3"/>
  <c r="AJ82" i="3"/>
  <c r="AJ81" i="3"/>
  <c r="AJ80" i="3"/>
  <c r="AJ79" i="3"/>
  <c r="AJ78" i="3"/>
  <c r="AJ77" i="3"/>
  <c r="AJ76" i="3"/>
  <c r="AJ75" i="3"/>
  <c r="AJ74" i="3"/>
  <c r="AJ73" i="3"/>
  <c r="AJ72" i="3"/>
  <c r="AJ71" i="3"/>
  <c r="AJ70" i="3"/>
  <c r="AJ69" i="3"/>
  <c r="AJ68" i="3"/>
  <c r="AJ67" i="3"/>
  <c r="AJ66" i="3"/>
  <c r="AJ65" i="3"/>
  <c r="AJ64" i="3"/>
  <c r="AJ63" i="3"/>
  <c r="AJ62" i="3"/>
  <c r="AJ61" i="3"/>
  <c r="AJ60" i="3"/>
  <c r="AJ59" i="3"/>
  <c r="AJ58" i="3"/>
  <c r="AJ57" i="3"/>
  <c r="AJ56" i="3"/>
  <c r="AJ55" i="3"/>
  <c r="AJ54" i="3"/>
  <c r="AJ53" i="3"/>
  <c r="AJ52" i="3"/>
  <c r="AJ51" i="3"/>
  <c r="AJ50" i="3"/>
  <c r="AJ49" i="3"/>
  <c r="AJ48" i="3"/>
  <c r="AJ47" i="3"/>
  <c r="AJ46" i="3"/>
  <c r="AJ45" i="3"/>
  <c r="AJ44" i="3"/>
  <c r="AJ43" i="3"/>
  <c r="AJ42" i="3"/>
  <c r="AJ41" i="3"/>
  <c r="AJ40" i="3"/>
  <c r="AJ39" i="3"/>
  <c r="AJ38" i="3"/>
  <c r="AJ37" i="3"/>
  <c r="AJ36" i="3"/>
  <c r="AJ35" i="3"/>
  <c r="AJ34" i="3"/>
  <c r="AJ33" i="3"/>
  <c r="AJ32" i="3"/>
  <c r="AJ31" i="3"/>
  <c r="AJ30" i="3"/>
  <c r="AJ29" i="3"/>
  <c r="AJ28" i="3"/>
  <c r="AF28" i="3"/>
  <c r="AC28" i="3"/>
  <c r="Z28" i="3"/>
  <c r="W28" i="3"/>
  <c r="T28" i="3"/>
  <c r="Q28" i="3"/>
  <c r="N28" i="3"/>
  <c r="K28" i="3"/>
  <c r="H28" i="3"/>
  <c r="E28" i="3"/>
  <c r="AJ27" i="3"/>
  <c r="AF27" i="3"/>
  <c r="AC27" i="3"/>
  <c r="Z27" i="3"/>
  <c r="W27" i="3"/>
  <c r="T27" i="3"/>
  <c r="Q27" i="3"/>
  <c r="N27" i="3"/>
  <c r="K27" i="3"/>
  <c r="H27" i="3"/>
  <c r="E27" i="3"/>
  <c r="AJ26" i="3"/>
  <c r="AF26" i="3"/>
  <c r="AC26" i="3"/>
  <c r="Z26" i="3"/>
  <c r="W26" i="3"/>
  <c r="T26" i="3"/>
  <c r="Q26" i="3"/>
  <c r="N26" i="3"/>
  <c r="K26" i="3"/>
  <c r="H26" i="3"/>
  <c r="E26" i="3"/>
  <c r="AJ25" i="3"/>
  <c r="AF25" i="3"/>
  <c r="AC25" i="3"/>
  <c r="Z25" i="3"/>
  <c r="W25" i="3"/>
  <c r="T25" i="3"/>
  <c r="Q25" i="3"/>
  <c r="N25" i="3"/>
  <c r="K25" i="3"/>
  <c r="H25" i="3"/>
  <c r="E25" i="3"/>
  <c r="AJ24" i="3"/>
  <c r="AF24" i="3"/>
  <c r="AC24" i="3"/>
  <c r="Z24" i="3"/>
  <c r="W24" i="3"/>
  <c r="T24" i="3"/>
  <c r="Q24" i="3"/>
  <c r="N24" i="3"/>
  <c r="K24" i="3"/>
  <c r="H24" i="3"/>
  <c r="E24" i="3"/>
  <c r="AJ23" i="3"/>
  <c r="AF23" i="3"/>
  <c r="AC23" i="3"/>
  <c r="Z23" i="3"/>
  <c r="W23" i="3"/>
  <c r="T23" i="3"/>
  <c r="Q23" i="3"/>
  <c r="N23" i="3"/>
  <c r="K23" i="3"/>
  <c r="H23" i="3"/>
  <c r="E23" i="3"/>
  <c r="AJ22" i="3"/>
  <c r="AF22" i="3"/>
  <c r="AC22" i="3"/>
  <c r="Z22" i="3"/>
  <c r="W22" i="3"/>
  <c r="T22" i="3"/>
  <c r="Q22" i="3"/>
  <c r="N22" i="3"/>
  <c r="K22" i="3"/>
  <c r="H22" i="3"/>
  <c r="E22" i="3"/>
  <c r="AJ21" i="3"/>
  <c r="AF21" i="3"/>
  <c r="AC21" i="3"/>
  <c r="Z21" i="3"/>
  <c r="T21" i="3"/>
  <c r="Q21" i="3"/>
  <c r="N21" i="3"/>
  <c r="K21" i="3"/>
  <c r="H21" i="3"/>
  <c r="E21" i="3"/>
  <c r="AJ20" i="3"/>
  <c r="AF20" i="3"/>
  <c r="AC20" i="3"/>
  <c r="Z20" i="3"/>
  <c r="T20" i="3"/>
  <c r="Q20" i="3"/>
  <c r="N20" i="3"/>
  <c r="K20" i="3"/>
  <c r="H20" i="3"/>
  <c r="AJ19" i="3"/>
  <c r="AF19" i="3"/>
  <c r="AC19" i="3"/>
  <c r="Z19" i="3"/>
  <c r="T19" i="3"/>
  <c r="Q19" i="3"/>
  <c r="N19" i="3"/>
  <c r="K19" i="3"/>
  <c r="H19" i="3"/>
  <c r="AJ18" i="3"/>
  <c r="AF18" i="3"/>
  <c r="AC18" i="3"/>
  <c r="Z18" i="3"/>
  <c r="T18" i="3"/>
  <c r="Q18" i="3"/>
  <c r="N18" i="3"/>
  <c r="H18" i="3"/>
  <c r="AJ17" i="3"/>
  <c r="AF17" i="3"/>
  <c r="AC17" i="3"/>
  <c r="Z17" i="3"/>
  <c r="Q17" i="3"/>
  <c r="N17" i="3"/>
  <c r="AJ16" i="3"/>
  <c r="AF16" i="3"/>
  <c r="AC16" i="3"/>
  <c r="Q16" i="3"/>
  <c r="N16" i="3"/>
  <c r="AJ15" i="3"/>
  <c r="AF15" i="3"/>
  <c r="AC15" i="3"/>
  <c r="Q15" i="3"/>
  <c r="N15" i="3"/>
  <c r="AJ14" i="3"/>
  <c r="AF14" i="3"/>
  <c r="AC14" i="3"/>
  <c r="Q14" i="3"/>
  <c r="N14" i="3"/>
  <c r="AJ13" i="3"/>
  <c r="AF13" i="3"/>
  <c r="AC13" i="3"/>
  <c r="Q13" i="3"/>
  <c r="N13" i="3"/>
  <c r="AJ12" i="3"/>
  <c r="AF12" i="3"/>
  <c r="N12" i="3"/>
  <c r="AJ11" i="3"/>
  <c r="AF11" i="3"/>
  <c r="N11" i="3"/>
  <c r="AJ10" i="3"/>
  <c r="AF10" i="3"/>
  <c r="AJ9" i="3"/>
  <c r="AF9" i="3"/>
  <c r="AJ8" i="3"/>
  <c r="AF8" i="3"/>
  <c r="AJ7" i="3"/>
  <c r="AF7" i="3"/>
  <c r="AJ6" i="3"/>
  <c r="AJ5" i="3"/>
  <c r="AJ4" i="3"/>
  <c r="AJ3" i="3"/>
  <c r="AJ2" i="3"/>
  <c r="S1" i="2" a="1"/>
  <c r="S154" i="2" s="1"/>
  <c r="A1" i="2" a="1"/>
  <c r="D290" i="2" s="1"/>
  <c r="G5" i="3"/>
  <c r="AQ1" i="3"/>
  <c r="P4" i="3"/>
  <c r="A18" i="3"/>
  <c r="AT1" i="3"/>
  <c r="A13" i="3"/>
  <c r="V10" i="3"/>
  <c r="S13" i="3"/>
  <c r="V11" i="3"/>
  <c r="S7" i="3"/>
  <c r="D16" i="3"/>
  <c r="A11" i="3"/>
  <c r="P3" i="3"/>
  <c r="S14" i="3"/>
  <c r="G17" i="3"/>
  <c r="A4" i="3"/>
  <c r="Y7" i="3"/>
  <c r="G13" i="3"/>
  <c r="AB8" i="3"/>
  <c r="V6" i="3"/>
  <c r="G16" i="3"/>
  <c r="AS1" i="3"/>
  <c r="P7" i="3"/>
  <c r="Y5" i="3"/>
  <c r="G3" i="3"/>
  <c r="J16" i="3"/>
  <c r="D20" i="3"/>
  <c r="S4" i="3"/>
  <c r="AB9" i="3"/>
  <c r="Y9" i="3"/>
  <c r="A16" i="3"/>
  <c r="D2" i="3"/>
  <c r="J13" i="3"/>
  <c r="AB5" i="3"/>
  <c r="M7" i="3"/>
  <c r="AJ1" i="3"/>
  <c r="D5" i="3"/>
  <c r="V12" i="3"/>
  <c r="P2" i="3"/>
  <c r="V21" i="3"/>
  <c r="D15" i="3"/>
  <c r="AR1" i="3"/>
  <c r="S11" i="3"/>
  <c r="A28" i="3"/>
  <c r="AN1" i="3"/>
  <c r="AB3" i="3"/>
  <c r="AL1" i="3"/>
  <c r="P6" i="3"/>
  <c r="S2" i="3"/>
  <c r="J15" i="3"/>
  <c r="Y13" i="3"/>
  <c r="A2" i="3"/>
  <c r="D11" i="3"/>
  <c r="P12" i="3"/>
  <c r="Y16" i="3"/>
  <c r="S8" i="3"/>
  <c r="AB4" i="3"/>
  <c r="D18" i="3"/>
  <c r="Y4" i="3"/>
  <c r="S6" i="3"/>
  <c r="M10" i="3"/>
  <c r="S10" i="3"/>
  <c r="G6" i="3"/>
  <c r="AB2" i="3"/>
  <c r="D9" i="3"/>
  <c r="P9" i="3"/>
  <c r="AE5" i="3"/>
  <c r="S12" i="3"/>
  <c r="P11" i="3"/>
  <c r="Y6" i="3"/>
  <c r="J5" i="3"/>
  <c r="AK1" i="3"/>
  <c r="A26" i="3"/>
  <c r="Y15" i="3"/>
  <c r="Y14" i="3"/>
  <c r="AB10" i="3"/>
  <c r="M8" i="3"/>
  <c r="J9" i="3"/>
  <c r="J17" i="3"/>
  <c r="D14" i="3"/>
  <c r="Y2" i="3"/>
  <c r="Y8" i="3"/>
  <c r="M2" i="3"/>
  <c r="D4" i="3"/>
  <c r="AE2" i="3"/>
  <c r="V2" i="3"/>
  <c r="V8" i="3"/>
  <c r="AE6" i="3"/>
  <c r="P8" i="3"/>
  <c r="S16" i="3"/>
  <c r="M3" i="3"/>
  <c r="J8" i="3"/>
  <c r="J18" i="3"/>
  <c r="G2" i="3"/>
  <c r="G9" i="3"/>
  <c r="V16" i="3"/>
  <c r="D6" i="3"/>
  <c r="P5" i="3"/>
  <c r="A17" i="3"/>
  <c r="D7" i="3"/>
  <c r="V18" i="3"/>
  <c r="A20" i="3"/>
  <c r="G4" i="3"/>
  <c r="J12" i="3"/>
  <c r="A21" i="3"/>
  <c r="J11" i="3"/>
  <c r="J2" i="3"/>
  <c r="G10" i="3"/>
  <c r="V13" i="3"/>
  <c r="J10" i="3"/>
  <c r="D13" i="3"/>
  <c r="J3" i="3"/>
  <c r="AO1" i="3"/>
  <c r="V14" i="3"/>
  <c r="Y10" i="3"/>
  <c r="AB12" i="3"/>
  <c r="A27" i="3"/>
  <c r="Y11" i="3"/>
  <c r="M6" i="3"/>
  <c r="A8" i="3"/>
  <c r="V3" i="3"/>
  <c r="S5" i="3"/>
  <c r="A23" i="3"/>
  <c r="V19" i="3"/>
  <c r="A25" i="3"/>
  <c r="A15" i="3"/>
  <c r="P10" i="3"/>
  <c r="A7" i="3"/>
  <c r="AE4" i="3"/>
  <c r="J14" i="3"/>
  <c r="V17" i="3"/>
  <c r="V9" i="3"/>
  <c r="A6" i="3"/>
  <c r="V7" i="3"/>
  <c r="A3" i="3"/>
  <c r="Y12" i="3"/>
  <c r="M5" i="3"/>
  <c r="G14" i="3"/>
  <c r="A22" i="3"/>
  <c r="A19" i="3"/>
  <c r="D10" i="3"/>
  <c r="AB11" i="3"/>
  <c r="J4" i="3"/>
  <c r="AB6" i="3"/>
  <c r="D12" i="3"/>
  <c r="AE3" i="3"/>
  <c r="AM1" i="3"/>
  <c r="V5" i="3"/>
  <c r="A5" i="3"/>
  <c r="G15" i="3"/>
  <c r="S3" i="3"/>
  <c r="S17" i="3"/>
  <c r="A24" i="3"/>
  <c r="G12" i="3"/>
  <c r="A10" i="3"/>
  <c r="AB7" i="3"/>
  <c r="M4" i="3"/>
  <c r="G11" i="3"/>
  <c r="V15" i="3"/>
  <c r="D3" i="3"/>
  <c r="A14" i="3"/>
  <c r="S9" i="3"/>
  <c r="AP1" i="3"/>
  <c r="Y3" i="3"/>
  <c r="G8" i="3"/>
  <c r="V20" i="3"/>
  <c r="V4" i="3"/>
  <c r="D8" i="3"/>
  <c r="D17" i="3"/>
  <c r="M9" i="3"/>
  <c r="J7" i="3"/>
  <c r="A9" i="3"/>
  <c r="D19" i="3"/>
  <c r="S15" i="3"/>
  <c r="J6" i="3"/>
  <c r="A12" i="3"/>
  <c r="G7" i="3"/>
  <c r="S10" i="2" l="1"/>
  <c r="S16" i="2"/>
  <c r="S37" i="2"/>
  <c r="S59" i="2"/>
  <c r="S73" i="2"/>
  <c r="S99" i="2"/>
  <c r="S133" i="2"/>
  <c r="S166" i="2"/>
  <c r="S13" i="2"/>
  <c r="S34" i="2"/>
  <c r="S40" i="2"/>
  <c r="S63" i="2"/>
  <c r="S95" i="2"/>
  <c r="S109" i="2"/>
  <c r="S142" i="2"/>
  <c r="S171" i="2"/>
  <c r="S11" i="2"/>
  <c r="S28" i="2"/>
  <c r="S38" i="2"/>
  <c r="S61" i="2"/>
  <c r="S94" i="2"/>
  <c r="S106" i="2"/>
  <c r="S135" i="2"/>
  <c r="S169" i="2"/>
  <c r="S4" i="2"/>
  <c r="S14" i="2"/>
  <c r="S35" i="2"/>
  <c r="S58" i="2"/>
  <c r="S70" i="2"/>
  <c r="S97" i="2"/>
  <c r="S130" i="2"/>
  <c r="S145" i="2"/>
  <c r="G21" i="2"/>
  <c r="K2" i="2"/>
  <c r="H6" i="2"/>
  <c r="D10" i="2"/>
  <c r="P13" i="2"/>
  <c r="M17" i="2"/>
  <c r="I21" i="2"/>
  <c r="D25" i="2"/>
  <c r="A29" i="2"/>
  <c r="N32" i="2"/>
  <c r="I36" i="2"/>
  <c r="G41" i="2"/>
  <c r="E46" i="2"/>
  <c r="C51" i="2"/>
  <c r="D57" i="2"/>
  <c r="L65" i="2"/>
  <c r="O75" i="2"/>
  <c r="K86" i="2"/>
  <c r="G101" i="2"/>
  <c r="Q121" i="2"/>
  <c r="A198" i="2"/>
  <c r="O13" i="2"/>
  <c r="D86" i="2"/>
  <c r="Q2" i="2"/>
  <c r="M6" i="2"/>
  <c r="H10" i="2"/>
  <c r="E14" i="2"/>
  <c r="A18" i="2"/>
  <c r="M21" i="2"/>
  <c r="J25" i="2"/>
  <c r="F29" i="2"/>
  <c r="A33" i="2"/>
  <c r="A37" i="2"/>
  <c r="N41" i="2"/>
  <c r="L46" i="2"/>
  <c r="J51" i="2"/>
  <c r="Q57" i="2"/>
  <c r="L66" i="2"/>
  <c r="L76" i="2"/>
  <c r="I87" i="2"/>
  <c r="I101" i="2"/>
  <c r="D127" i="2"/>
  <c r="A212" i="2"/>
  <c r="Q28" i="2"/>
  <c r="J3" i="2"/>
  <c r="E7" i="2"/>
  <c r="A11" i="2"/>
  <c r="O14" i="2"/>
  <c r="J18" i="2"/>
  <c r="F22" i="2"/>
  <c r="C26" i="2"/>
  <c r="O29" i="2"/>
  <c r="K33" i="2"/>
  <c r="M37" i="2"/>
  <c r="I42" i="2"/>
  <c r="G47" i="2"/>
  <c r="E52" i="2"/>
  <c r="A59" i="2"/>
  <c r="C68" i="2"/>
  <c r="F78" i="2"/>
  <c r="F89" i="2"/>
  <c r="N104" i="2"/>
  <c r="F127" i="2"/>
  <c r="I226" i="2"/>
  <c r="K3" i="2"/>
  <c r="G7" i="2"/>
  <c r="B11" i="2"/>
  <c r="P14" i="2"/>
  <c r="L18" i="2"/>
  <c r="G22" i="2"/>
  <c r="D26" i="2"/>
  <c r="Q29" i="2"/>
  <c r="L33" i="2"/>
  <c r="N37" i="2"/>
  <c r="L42" i="2"/>
  <c r="H47" i="2"/>
  <c r="F52" i="2"/>
  <c r="F59" i="2"/>
  <c r="D68" i="2"/>
  <c r="G78" i="2"/>
  <c r="H89" i="2"/>
  <c r="O104" i="2"/>
  <c r="F135" i="2"/>
  <c r="J249" i="2"/>
  <c r="B10" i="2"/>
  <c r="P3" i="2"/>
  <c r="K7" i="2"/>
  <c r="H11" i="2"/>
  <c r="D15" i="2"/>
  <c r="P18" i="2"/>
  <c r="M22" i="2"/>
  <c r="I26" i="2"/>
  <c r="D30" i="2"/>
  <c r="A34" i="2"/>
  <c r="D38" i="2"/>
  <c r="B43" i="2"/>
  <c r="N47" i="2"/>
  <c r="L52" i="2"/>
  <c r="O59" i="2"/>
  <c r="D69" i="2"/>
  <c r="G79" i="2"/>
  <c r="H90" i="2"/>
  <c r="P107" i="2"/>
  <c r="L136" i="2"/>
  <c r="K281" i="2"/>
  <c r="M1" i="2"/>
  <c r="H5" i="2"/>
  <c r="A13" i="2"/>
  <c r="M16" i="2"/>
  <c r="F24" i="2"/>
  <c r="O31" i="2"/>
  <c r="E40" i="2"/>
  <c r="J2" i="2"/>
  <c r="G6" i="2"/>
  <c r="L17" i="2"/>
  <c r="C25" i="2"/>
  <c r="L32" i="2"/>
  <c r="H36" i="2"/>
  <c r="F41" i="2"/>
  <c r="D46" i="2"/>
  <c r="Q50" i="2"/>
  <c r="C57" i="2"/>
  <c r="K65" i="2"/>
  <c r="K75" i="2"/>
  <c r="H98" i="2"/>
  <c r="C120" i="2"/>
  <c r="Q185" i="2"/>
  <c r="H4" i="2"/>
  <c r="D8" i="2"/>
  <c r="A12" i="2"/>
  <c r="M15" i="2"/>
  <c r="I19" i="2"/>
  <c r="F23" i="2"/>
  <c r="A27" i="2"/>
  <c r="N30" i="2"/>
  <c r="K34" i="2"/>
  <c r="P38" i="2"/>
  <c r="N43" i="2"/>
  <c r="I48" i="2"/>
  <c r="G53" i="2"/>
  <c r="B61" i="2"/>
  <c r="J70" i="2"/>
  <c r="O80" i="2"/>
  <c r="B92" i="2"/>
  <c r="F108" i="2"/>
  <c r="I145" i="2"/>
  <c r="J4" i="2"/>
  <c r="E8" i="2"/>
  <c r="B12" i="2"/>
  <c r="O15" i="2"/>
  <c r="J19" i="2"/>
  <c r="G23" i="2"/>
  <c r="C27" i="2"/>
  <c r="O30" i="2"/>
  <c r="L34" i="2"/>
  <c r="Q38" i="2"/>
  <c r="O43" i="2"/>
  <c r="M48" i="2"/>
  <c r="H53" i="2"/>
  <c r="G61" i="2"/>
  <c r="P70" i="2"/>
  <c r="P80" i="2"/>
  <c r="I92" i="2"/>
  <c r="F111" i="2"/>
  <c r="D147" i="2"/>
  <c r="P19" i="2"/>
  <c r="K71" i="2"/>
  <c r="B1" i="2"/>
  <c r="N4" i="2"/>
  <c r="K8" i="2"/>
  <c r="G12" i="2"/>
  <c r="B16" i="2"/>
  <c r="L23" i="2"/>
  <c r="G27" i="2"/>
  <c r="D31" i="2"/>
  <c r="Q34" i="2"/>
  <c r="F39" i="2"/>
  <c r="D44" i="2"/>
  <c r="B49" i="2"/>
  <c r="A54" i="2"/>
  <c r="P61" i="2"/>
  <c r="P81" i="2"/>
  <c r="G93" i="2"/>
  <c r="M111" i="2"/>
  <c r="K157" i="2"/>
  <c r="K1" i="2"/>
  <c r="G5" i="2"/>
  <c r="D9" i="2"/>
  <c r="P12" i="2"/>
  <c r="L16" i="2"/>
  <c r="I20" i="2"/>
  <c r="D24" i="2"/>
  <c r="Q27" i="2"/>
  <c r="N31" i="2"/>
  <c r="I35" i="2"/>
  <c r="A40" i="2"/>
  <c r="P44" i="2"/>
  <c r="N49" i="2"/>
  <c r="B55" i="2"/>
  <c r="C63" i="2"/>
  <c r="B73" i="2"/>
  <c r="E83" i="2"/>
  <c r="B95" i="2"/>
  <c r="E115" i="2"/>
  <c r="I158" i="2"/>
  <c r="E9" i="2"/>
  <c r="J20" i="2"/>
  <c r="A28" i="2"/>
  <c r="K35" i="2"/>
  <c r="Q44" i="2"/>
  <c r="O49" i="2"/>
  <c r="C55" i="2"/>
  <c r="E63" i="2"/>
  <c r="H73" i="2"/>
  <c r="K83" i="2"/>
  <c r="K95" i="2"/>
  <c r="J115" i="2"/>
  <c r="M171" i="2"/>
  <c r="Q1" i="2"/>
  <c r="N5" i="2"/>
  <c r="J9" i="2"/>
  <c r="E13" i="2"/>
  <c r="B17" i="2"/>
  <c r="O20" i="2"/>
  <c r="J24" i="2"/>
  <c r="G28" i="2"/>
  <c r="C32" i="2"/>
  <c r="O35" i="2"/>
  <c r="K40" i="2"/>
  <c r="I45" i="2"/>
  <c r="E50" i="2"/>
  <c r="P55" i="2"/>
  <c r="Q63" i="2"/>
  <c r="C74" i="2"/>
  <c r="G84" i="2"/>
  <c r="C98" i="2"/>
  <c r="Q119" i="2"/>
  <c r="K185" i="2"/>
  <c r="Q6" i="3"/>
  <c r="K2" i="3"/>
  <c r="AC2" i="3"/>
  <c r="N4" i="3"/>
  <c r="AF4" i="3"/>
  <c r="B25" i="3"/>
  <c r="K14" i="3"/>
  <c r="H16" i="3"/>
  <c r="E2" i="3"/>
  <c r="W2" i="3"/>
  <c r="H4" i="3"/>
  <c r="Z4" i="3"/>
  <c r="K6" i="3"/>
  <c r="AC6" i="3"/>
  <c r="Z11" i="3"/>
  <c r="K12" i="3"/>
  <c r="E14" i="3"/>
  <c r="Z14" i="3"/>
  <c r="B16" i="3"/>
  <c r="W16" i="3"/>
  <c r="H3" i="3"/>
  <c r="Z3" i="3"/>
  <c r="K5" i="3"/>
  <c r="AC5" i="3"/>
  <c r="N7" i="3"/>
  <c r="Q8" i="3"/>
  <c r="B9" i="3"/>
  <c r="T9" i="3"/>
  <c r="E10" i="3"/>
  <c r="W10" i="3"/>
  <c r="H11" i="3"/>
  <c r="T13" i="3"/>
  <c r="K17" i="3"/>
  <c r="B18" i="3"/>
  <c r="B22" i="3"/>
  <c r="H2" i="3"/>
  <c r="Z2" i="3"/>
  <c r="K4" i="3"/>
  <c r="AC4" i="3"/>
  <c r="N6" i="3"/>
  <c r="AF6" i="3"/>
  <c r="AC11" i="3"/>
  <c r="H14" i="3"/>
  <c r="E16" i="3"/>
  <c r="Z16" i="3"/>
  <c r="W19" i="3"/>
  <c r="B23" i="3"/>
  <c r="K3" i="3"/>
  <c r="AC3" i="3"/>
  <c r="N5" i="3"/>
  <c r="AF5" i="3"/>
  <c r="Q7" i="3"/>
  <c r="B8" i="3"/>
  <c r="T8" i="3"/>
  <c r="E9" i="3"/>
  <c r="W9" i="3"/>
  <c r="H10" i="3"/>
  <c r="Z10" i="3"/>
  <c r="K11" i="3"/>
  <c r="Q12" i="3"/>
  <c r="B13" i="3"/>
  <c r="W13" i="3"/>
  <c r="T15" i="3"/>
  <c r="E18" i="3"/>
  <c r="B24" i="3"/>
  <c r="N3" i="3"/>
  <c r="AF3" i="3"/>
  <c r="Q5" i="3"/>
  <c r="B7" i="3"/>
  <c r="T7" i="3"/>
  <c r="E8" i="3"/>
  <c r="W8" i="3"/>
  <c r="H9" i="3"/>
  <c r="Z9" i="3"/>
  <c r="K10" i="3"/>
  <c r="AC10" i="3"/>
  <c r="T12" i="3"/>
  <c r="E13" i="3"/>
  <c r="Z13" i="3"/>
  <c r="B15" i="3"/>
  <c r="W15" i="3"/>
  <c r="T17" i="3"/>
  <c r="B19" i="3"/>
  <c r="W20" i="3"/>
  <c r="B26" i="3"/>
  <c r="N2" i="3"/>
  <c r="AF2" i="3"/>
  <c r="Q4" i="3"/>
  <c r="B6" i="3"/>
  <c r="T6" i="3"/>
  <c r="Q11" i="3"/>
  <c r="B12" i="3"/>
  <c r="K16" i="3"/>
  <c r="K18" i="3"/>
  <c r="B27" i="3"/>
  <c r="Q3" i="3"/>
  <c r="B5" i="3"/>
  <c r="T5" i="3"/>
  <c r="E7" i="3"/>
  <c r="W7" i="3"/>
  <c r="H8" i="3"/>
  <c r="Z8" i="3"/>
  <c r="K9" i="3"/>
  <c r="AC9" i="3"/>
  <c r="N10" i="3"/>
  <c r="W12" i="3"/>
  <c r="H13" i="3"/>
  <c r="E15" i="3"/>
  <c r="Z15" i="3"/>
  <c r="B17" i="3"/>
  <c r="W17" i="3"/>
  <c r="E19" i="3"/>
  <c r="W21" i="3"/>
  <c r="B28" i="3"/>
  <c r="Q2" i="3"/>
  <c r="B4" i="3"/>
  <c r="T4" i="3"/>
  <c r="E6" i="3"/>
  <c r="W6" i="3"/>
  <c r="T11" i="3"/>
  <c r="E12" i="3"/>
  <c r="T14" i="3"/>
  <c r="B20" i="3"/>
  <c r="B3" i="3"/>
  <c r="T3" i="3"/>
  <c r="E5" i="3"/>
  <c r="W5" i="3"/>
  <c r="H7" i="3"/>
  <c r="Z7" i="3"/>
  <c r="K8" i="3"/>
  <c r="AC8" i="3"/>
  <c r="N9" i="3"/>
  <c r="Q10" i="3"/>
  <c r="B11" i="3"/>
  <c r="Z12" i="3"/>
  <c r="K13" i="3"/>
  <c r="H15" i="3"/>
  <c r="E17" i="3"/>
  <c r="B2" i="3"/>
  <c r="T2" i="3"/>
  <c r="E4" i="3"/>
  <c r="W4" i="3"/>
  <c r="H6" i="3"/>
  <c r="Z6" i="3"/>
  <c r="W11" i="3"/>
  <c r="H12" i="3"/>
  <c r="B14" i="3"/>
  <c r="W14" i="3"/>
  <c r="T16" i="3"/>
  <c r="E20" i="3"/>
  <c r="A2" i="4" a="1"/>
  <c r="E3" i="3"/>
  <c r="W3" i="3"/>
  <c r="H5" i="3"/>
  <c r="Z5" i="3"/>
  <c r="K7" i="3"/>
  <c r="AC7" i="3"/>
  <c r="N8" i="3"/>
  <c r="Q9" i="3"/>
  <c r="B10" i="3"/>
  <c r="T10" i="3"/>
  <c r="E11" i="3"/>
  <c r="AC12" i="3"/>
  <c r="K15" i="3"/>
  <c r="H17" i="3"/>
  <c r="W18" i="3"/>
  <c r="B21" i="3"/>
  <c r="I172" i="2"/>
  <c r="Q199" i="2"/>
  <c r="Q213" i="2"/>
  <c r="I227" i="2"/>
  <c r="D251" i="2"/>
  <c r="H282" i="2"/>
  <c r="N1" i="2"/>
  <c r="L3" i="2"/>
  <c r="K4" i="2"/>
  <c r="I5" i="2"/>
  <c r="I6" i="2"/>
  <c r="H7" i="2"/>
  <c r="F8" i="2"/>
  <c r="F9" i="2"/>
  <c r="E10" i="2"/>
  <c r="C11" i="2"/>
  <c r="B13" i="2"/>
  <c r="Q13" i="2"/>
  <c r="Q14" i="2"/>
  <c r="P15" i="2"/>
  <c r="N16" i="2"/>
  <c r="N17" i="2"/>
  <c r="M18" i="2"/>
  <c r="K19" i="2"/>
  <c r="K20" i="2"/>
  <c r="J21" i="2"/>
  <c r="H22" i="2"/>
  <c r="G24" i="2"/>
  <c r="E25" i="2"/>
  <c r="E26" i="2"/>
  <c r="D27" i="2"/>
  <c r="B28" i="2"/>
  <c r="B29" i="2"/>
  <c r="A30" i="2"/>
  <c r="P30" i="2"/>
  <c r="P31" i="2"/>
  <c r="O32" i="2"/>
  <c r="M33" i="2"/>
  <c r="M34" i="2"/>
  <c r="L35" i="2"/>
  <c r="M36" i="2"/>
  <c r="O37" i="2"/>
  <c r="C39" i="2"/>
  <c r="H41" i="2"/>
  <c r="M42" i="2"/>
  <c r="P43" i="2"/>
  <c r="D45" i="2"/>
  <c r="F46" i="2"/>
  <c r="K47" i="2"/>
  <c r="N48" i="2"/>
  <c r="P49" i="2"/>
  <c r="D51" i="2"/>
  <c r="G52" i="2"/>
  <c r="L53" i="2"/>
  <c r="H55" i="2"/>
  <c r="F57" i="2"/>
  <c r="G59" i="2"/>
  <c r="H61" i="2"/>
  <c r="J63" i="2"/>
  <c r="A66" i="2"/>
  <c r="H68" i="2"/>
  <c r="I73" i="2"/>
  <c r="D76" i="2"/>
  <c r="M78" i="2"/>
  <c r="C81" i="2"/>
  <c r="M83" i="2"/>
  <c r="N86" i="2"/>
  <c r="K89" i="2"/>
  <c r="J92" i="2"/>
  <c r="L95" i="2"/>
  <c r="O98" i="2"/>
  <c r="B102" i="2"/>
  <c r="H108" i="2"/>
  <c r="N111" i="2"/>
  <c r="C116" i="2"/>
  <c r="L120" i="2"/>
  <c r="O127" i="2"/>
  <c r="I147" i="2"/>
  <c r="H160" i="2"/>
  <c r="F174" i="2"/>
  <c r="M200" i="2"/>
  <c r="D214" i="2"/>
  <c r="D255" i="2"/>
  <c r="O1" i="2"/>
  <c r="O2" i="2"/>
  <c r="M3" i="2"/>
  <c r="L4" i="2"/>
  <c r="L5" i="2"/>
  <c r="J6" i="2"/>
  <c r="I7" i="2"/>
  <c r="I8" i="2"/>
  <c r="G9" i="2"/>
  <c r="F10" i="2"/>
  <c r="F11" i="2"/>
  <c r="D12" i="2"/>
  <c r="C13" i="2"/>
  <c r="C14" i="2"/>
  <c r="A15" i="2"/>
  <c r="Q15" i="2"/>
  <c r="Q16" i="2"/>
  <c r="O17" i="2"/>
  <c r="N18" i="2"/>
  <c r="N19" i="2"/>
  <c r="L20" i="2"/>
  <c r="K21" i="2"/>
  <c r="K22" i="2"/>
  <c r="I23" i="2"/>
  <c r="H24" i="2"/>
  <c r="H25" i="2"/>
  <c r="F26" i="2"/>
  <c r="E27" i="2"/>
  <c r="E28" i="2"/>
  <c r="C29" i="2"/>
  <c r="B30" i="2"/>
  <c r="B31" i="2"/>
  <c r="Q31" i="2"/>
  <c r="P32" i="2"/>
  <c r="P33" i="2"/>
  <c r="N34" i="2"/>
  <c r="M35" i="2"/>
  <c r="N36" i="2"/>
  <c r="P37" i="2"/>
  <c r="D39" i="2"/>
  <c r="G40" i="2"/>
  <c r="L41" i="2"/>
  <c r="N42" i="2"/>
  <c r="B44" i="2"/>
  <c r="E45" i="2"/>
  <c r="G46" i="2"/>
  <c r="L47" i="2"/>
  <c r="O48" i="2"/>
  <c r="C50" i="2"/>
  <c r="E51" i="2"/>
  <c r="J52" i="2"/>
  <c r="M53" i="2"/>
  <c r="I55" i="2"/>
  <c r="K57" i="2"/>
  <c r="L59" i="2"/>
  <c r="J61" i="2"/>
  <c r="K63" i="2"/>
  <c r="B66" i="2"/>
  <c r="N68" i="2"/>
  <c r="F71" i="2"/>
  <c r="M73" i="2"/>
  <c r="E76" i="2"/>
  <c r="N78" i="2"/>
  <c r="I81" i="2"/>
  <c r="B84" i="2"/>
  <c r="A87" i="2"/>
  <c r="Q89" i="2"/>
  <c r="Q92" i="2"/>
  <c r="N95" i="2"/>
  <c r="P98" i="2"/>
  <c r="C102" i="2"/>
  <c r="K105" i="2"/>
  <c r="A109" i="2"/>
  <c r="B112" i="2"/>
  <c r="E116" i="2"/>
  <c r="N120" i="2"/>
  <c r="C129" i="2"/>
  <c r="I138" i="2"/>
  <c r="B148" i="2"/>
  <c r="D161" i="2"/>
  <c r="L174" i="2"/>
  <c r="L188" i="2"/>
  <c r="J202" i="2"/>
  <c r="C215" i="2"/>
  <c r="J230" i="2"/>
  <c r="Q255" i="2"/>
  <c r="O311" i="2"/>
  <c r="C311" i="2"/>
  <c r="H310" i="2"/>
  <c r="M309" i="2"/>
  <c r="A309" i="2"/>
  <c r="F308" i="2"/>
  <c r="K307" i="2"/>
  <c r="P306" i="2"/>
  <c r="D306" i="2"/>
  <c r="I305" i="2"/>
  <c r="N304" i="2"/>
  <c r="B304" i="2"/>
  <c r="G303" i="2"/>
  <c r="L302" i="2"/>
  <c r="Q301" i="2"/>
  <c r="E301" i="2"/>
  <c r="J300" i="2"/>
  <c r="O299" i="2"/>
  <c r="C299" i="2"/>
  <c r="H298" i="2"/>
  <c r="M297" i="2"/>
  <c r="A297" i="2"/>
  <c r="F296" i="2"/>
  <c r="K295" i="2"/>
  <c r="P294" i="2"/>
  <c r="D294" i="2"/>
  <c r="I293" i="2"/>
  <c r="N292" i="2"/>
  <c r="B292" i="2"/>
  <c r="G291" i="2"/>
  <c r="L290" i="2"/>
  <c r="Q289" i="2"/>
  <c r="E289" i="2"/>
  <c r="J288" i="2"/>
  <c r="O287" i="2"/>
  <c r="C287" i="2"/>
  <c r="H286" i="2"/>
  <c r="M285" i="2"/>
  <c r="A285" i="2"/>
  <c r="F284" i="2"/>
  <c r="K283" i="2"/>
  <c r="P282" i="2"/>
  <c r="D282" i="2"/>
  <c r="I281" i="2"/>
  <c r="N280" i="2"/>
  <c r="B280" i="2"/>
  <c r="G279" i="2"/>
  <c r="L278" i="2"/>
  <c r="Q277" i="2"/>
  <c r="E277" i="2"/>
  <c r="N311" i="2"/>
  <c r="B311" i="2"/>
  <c r="G310" i="2"/>
  <c r="L309" i="2"/>
  <c r="Q308" i="2"/>
  <c r="E308" i="2"/>
  <c r="J307" i="2"/>
  <c r="O306" i="2"/>
  <c r="C306" i="2"/>
  <c r="H305" i="2"/>
  <c r="M304" i="2"/>
  <c r="A304" i="2"/>
  <c r="F303" i="2"/>
  <c r="K302" i="2"/>
  <c r="P301" i="2"/>
  <c r="D301" i="2"/>
  <c r="I300" i="2"/>
  <c r="N299" i="2"/>
  <c r="B299" i="2"/>
  <c r="G298" i="2"/>
  <c r="L297" i="2"/>
  <c r="Q296" i="2"/>
  <c r="E296" i="2"/>
  <c r="J295" i="2"/>
  <c r="O294" i="2"/>
  <c r="C294" i="2"/>
  <c r="H293" i="2"/>
  <c r="M292" i="2"/>
  <c r="A292" i="2"/>
  <c r="F291" i="2"/>
  <c r="M311" i="2"/>
  <c r="A311" i="2"/>
  <c r="F310" i="2"/>
  <c r="K309" i="2"/>
  <c r="P308" i="2"/>
  <c r="D308" i="2"/>
  <c r="I307" i="2"/>
  <c r="N306" i="2"/>
  <c r="B306" i="2"/>
  <c r="G305" i="2"/>
  <c r="L304" i="2"/>
  <c r="Q303" i="2"/>
  <c r="E303" i="2"/>
  <c r="J302" i="2"/>
  <c r="O301" i="2"/>
  <c r="C301" i="2"/>
  <c r="H300" i="2"/>
  <c r="M299" i="2"/>
  <c r="A299" i="2"/>
  <c r="F298" i="2"/>
  <c r="K297" i="2"/>
  <c r="P296" i="2"/>
  <c r="D296" i="2"/>
  <c r="I295" i="2"/>
  <c r="N294" i="2"/>
  <c r="B294" i="2"/>
  <c r="G293" i="2"/>
  <c r="L292" i="2"/>
  <c r="Q291" i="2"/>
  <c r="E291" i="2"/>
  <c r="J290" i="2"/>
  <c r="O289" i="2"/>
  <c r="C289" i="2"/>
  <c r="H288" i="2"/>
  <c r="M287" i="2"/>
  <c r="A287" i="2"/>
  <c r="F286" i="2"/>
  <c r="K285" i="2"/>
  <c r="P284" i="2"/>
  <c r="D284" i="2"/>
  <c r="I283" i="2"/>
  <c r="N282" i="2"/>
  <c r="B282" i="2"/>
  <c r="G281" i="2"/>
  <c r="L280" i="2"/>
  <c r="Q279" i="2"/>
  <c r="E279" i="2"/>
  <c r="J278" i="2"/>
  <c r="O277" i="2"/>
  <c r="L311" i="2"/>
  <c r="Q310" i="2"/>
  <c r="E310" i="2"/>
  <c r="J309" i="2"/>
  <c r="O308" i="2"/>
  <c r="C308" i="2"/>
  <c r="H307" i="2"/>
  <c r="M306" i="2"/>
  <c r="A306" i="2"/>
  <c r="F305" i="2"/>
  <c r="K304" i="2"/>
  <c r="P303" i="2"/>
  <c r="D303" i="2"/>
  <c r="I302" i="2"/>
  <c r="N301" i="2"/>
  <c r="B301" i="2"/>
  <c r="G300" i="2"/>
  <c r="L299" i="2"/>
  <c r="Q298" i="2"/>
  <c r="E298" i="2"/>
  <c r="J297" i="2"/>
  <c r="O296" i="2"/>
  <c r="C296" i="2"/>
  <c r="H295" i="2"/>
  <c r="K311" i="2"/>
  <c r="P310" i="2"/>
  <c r="D310" i="2"/>
  <c r="I309" i="2"/>
  <c r="N308" i="2"/>
  <c r="B308" i="2"/>
  <c r="G307" i="2"/>
  <c r="L306" i="2"/>
  <c r="Q305" i="2"/>
  <c r="E305" i="2"/>
  <c r="J304" i="2"/>
  <c r="O303" i="2"/>
  <c r="C303" i="2"/>
  <c r="H302" i="2"/>
  <c r="M301" i="2"/>
  <c r="A301" i="2"/>
  <c r="F300" i="2"/>
  <c r="K299" i="2"/>
  <c r="P298" i="2"/>
  <c r="D298" i="2"/>
  <c r="I297" i="2"/>
  <c r="F311" i="2"/>
  <c r="K310" i="2"/>
  <c r="P309" i="2"/>
  <c r="N310" i="2"/>
  <c r="G309" i="2"/>
  <c r="G308" i="2"/>
  <c r="B307" i="2"/>
  <c r="N305" i="2"/>
  <c r="I304" i="2"/>
  <c r="I303" i="2"/>
  <c r="D302" i="2"/>
  <c r="P300" i="2"/>
  <c r="P299" i="2"/>
  <c r="K298" i="2"/>
  <c r="F297" i="2"/>
  <c r="G296" i="2"/>
  <c r="D295" i="2"/>
  <c r="F294" i="2"/>
  <c r="E293" i="2"/>
  <c r="G292" i="2"/>
  <c r="I291" i="2"/>
  <c r="I290" i="2"/>
  <c r="L289" i="2"/>
  <c r="O288" i="2"/>
  <c r="A288" i="2"/>
  <c r="D287" i="2"/>
  <c r="E286" i="2"/>
  <c r="H285" i="2"/>
  <c r="K284" i="2"/>
  <c r="N283" i="2"/>
  <c r="Q282" i="2"/>
  <c r="A282" i="2"/>
  <c r="D281" i="2"/>
  <c r="G280" i="2"/>
  <c r="J279" i="2"/>
  <c r="M278" i="2"/>
  <c r="N277" i="2"/>
  <c r="A277" i="2"/>
  <c r="F276" i="2"/>
  <c r="K275" i="2"/>
  <c r="P274" i="2"/>
  <c r="D274" i="2"/>
  <c r="I273" i="2"/>
  <c r="N272" i="2"/>
  <c r="B272" i="2"/>
  <c r="G271" i="2"/>
  <c r="L270" i="2"/>
  <c r="Q269" i="2"/>
  <c r="E269" i="2"/>
  <c r="J268" i="2"/>
  <c r="O267" i="2"/>
  <c r="C267" i="2"/>
  <c r="H266" i="2"/>
  <c r="M265" i="2"/>
  <c r="A265" i="2"/>
  <c r="F264" i="2"/>
  <c r="K263" i="2"/>
  <c r="P262" i="2"/>
  <c r="D262" i="2"/>
  <c r="I261" i="2"/>
  <c r="N260" i="2"/>
  <c r="B260" i="2"/>
  <c r="G259" i="2"/>
  <c r="L258" i="2"/>
  <c r="Q257" i="2"/>
  <c r="E257" i="2"/>
  <c r="J256" i="2"/>
  <c r="O255" i="2"/>
  <c r="C255" i="2"/>
  <c r="H254" i="2"/>
  <c r="M253" i="2"/>
  <c r="A253" i="2"/>
  <c r="F252" i="2"/>
  <c r="K251" i="2"/>
  <c r="P250" i="2"/>
  <c r="D250" i="2"/>
  <c r="M310" i="2"/>
  <c r="F309" i="2"/>
  <c r="A308" i="2"/>
  <c r="A307" i="2"/>
  <c r="M305" i="2"/>
  <c r="H304" i="2"/>
  <c r="H303" i="2"/>
  <c r="C302" i="2"/>
  <c r="O300" i="2"/>
  <c r="J299" i="2"/>
  <c r="J298" i="2"/>
  <c r="E297" i="2"/>
  <c r="B296" i="2"/>
  <c r="C295" i="2"/>
  <c r="E294" i="2"/>
  <c r="D293" i="2"/>
  <c r="F292" i="2"/>
  <c r="H291" i="2"/>
  <c r="H290" i="2"/>
  <c r="K289" i="2"/>
  <c r="N288" i="2"/>
  <c r="Q287" i="2"/>
  <c r="B287" i="2"/>
  <c r="D286" i="2"/>
  <c r="G285" i="2"/>
  <c r="J284" i="2"/>
  <c r="M283" i="2"/>
  <c r="O282" i="2"/>
  <c r="Q281" i="2"/>
  <c r="C281" i="2"/>
  <c r="F280" i="2"/>
  <c r="I279" i="2"/>
  <c r="K278" i="2"/>
  <c r="M277" i="2"/>
  <c r="Q276" i="2"/>
  <c r="E276" i="2"/>
  <c r="J275" i="2"/>
  <c r="O274" i="2"/>
  <c r="C274" i="2"/>
  <c r="H273" i="2"/>
  <c r="M272" i="2"/>
  <c r="A272" i="2"/>
  <c r="F271" i="2"/>
  <c r="Q311" i="2"/>
  <c r="J310" i="2"/>
  <c r="D309" i="2"/>
  <c r="P307" i="2"/>
  <c r="K306" i="2"/>
  <c r="K305" i="2"/>
  <c r="F304" i="2"/>
  <c r="A303" i="2"/>
  <c r="A302" i="2"/>
  <c r="M300" i="2"/>
  <c r="H299" i="2"/>
  <c r="C298" i="2"/>
  <c r="C297" i="2"/>
  <c r="Q295" i="2"/>
  <c r="A295" i="2"/>
  <c r="Q293" i="2"/>
  <c r="B293" i="2"/>
  <c r="D292" i="2"/>
  <c r="C291" i="2"/>
  <c r="P311" i="2"/>
  <c r="I310" i="2"/>
  <c r="C309" i="2"/>
  <c r="O307" i="2"/>
  <c r="J306" i="2"/>
  <c r="J305" i="2"/>
  <c r="E304" i="2"/>
  <c r="Q302" i="2"/>
  <c r="L301" i="2"/>
  <c r="L300" i="2"/>
  <c r="G299" i="2"/>
  <c r="B298" i="2"/>
  <c r="B297" i="2"/>
  <c r="P295" i="2"/>
  <c r="Q294" i="2"/>
  <c r="P293" i="2"/>
  <c r="A293" i="2"/>
  <c r="C292" i="2"/>
  <c r="B291" i="2"/>
  <c r="I311" i="2"/>
  <c r="B310" i="2"/>
  <c r="M308" i="2"/>
  <c r="M307" i="2"/>
  <c r="H306" i="2"/>
  <c r="C305" i="2"/>
  <c r="C304" i="2"/>
  <c r="O302" i="2"/>
  <c r="J301" i="2"/>
  <c r="E300" i="2"/>
  <c r="E299" i="2"/>
  <c r="Q297" i="2"/>
  <c r="M296" i="2"/>
  <c r="N295" i="2"/>
  <c r="L294" i="2"/>
  <c r="Q309" i="2"/>
  <c r="N307" i="2"/>
  <c r="O305" i="2"/>
  <c r="L303" i="2"/>
  <c r="I301" i="2"/>
  <c r="I299" i="2"/>
  <c r="H297" i="2"/>
  <c r="L295" i="2"/>
  <c r="O293" i="2"/>
  <c r="J292" i="2"/>
  <c r="A291" i="2"/>
  <c r="B290" i="2"/>
  <c r="A289" i="2"/>
  <c r="B288" i="2"/>
  <c r="P286" i="2"/>
  <c r="Q285" i="2"/>
  <c r="Q284" i="2"/>
  <c r="Q283" i="2"/>
  <c r="A283" i="2"/>
  <c r="O281" i="2"/>
  <c r="P280" i="2"/>
  <c r="O279" i="2"/>
  <c r="P278" i="2"/>
  <c r="P277" i="2"/>
  <c r="O276" i="2"/>
  <c r="A276" i="2"/>
  <c r="D275" i="2"/>
  <c r="G274" i="2"/>
  <c r="J273" i="2"/>
  <c r="K272" i="2"/>
  <c r="N271" i="2"/>
  <c r="Q270" i="2"/>
  <c r="D270" i="2"/>
  <c r="H269" i="2"/>
  <c r="L268" i="2"/>
  <c r="P267" i="2"/>
  <c r="B267" i="2"/>
  <c r="F266" i="2"/>
  <c r="J265" i="2"/>
  <c r="N264" i="2"/>
  <c r="A264" i="2"/>
  <c r="E263" i="2"/>
  <c r="I262" i="2"/>
  <c r="M261" i="2"/>
  <c r="Q260" i="2"/>
  <c r="D260" i="2"/>
  <c r="H259" i="2"/>
  <c r="K258" i="2"/>
  <c r="O257" i="2"/>
  <c r="B257" i="2"/>
  <c r="F256" i="2"/>
  <c r="J255" i="2"/>
  <c r="N254" i="2"/>
  <c r="A254" i="2"/>
  <c r="E253" i="2"/>
  <c r="I252" i="2"/>
  <c r="M251" i="2"/>
  <c r="Q250" i="2"/>
  <c r="C250" i="2"/>
  <c r="H249" i="2"/>
  <c r="M248" i="2"/>
  <c r="A248" i="2"/>
  <c r="F247" i="2"/>
  <c r="K246" i="2"/>
  <c r="P245" i="2"/>
  <c r="D245" i="2"/>
  <c r="I244" i="2"/>
  <c r="N243" i="2"/>
  <c r="B243" i="2"/>
  <c r="G242" i="2"/>
  <c r="L241" i="2"/>
  <c r="Q240" i="2"/>
  <c r="E240" i="2"/>
  <c r="J239" i="2"/>
  <c r="O238" i="2"/>
  <c r="C238" i="2"/>
  <c r="H237" i="2"/>
  <c r="M236" i="2"/>
  <c r="A236" i="2"/>
  <c r="F235" i="2"/>
  <c r="K234" i="2"/>
  <c r="P233" i="2"/>
  <c r="D233" i="2"/>
  <c r="N309" i="2"/>
  <c r="F307" i="2"/>
  <c r="D305" i="2"/>
  <c r="J303" i="2"/>
  <c r="G301" i="2"/>
  <c r="D299" i="2"/>
  <c r="D297" i="2"/>
  <c r="F295" i="2"/>
  <c r="M293" i="2"/>
  <c r="H292" i="2"/>
  <c r="P290" i="2"/>
  <c r="P289" i="2"/>
  <c r="P288" i="2"/>
  <c r="N287" i="2"/>
  <c r="N286" i="2"/>
  <c r="O285" i="2"/>
  <c r="N284" i="2"/>
  <c r="O283" i="2"/>
  <c r="L282" i="2"/>
  <c r="M281" i="2"/>
  <c r="M280" i="2"/>
  <c r="M279" i="2"/>
  <c r="N278" i="2"/>
  <c r="K277" i="2"/>
  <c r="M276" i="2"/>
  <c r="P275" i="2"/>
  <c r="B275" i="2"/>
  <c r="E274" i="2"/>
  <c r="F273" i="2"/>
  <c r="I272" i="2"/>
  <c r="L271" i="2"/>
  <c r="O270" i="2"/>
  <c r="B270" i="2"/>
  <c r="F269" i="2"/>
  <c r="I268" i="2"/>
  <c r="M267" i="2"/>
  <c r="Q266" i="2"/>
  <c r="D266" i="2"/>
  <c r="H265" i="2"/>
  <c r="L264" i="2"/>
  <c r="P263" i="2"/>
  <c r="C263" i="2"/>
  <c r="G262" i="2"/>
  <c r="K261" i="2"/>
  <c r="O260" i="2"/>
  <c r="A260" i="2"/>
  <c r="E259" i="2"/>
  <c r="I258" i="2"/>
  <c r="M257" i="2"/>
  <c r="Q256" i="2"/>
  <c r="D256" i="2"/>
  <c r="H255" i="2"/>
  <c r="L254" i="2"/>
  <c r="P253" i="2"/>
  <c r="C253" i="2"/>
  <c r="G252" i="2"/>
  <c r="J251" i="2"/>
  <c r="N250" i="2"/>
  <c r="A250" i="2"/>
  <c r="F249" i="2"/>
  <c r="K248" i="2"/>
  <c r="P247" i="2"/>
  <c r="D247" i="2"/>
  <c r="I246" i="2"/>
  <c r="N245" i="2"/>
  <c r="B245" i="2"/>
  <c r="G244" i="2"/>
  <c r="L243" i="2"/>
  <c r="Q242" i="2"/>
  <c r="E242" i="2"/>
  <c r="J241" i="2"/>
  <c r="O240" i="2"/>
  <c r="C240" i="2"/>
  <c r="H239" i="2"/>
  <c r="M238" i="2"/>
  <c r="A238" i="2"/>
  <c r="F237" i="2"/>
  <c r="K236" i="2"/>
  <c r="P235" i="2"/>
  <c r="D235" i="2"/>
  <c r="I234" i="2"/>
  <c r="N233" i="2"/>
  <c r="B233" i="2"/>
  <c r="G311" i="2"/>
  <c r="B309" i="2"/>
  <c r="C307" i="2"/>
  <c r="Q304" i="2"/>
  <c r="N302" i="2"/>
  <c r="N300" i="2"/>
  <c r="M298" i="2"/>
  <c r="K296" i="2"/>
  <c r="M294" i="2"/>
  <c r="J293" i="2"/>
  <c r="O291" i="2"/>
  <c r="M290" i="2"/>
  <c r="J289" i="2"/>
  <c r="K288" i="2"/>
  <c r="J287" i="2"/>
  <c r="K286" i="2"/>
  <c r="J285" i="2"/>
  <c r="I284" i="2"/>
  <c r="H283" i="2"/>
  <c r="I282" i="2"/>
  <c r="J281" i="2"/>
  <c r="I280" i="2"/>
  <c r="H279" i="2"/>
  <c r="G278" i="2"/>
  <c r="H277" i="2"/>
  <c r="J276" i="2"/>
  <c r="M275" i="2"/>
  <c r="N274" i="2"/>
  <c r="Q273" i="2"/>
  <c r="C273" i="2"/>
  <c r="F272" i="2"/>
  <c r="I271" i="2"/>
  <c r="K270" i="2"/>
  <c r="O269" i="2"/>
  <c r="B269" i="2"/>
  <c r="F268" i="2"/>
  <c r="J267" i="2"/>
  <c r="N266" i="2"/>
  <c r="A266" i="2"/>
  <c r="E265" i="2"/>
  <c r="I264" i="2"/>
  <c r="M263" i="2"/>
  <c r="Q262" i="2"/>
  <c r="C262" i="2"/>
  <c r="G261" i="2"/>
  <c r="K260" i="2"/>
  <c r="O259" i="2"/>
  <c r="B259" i="2"/>
  <c r="F258" i="2"/>
  <c r="J257" i="2"/>
  <c r="N256" i="2"/>
  <c r="A256" i="2"/>
  <c r="E255" i="2"/>
  <c r="I254" i="2"/>
  <c r="L253" i="2"/>
  <c r="P252" i="2"/>
  <c r="C252" i="2"/>
  <c r="G251" i="2"/>
  <c r="K250" i="2"/>
  <c r="O249" i="2"/>
  <c r="C249" i="2"/>
  <c r="H248" i="2"/>
  <c r="M247" i="2"/>
  <c r="A247" i="2"/>
  <c r="F246" i="2"/>
  <c r="K245" i="2"/>
  <c r="P244" i="2"/>
  <c r="D244" i="2"/>
  <c r="I243" i="2"/>
  <c r="N242" i="2"/>
  <c r="B242" i="2"/>
  <c r="G241" i="2"/>
  <c r="L240" i="2"/>
  <c r="Q239" i="2"/>
  <c r="E239" i="2"/>
  <c r="J238" i="2"/>
  <c r="O237" i="2"/>
  <c r="C237" i="2"/>
  <c r="H236" i="2"/>
  <c r="M235" i="2"/>
  <c r="A235" i="2"/>
  <c r="F234" i="2"/>
  <c r="K233" i="2"/>
  <c r="D311" i="2"/>
  <c r="K308" i="2"/>
  <c r="I306" i="2"/>
  <c r="O304" i="2"/>
  <c r="G302" i="2"/>
  <c r="D300" i="2"/>
  <c r="I298" i="2"/>
  <c r="I296" i="2"/>
  <c r="J294" i="2"/>
  <c r="C293" i="2"/>
  <c r="M291" i="2"/>
  <c r="G290" i="2"/>
  <c r="H289" i="2"/>
  <c r="G288" i="2"/>
  <c r="H287" i="2"/>
  <c r="I286" i="2"/>
  <c r="F285" i="2"/>
  <c r="G284" i="2"/>
  <c r="F283" i="2"/>
  <c r="G282" i="2"/>
  <c r="F281" i="2"/>
  <c r="E280" i="2"/>
  <c r="D279" i="2"/>
  <c r="E278" i="2"/>
  <c r="F277" i="2"/>
  <c r="H276" i="2"/>
  <c r="I275" i="2"/>
  <c r="L274" i="2"/>
  <c r="O273" i="2"/>
  <c r="A273" i="2"/>
  <c r="D272" i="2"/>
  <c r="E271" i="2"/>
  <c r="I270" i="2"/>
  <c r="M269" i="2"/>
  <c r="Q268" i="2"/>
  <c r="D268" i="2"/>
  <c r="H267" i="2"/>
  <c r="L266" i="2"/>
  <c r="P265" i="2"/>
  <c r="C265" i="2"/>
  <c r="G264" i="2"/>
  <c r="J263" i="2"/>
  <c r="N262" i="2"/>
  <c r="A262" i="2"/>
  <c r="E261" i="2"/>
  <c r="I260" i="2"/>
  <c r="M259" i="2"/>
  <c r="Q258" i="2"/>
  <c r="D258" i="2"/>
  <c r="H257" i="2"/>
  <c r="L256" i="2"/>
  <c r="P255" i="2"/>
  <c r="B255" i="2"/>
  <c r="F254" i="2"/>
  <c r="J253" i="2"/>
  <c r="N252" i="2"/>
  <c r="A252" i="2"/>
  <c r="E251" i="2"/>
  <c r="I250" i="2"/>
  <c r="M249" i="2"/>
  <c r="A249" i="2"/>
  <c r="F248" i="2"/>
  <c r="K247" i="2"/>
  <c r="P246" i="2"/>
  <c r="D246" i="2"/>
  <c r="I245" i="2"/>
  <c r="N244" i="2"/>
  <c r="B244" i="2"/>
  <c r="G243" i="2"/>
  <c r="L242" i="2"/>
  <c r="Q241" i="2"/>
  <c r="E241" i="2"/>
  <c r="J240" i="2"/>
  <c r="O239" i="2"/>
  <c r="C239" i="2"/>
  <c r="H238" i="2"/>
  <c r="M237" i="2"/>
  <c r="A237" i="2"/>
  <c r="F236" i="2"/>
  <c r="K235" i="2"/>
  <c r="P234" i="2"/>
  <c r="D234" i="2"/>
  <c r="I233" i="2"/>
  <c r="A310" i="2"/>
  <c r="Q306" i="2"/>
  <c r="M303" i="2"/>
  <c r="K300" i="2"/>
  <c r="N297" i="2"/>
  <c r="K294" i="2"/>
  <c r="K292" i="2"/>
  <c r="K290" i="2"/>
  <c r="B289" i="2"/>
  <c r="I287" i="2"/>
  <c r="A286" i="2"/>
  <c r="H284" i="2"/>
  <c r="B283" i="2"/>
  <c r="H281" i="2"/>
  <c r="P279" i="2"/>
  <c r="F278" i="2"/>
  <c r="P276" i="2"/>
  <c r="L275" i="2"/>
  <c r="H274" i="2"/>
  <c r="B273" i="2"/>
  <c r="O271" i="2"/>
  <c r="J270" i="2"/>
  <c r="I269" i="2"/>
  <c r="E268" i="2"/>
  <c r="D267" i="2"/>
  <c r="Q265" i="2"/>
  <c r="O264" i="2"/>
  <c r="L263" i="2"/>
  <c r="J262" i="2"/>
  <c r="F261" i="2"/>
  <c r="E260" i="2"/>
  <c r="A259" i="2"/>
  <c r="P257" i="2"/>
  <c r="M256" i="2"/>
  <c r="K255" i="2"/>
  <c r="G254" i="2"/>
  <c r="F253" i="2"/>
  <c r="B252" i="2"/>
  <c r="A251" i="2"/>
  <c r="N249" i="2"/>
  <c r="N248" i="2"/>
  <c r="L247" i="2"/>
  <c r="L246" i="2"/>
  <c r="J245" i="2"/>
  <c r="J244" i="2"/>
  <c r="H243" i="2"/>
  <c r="H242" i="2"/>
  <c r="F241" i="2"/>
  <c r="F240" i="2"/>
  <c r="D239" i="2"/>
  <c r="D238" i="2"/>
  <c r="B237" i="2"/>
  <c r="B236" i="2"/>
  <c r="Q234" i="2"/>
  <c r="Q233" i="2"/>
  <c r="P232" i="2"/>
  <c r="D232" i="2"/>
  <c r="I231" i="2"/>
  <c r="N230" i="2"/>
  <c r="B230" i="2"/>
  <c r="G229" i="2"/>
  <c r="L228" i="2"/>
  <c r="Q227" i="2"/>
  <c r="E227" i="2"/>
  <c r="J226" i="2"/>
  <c r="O225" i="2"/>
  <c r="C225" i="2"/>
  <c r="H224" i="2"/>
  <c r="M223" i="2"/>
  <c r="A223" i="2"/>
  <c r="F222" i="2"/>
  <c r="K221" i="2"/>
  <c r="P220" i="2"/>
  <c r="D220" i="2"/>
  <c r="I219" i="2"/>
  <c r="N218" i="2"/>
  <c r="B218" i="2"/>
  <c r="G217" i="2"/>
  <c r="L216" i="2"/>
  <c r="Q215" i="2"/>
  <c r="E215" i="2"/>
  <c r="J214" i="2"/>
  <c r="O213" i="2"/>
  <c r="C213" i="2"/>
  <c r="H309" i="2"/>
  <c r="F306" i="2"/>
  <c r="B303" i="2"/>
  <c r="B300" i="2"/>
  <c r="N296" i="2"/>
  <c r="H294" i="2"/>
  <c r="E292" i="2"/>
  <c r="E290" i="2"/>
  <c r="M288" i="2"/>
  <c r="F287" i="2"/>
  <c r="N285" i="2"/>
  <c r="C284" i="2"/>
  <c r="K282" i="2"/>
  <c r="B281" i="2"/>
  <c r="L279" i="2"/>
  <c r="C278" i="2"/>
  <c r="L276" i="2"/>
  <c r="G275" i="2"/>
  <c r="B274" i="2"/>
  <c r="P272" i="2"/>
  <c r="K271" i="2"/>
  <c r="G270" i="2"/>
  <c r="D269" i="2"/>
  <c r="B268" i="2"/>
  <c r="P266" i="2"/>
  <c r="N265" i="2"/>
  <c r="K264" i="2"/>
  <c r="H263" i="2"/>
  <c r="F262" i="2"/>
  <c r="C261" i="2"/>
  <c r="Q259" i="2"/>
  <c r="O258" i="2"/>
  <c r="L257" i="2"/>
  <c r="I256" i="2"/>
  <c r="G255" i="2"/>
  <c r="D254" i="2"/>
  <c r="B253" i="2"/>
  <c r="P251" i="2"/>
  <c r="M250" i="2"/>
  <c r="K249" i="2"/>
  <c r="J248" i="2"/>
  <c r="I247" i="2"/>
  <c r="H246" i="2"/>
  <c r="G245" i="2"/>
  <c r="F244" i="2"/>
  <c r="E243" i="2"/>
  <c r="D242" i="2"/>
  <c r="C241" i="2"/>
  <c r="B240" i="2"/>
  <c r="A239" i="2"/>
  <c r="Q237" i="2"/>
  <c r="P236" i="2"/>
  <c r="O235" i="2"/>
  <c r="N234" i="2"/>
  <c r="M233" i="2"/>
  <c r="N232" i="2"/>
  <c r="B232" i="2"/>
  <c r="G231" i="2"/>
  <c r="L230" i="2"/>
  <c r="Q229" i="2"/>
  <c r="E229" i="2"/>
  <c r="H311" i="2"/>
  <c r="H308" i="2"/>
  <c r="A305" i="2"/>
  <c r="B302" i="2"/>
  <c r="N298" i="2"/>
  <c r="O295" i="2"/>
  <c r="K293" i="2"/>
  <c r="J291" i="2"/>
  <c r="M289" i="2"/>
  <c r="D288" i="2"/>
  <c r="L286" i="2"/>
  <c r="C285" i="2"/>
  <c r="J283" i="2"/>
  <c r="C282" i="2"/>
  <c r="J280" i="2"/>
  <c r="A279" i="2"/>
  <c r="I277" i="2"/>
  <c r="C276" i="2"/>
  <c r="Q274" i="2"/>
  <c r="L273" i="2"/>
  <c r="G272" i="2"/>
  <c r="B271" i="2"/>
  <c r="P269" i="2"/>
  <c r="N268" i="2"/>
  <c r="K267" i="2"/>
  <c r="I266" i="2"/>
  <c r="F265" i="2"/>
  <c r="C264" i="2"/>
  <c r="A263" i="2"/>
  <c r="O261" i="2"/>
  <c r="L260" i="2"/>
  <c r="J259" i="2"/>
  <c r="G258" i="2"/>
  <c r="D257" i="2"/>
  <c r="B256" i="2"/>
  <c r="P254" i="2"/>
  <c r="N253" i="2"/>
  <c r="K252" i="2"/>
  <c r="H251" i="2"/>
  <c r="F250" i="2"/>
  <c r="D249" i="2"/>
  <c r="C248" i="2"/>
  <c r="B247" i="2"/>
  <c r="A246" i="2"/>
  <c r="Q244" i="2"/>
  <c r="P243" i="2"/>
  <c r="O242" i="2"/>
  <c r="N241" i="2"/>
  <c r="M240" i="2"/>
  <c r="L239" i="2"/>
  <c r="K238" i="2"/>
  <c r="J237" i="2"/>
  <c r="Q307" i="2"/>
  <c r="N303" i="2"/>
  <c r="Q299" i="2"/>
  <c r="M295" i="2"/>
  <c r="O292" i="2"/>
  <c r="C290" i="2"/>
  <c r="C288" i="2"/>
  <c r="B286" i="2"/>
  <c r="A284" i="2"/>
  <c r="P281" i="2"/>
  <c r="A280" i="2"/>
  <c r="A278" i="2"/>
  <c r="B276" i="2"/>
  <c r="I274" i="2"/>
  <c r="L272" i="2"/>
  <c r="A271" i="2"/>
  <c r="J269" i="2"/>
  <c r="Q267" i="2"/>
  <c r="G266" i="2"/>
  <c r="P264" i="2"/>
  <c r="F263" i="2"/>
  <c r="N261" i="2"/>
  <c r="F260" i="2"/>
  <c r="M258" i="2"/>
  <c r="C257" i="2"/>
  <c r="L255" i="2"/>
  <c r="B254" i="2"/>
  <c r="J252" i="2"/>
  <c r="B251" i="2"/>
  <c r="I249" i="2"/>
  <c r="B248" i="2"/>
  <c r="M246" i="2"/>
  <c r="E245" i="2"/>
  <c r="O243" i="2"/>
  <c r="I242" i="2"/>
  <c r="A241" i="2"/>
  <c r="K239" i="2"/>
  <c r="E238" i="2"/>
  <c r="N236" i="2"/>
  <c r="I235" i="2"/>
  <c r="E234" i="2"/>
  <c r="A233" i="2"/>
  <c r="C232" i="2"/>
  <c r="E231" i="2"/>
  <c r="H230" i="2"/>
  <c r="K229" i="2"/>
  <c r="N228" i="2"/>
  <c r="A228" i="2"/>
  <c r="D227" i="2"/>
  <c r="H226" i="2"/>
  <c r="L225" i="2"/>
  <c r="P224" i="2"/>
  <c r="C224" i="2"/>
  <c r="G223" i="2"/>
  <c r="K222" i="2"/>
  <c r="O221" i="2"/>
  <c r="B221" i="2"/>
  <c r="F220" i="2"/>
  <c r="J219" i="2"/>
  <c r="M218" i="2"/>
  <c r="Q217" i="2"/>
  <c r="D217" i="2"/>
  <c r="H216" i="2"/>
  <c r="L215" i="2"/>
  <c r="P214" i="2"/>
  <c r="C214" i="2"/>
  <c r="G213" i="2"/>
  <c r="K212" i="2"/>
  <c r="P211" i="2"/>
  <c r="D211" i="2"/>
  <c r="I210" i="2"/>
  <c r="N209" i="2"/>
  <c r="B209" i="2"/>
  <c r="G208" i="2"/>
  <c r="L207" i="2"/>
  <c r="Q206" i="2"/>
  <c r="E206" i="2"/>
  <c r="J205" i="2"/>
  <c r="O204" i="2"/>
  <c r="C204" i="2"/>
  <c r="H203" i="2"/>
  <c r="M202" i="2"/>
  <c r="A202" i="2"/>
  <c r="F201" i="2"/>
  <c r="K200" i="2"/>
  <c r="P199" i="2"/>
  <c r="D199" i="2"/>
  <c r="I198" i="2"/>
  <c r="N197" i="2"/>
  <c r="B197" i="2"/>
  <c r="G196" i="2"/>
  <c r="L195" i="2"/>
  <c r="Q194" i="2"/>
  <c r="E194" i="2"/>
  <c r="J193" i="2"/>
  <c r="O192" i="2"/>
  <c r="C192" i="2"/>
  <c r="H191" i="2"/>
  <c r="M190" i="2"/>
  <c r="A190" i="2"/>
  <c r="F189" i="2"/>
  <c r="K188" i="2"/>
  <c r="P187" i="2"/>
  <c r="D187" i="2"/>
  <c r="I186" i="2"/>
  <c r="N185" i="2"/>
  <c r="B185" i="2"/>
  <c r="G184" i="2"/>
  <c r="L183" i="2"/>
  <c r="Q182" i="2"/>
  <c r="E182" i="2"/>
  <c r="J181" i="2"/>
  <c r="O180" i="2"/>
  <c r="C180" i="2"/>
  <c r="H179" i="2"/>
  <c r="M178" i="2"/>
  <c r="A178" i="2"/>
  <c r="F177" i="2"/>
  <c r="K176" i="2"/>
  <c r="P175" i="2"/>
  <c r="D175" i="2"/>
  <c r="I174" i="2"/>
  <c r="N173" i="2"/>
  <c r="B173" i="2"/>
  <c r="G172" i="2"/>
  <c r="L171" i="2"/>
  <c r="Q170" i="2"/>
  <c r="E170" i="2"/>
  <c r="J169" i="2"/>
  <c r="O168" i="2"/>
  <c r="C168" i="2"/>
  <c r="H167" i="2"/>
  <c r="M166" i="2"/>
  <c r="A166" i="2"/>
  <c r="F165" i="2"/>
  <c r="K164" i="2"/>
  <c r="P163" i="2"/>
  <c r="D163" i="2"/>
  <c r="I162" i="2"/>
  <c r="N161" i="2"/>
  <c r="B161" i="2"/>
  <c r="G160" i="2"/>
  <c r="L159" i="2"/>
  <c r="Q158" i="2"/>
  <c r="E158" i="2"/>
  <c r="J157" i="2"/>
  <c r="O156" i="2"/>
  <c r="C156" i="2"/>
  <c r="H155" i="2"/>
  <c r="M154" i="2"/>
  <c r="A154" i="2"/>
  <c r="F153" i="2"/>
  <c r="K152" i="2"/>
  <c r="P151" i="2"/>
  <c r="D151" i="2"/>
  <c r="I150" i="2"/>
  <c r="N149" i="2"/>
  <c r="B149" i="2"/>
  <c r="G148" i="2"/>
  <c r="L147" i="2"/>
  <c r="Q146" i="2"/>
  <c r="E146" i="2"/>
  <c r="J145" i="2"/>
  <c r="O144" i="2"/>
  <c r="C144" i="2"/>
  <c r="J311" i="2"/>
  <c r="E307" i="2"/>
  <c r="P302" i="2"/>
  <c r="O298" i="2"/>
  <c r="E295" i="2"/>
  <c r="P291" i="2"/>
  <c r="N289" i="2"/>
  <c r="L287" i="2"/>
  <c r="L285" i="2"/>
  <c r="L283" i="2"/>
  <c r="L281" i="2"/>
  <c r="K279" i="2"/>
  <c r="J277" i="2"/>
  <c r="O275" i="2"/>
  <c r="A274" i="2"/>
  <c r="H272" i="2"/>
  <c r="N270" i="2"/>
  <c r="C269" i="2"/>
  <c r="L267" i="2"/>
  <c r="C266" i="2"/>
  <c r="J264" i="2"/>
  <c r="B263" i="2"/>
  <c r="J261" i="2"/>
  <c r="P259" i="2"/>
  <c r="H258" i="2"/>
  <c r="P256" i="2"/>
  <c r="F255" i="2"/>
  <c r="O253" i="2"/>
  <c r="E252" i="2"/>
  <c r="L250" i="2"/>
  <c r="E249" i="2"/>
  <c r="O247" i="2"/>
  <c r="G246" i="2"/>
  <c r="A245" i="2"/>
  <c r="K243" i="2"/>
  <c r="C242" i="2"/>
  <c r="N240" i="2"/>
  <c r="G239" i="2"/>
  <c r="P237" i="2"/>
  <c r="J236" i="2"/>
  <c r="G235" i="2"/>
  <c r="B234" i="2"/>
  <c r="O232" i="2"/>
  <c r="Q231" i="2"/>
  <c r="C231" i="2"/>
  <c r="F230" i="2"/>
  <c r="I229" i="2"/>
  <c r="K228" i="2"/>
  <c r="O227" i="2"/>
  <c r="B227" i="2"/>
  <c r="F226" i="2"/>
  <c r="J225" i="2"/>
  <c r="N224" i="2"/>
  <c r="A224" i="2"/>
  <c r="E223" i="2"/>
  <c r="I222" i="2"/>
  <c r="M221" i="2"/>
  <c r="Q220" i="2"/>
  <c r="C220" i="2"/>
  <c r="G219" i="2"/>
  <c r="K218" i="2"/>
  <c r="O217" i="2"/>
  <c r="B217" i="2"/>
  <c r="F216" i="2"/>
  <c r="J215" i="2"/>
  <c r="N214" i="2"/>
  <c r="A214" i="2"/>
  <c r="E213" i="2"/>
  <c r="I212" i="2"/>
  <c r="N211" i="2"/>
  <c r="B211" i="2"/>
  <c r="G210" i="2"/>
  <c r="L209" i="2"/>
  <c r="Q208" i="2"/>
  <c r="E208" i="2"/>
  <c r="J207" i="2"/>
  <c r="O206" i="2"/>
  <c r="C206" i="2"/>
  <c r="H205" i="2"/>
  <c r="M204" i="2"/>
  <c r="A204" i="2"/>
  <c r="F203" i="2"/>
  <c r="K202" i="2"/>
  <c r="P201" i="2"/>
  <c r="D201" i="2"/>
  <c r="I200" i="2"/>
  <c r="N199" i="2"/>
  <c r="B199" i="2"/>
  <c r="G198" i="2"/>
  <c r="L197" i="2"/>
  <c r="Q196" i="2"/>
  <c r="E196" i="2"/>
  <c r="J195" i="2"/>
  <c r="O194" i="2"/>
  <c r="C194" i="2"/>
  <c r="H193" i="2"/>
  <c r="M192" i="2"/>
  <c r="A192" i="2"/>
  <c r="F191" i="2"/>
  <c r="K190" i="2"/>
  <c r="P189" i="2"/>
  <c r="D189" i="2"/>
  <c r="I188" i="2"/>
  <c r="N187" i="2"/>
  <c r="B187" i="2"/>
  <c r="G186" i="2"/>
  <c r="L185" i="2"/>
  <c r="Q184" i="2"/>
  <c r="E184" i="2"/>
  <c r="J183" i="2"/>
  <c r="O182" i="2"/>
  <c r="C182" i="2"/>
  <c r="H181" i="2"/>
  <c r="M180" i="2"/>
  <c r="A180" i="2"/>
  <c r="F179" i="2"/>
  <c r="K178" i="2"/>
  <c r="P177" i="2"/>
  <c r="D177" i="2"/>
  <c r="I176" i="2"/>
  <c r="N175" i="2"/>
  <c r="B175" i="2"/>
  <c r="G174" i="2"/>
  <c r="L173" i="2"/>
  <c r="Q172" i="2"/>
  <c r="E172" i="2"/>
  <c r="J171" i="2"/>
  <c r="O170" i="2"/>
  <c r="C170" i="2"/>
  <c r="H169" i="2"/>
  <c r="M168" i="2"/>
  <c r="A168" i="2"/>
  <c r="F167" i="2"/>
  <c r="K166" i="2"/>
  <c r="P165" i="2"/>
  <c r="D165" i="2"/>
  <c r="I164" i="2"/>
  <c r="N163" i="2"/>
  <c r="B163" i="2"/>
  <c r="G162" i="2"/>
  <c r="L161" i="2"/>
  <c r="Q160" i="2"/>
  <c r="E160" i="2"/>
  <c r="J159" i="2"/>
  <c r="O158" i="2"/>
  <c r="C158" i="2"/>
  <c r="H157" i="2"/>
  <c r="M156" i="2"/>
  <c r="A156" i="2"/>
  <c r="F155" i="2"/>
  <c r="K154" i="2"/>
  <c r="P153" i="2"/>
  <c r="D153" i="2"/>
  <c r="I152" i="2"/>
  <c r="N151" i="2"/>
  <c r="B151" i="2"/>
  <c r="G150" i="2"/>
  <c r="L149" i="2"/>
  <c r="Q148" i="2"/>
  <c r="E148" i="2"/>
  <c r="J147" i="2"/>
  <c r="O146" i="2"/>
  <c r="C146" i="2"/>
  <c r="H145" i="2"/>
  <c r="M144" i="2"/>
  <c r="A144" i="2"/>
  <c r="F143" i="2"/>
  <c r="K142" i="2"/>
  <c r="P141" i="2"/>
  <c r="O309" i="2"/>
  <c r="L305" i="2"/>
  <c r="H301" i="2"/>
  <c r="G297" i="2"/>
  <c r="N293" i="2"/>
  <c r="Q290" i="2"/>
  <c r="Q288" i="2"/>
  <c r="O286" i="2"/>
  <c r="O284" i="2"/>
  <c r="M282" i="2"/>
  <c r="O280" i="2"/>
  <c r="O278" i="2"/>
  <c r="N276" i="2"/>
  <c r="C275" i="2"/>
  <c r="G273" i="2"/>
  <c r="M271" i="2"/>
  <c r="C270" i="2"/>
  <c r="K268" i="2"/>
  <c r="A267" i="2"/>
  <c r="I265" i="2"/>
  <c r="Q263" i="2"/>
  <c r="H262" i="2"/>
  <c r="P260" i="2"/>
  <c r="F259" i="2"/>
  <c r="N257" i="2"/>
  <c r="E256" i="2"/>
  <c r="M254" i="2"/>
  <c r="D253" i="2"/>
  <c r="L251" i="2"/>
  <c r="B250" i="2"/>
  <c r="L248" i="2"/>
  <c r="E247" i="2"/>
  <c r="O245" i="2"/>
  <c r="H244" i="2"/>
  <c r="A243" i="2"/>
  <c r="K241" i="2"/>
  <c r="D240" i="2"/>
  <c r="N238" i="2"/>
  <c r="G237" i="2"/>
  <c r="C236" i="2"/>
  <c r="M234" i="2"/>
  <c r="H233" i="2"/>
  <c r="I232" i="2"/>
  <c r="L231" i="2"/>
  <c r="O230" i="2"/>
  <c r="P229" i="2"/>
  <c r="B229" i="2"/>
  <c r="F228" i="2"/>
  <c r="J227" i="2"/>
  <c r="N226" i="2"/>
  <c r="A226" i="2"/>
  <c r="E225" i="2"/>
  <c r="I224" i="2"/>
  <c r="L223" i="2"/>
  <c r="P222" i="2"/>
  <c r="C222" i="2"/>
  <c r="G221" i="2"/>
  <c r="K220" i="2"/>
  <c r="O219" i="2"/>
  <c r="B219" i="2"/>
  <c r="F218" i="2"/>
  <c r="J217" i="2"/>
  <c r="N216" i="2"/>
  <c r="A216" i="2"/>
  <c r="D215" i="2"/>
  <c r="H214" i="2"/>
  <c r="L213" i="2"/>
  <c r="P212" i="2"/>
  <c r="D212" i="2"/>
  <c r="I211" i="2"/>
  <c r="N210" i="2"/>
  <c r="B210" i="2"/>
  <c r="G209" i="2"/>
  <c r="L208" i="2"/>
  <c r="Q207" i="2"/>
  <c r="E207" i="2"/>
  <c r="J206" i="2"/>
  <c r="O205" i="2"/>
  <c r="C205" i="2"/>
  <c r="H204" i="2"/>
  <c r="M203" i="2"/>
  <c r="A203" i="2"/>
  <c r="F202" i="2"/>
  <c r="K201" i="2"/>
  <c r="P200" i="2"/>
  <c r="D200" i="2"/>
  <c r="I199" i="2"/>
  <c r="N198" i="2"/>
  <c r="B198" i="2"/>
  <c r="G197" i="2"/>
  <c r="L196" i="2"/>
  <c r="Q195" i="2"/>
  <c r="E195" i="2"/>
  <c r="J194" i="2"/>
  <c r="O193" i="2"/>
  <c r="C193" i="2"/>
  <c r="H192" i="2"/>
  <c r="M191" i="2"/>
  <c r="A191" i="2"/>
  <c r="F190" i="2"/>
  <c r="K189" i="2"/>
  <c r="P188" i="2"/>
  <c r="D188" i="2"/>
  <c r="I187" i="2"/>
  <c r="N186" i="2"/>
  <c r="B186" i="2"/>
  <c r="G185" i="2"/>
  <c r="L184" i="2"/>
  <c r="Q183" i="2"/>
  <c r="E183" i="2"/>
  <c r="J182" i="2"/>
  <c r="O181" i="2"/>
  <c r="C181" i="2"/>
  <c r="H180" i="2"/>
  <c r="M179" i="2"/>
  <c r="A179" i="2"/>
  <c r="F178" i="2"/>
  <c r="K177" i="2"/>
  <c r="P176" i="2"/>
  <c r="D176" i="2"/>
  <c r="I175" i="2"/>
  <c r="N174" i="2"/>
  <c r="B174" i="2"/>
  <c r="G173" i="2"/>
  <c r="L172" i="2"/>
  <c r="Q171" i="2"/>
  <c r="E171" i="2"/>
  <c r="J170" i="2"/>
  <c r="O169" i="2"/>
  <c r="C169" i="2"/>
  <c r="H168" i="2"/>
  <c r="M167" i="2"/>
  <c r="A167" i="2"/>
  <c r="F166" i="2"/>
  <c r="K165" i="2"/>
  <c r="P164" i="2"/>
  <c r="D164" i="2"/>
  <c r="I163" i="2"/>
  <c r="N162" i="2"/>
  <c r="B162" i="2"/>
  <c r="G161" i="2"/>
  <c r="L160" i="2"/>
  <c r="Q159" i="2"/>
  <c r="E159" i="2"/>
  <c r="J158" i="2"/>
  <c r="O157" i="2"/>
  <c r="C157" i="2"/>
  <c r="H156" i="2"/>
  <c r="M155" i="2"/>
  <c r="A155" i="2"/>
  <c r="F154" i="2"/>
  <c r="K153" i="2"/>
  <c r="P152" i="2"/>
  <c r="D152" i="2"/>
  <c r="I151" i="2"/>
  <c r="N150" i="2"/>
  <c r="B150" i="2"/>
  <c r="G149" i="2"/>
  <c r="L148" i="2"/>
  <c r="Q147" i="2"/>
  <c r="E147" i="2"/>
  <c r="J146" i="2"/>
  <c r="O145" i="2"/>
  <c r="C145" i="2"/>
  <c r="H144" i="2"/>
  <c r="M143" i="2"/>
  <c r="A143" i="2"/>
  <c r="F142" i="2"/>
  <c r="K141" i="2"/>
  <c r="O310" i="2"/>
  <c r="B305" i="2"/>
  <c r="A300" i="2"/>
  <c r="I294" i="2"/>
  <c r="O290" i="2"/>
  <c r="E288" i="2"/>
  <c r="E285" i="2"/>
  <c r="J282" i="2"/>
  <c r="C280" i="2"/>
  <c r="D277" i="2"/>
  <c r="A275" i="2"/>
  <c r="O272" i="2"/>
  <c r="H270" i="2"/>
  <c r="H268" i="2"/>
  <c r="J266" i="2"/>
  <c r="E264" i="2"/>
  <c r="E262" i="2"/>
  <c r="G260" i="2"/>
  <c r="C258" i="2"/>
  <c r="C256" i="2"/>
  <c r="C254" i="2"/>
  <c r="Q251" i="2"/>
  <c r="Q249" i="2"/>
  <c r="D248" i="2"/>
  <c r="C246" i="2"/>
  <c r="E244" i="2"/>
  <c r="J242" i="2"/>
  <c r="I240" i="2"/>
  <c r="L238" i="2"/>
  <c r="O236" i="2"/>
  <c r="C235" i="2"/>
  <c r="G233" i="2"/>
  <c r="E232" i="2"/>
  <c r="A231" i="2"/>
  <c r="O229" i="2"/>
  <c r="O228" i="2"/>
  <c r="M227" i="2"/>
  <c r="M226" i="2"/>
  <c r="M225" i="2"/>
  <c r="L224" i="2"/>
  <c r="K223" i="2"/>
  <c r="L222" i="2"/>
  <c r="J221" i="2"/>
  <c r="J220" i="2"/>
  <c r="K219" i="2"/>
  <c r="I218" i="2"/>
  <c r="I217" i="2"/>
  <c r="I216" i="2"/>
  <c r="H215" i="2"/>
  <c r="G214" i="2"/>
  <c r="H213" i="2"/>
  <c r="G212" i="2"/>
  <c r="H211" i="2"/>
  <c r="J210" i="2"/>
  <c r="J209" i="2"/>
  <c r="K208" i="2"/>
  <c r="M207" i="2"/>
  <c r="M206" i="2"/>
  <c r="N205" i="2"/>
  <c r="P204" i="2"/>
  <c r="P203" i="2"/>
  <c r="Q202" i="2"/>
  <c r="B202" i="2"/>
  <c r="B201" i="2"/>
  <c r="C200" i="2"/>
  <c r="E199" i="2"/>
  <c r="E198" i="2"/>
  <c r="F197" i="2"/>
  <c r="H196" i="2"/>
  <c r="H195" i="2"/>
  <c r="I194" i="2"/>
  <c r="K193" i="2"/>
  <c r="K192" i="2"/>
  <c r="L191" i="2"/>
  <c r="N190" i="2"/>
  <c r="N189" i="2"/>
  <c r="O188" i="2"/>
  <c r="Q187" i="2"/>
  <c r="Q186" i="2"/>
  <c r="A186" i="2"/>
  <c r="C185" i="2"/>
  <c r="C184" i="2"/>
  <c r="D183" i="2"/>
  <c r="F182" i="2"/>
  <c r="F181" i="2"/>
  <c r="G180" i="2"/>
  <c r="I179" i="2"/>
  <c r="I178" i="2"/>
  <c r="J177" i="2"/>
  <c r="L176" i="2"/>
  <c r="L175" i="2"/>
  <c r="M174" i="2"/>
  <c r="O173" i="2"/>
  <c r="O172" i="2"/>
  <c r="P171" i="2"/>
  <c r="A171" i="2"/>
  <c r="A170" i="2"/>
  <c r="B169" i="2"/>
  <c r="D168" i="2"/>
  <c r="D167" i="2"/>
  <c r="E166" i="2"/>
  <c r="G165" i="2"/>
  <c r="G164" i="2"/>
  <c r="H163" i="2"/>
  <c r="J162" i="2"/>
  <c r="J161" i="2"/>
  <c r="K160" i="2"/>
  <c r="M159" i="2"/>
  <c r="M158" i="2"/>
  <c r="N157" i="2"/>
  <c r="P156" i="2"/>
  <c r="P155" i="2"/>
  <c r="Q154" i="2"/>
  <c r="B154" i="2"/>
  <c r="B153" i="2"/>
  <c r="C152" i="2"/>
  <c r="E151" i="2"/>
  <c r="E150" i="2"/>
  <c r="F149" i="2"/>
  <c r="H148" i="2"/>
  <c r="H147" i="2"/>
  <c r="I146" i="2"/>
  <c r="K145" i="2"/>
  <c r="K144" i="2"/>
  <c r="L143" i="2"/>
  <c r="O142" i="2"/>
  <c r="A142" i="2"/>
  <c r="D141" i="2"/>
  <c r="I140" i="2"/>
  <c r="N139" i="2"/>
  <c r="B139" i="2"/>
  <c r="G138" i="2"/>
  <c r="L137" i="2"/>
  <c r="Q136" i="2"/>
  <c r="E136" i="2"/>
  <c r="J135" i="2"/>
  <c r="O134" i="2"/>
  <c r="C134" i="2"/>
  <c r="H133" i="2"/>
  <c r="M132" i="2"/>
  <c r="A132" i="2"/>
  <c r="F131" i="2"/>
  <c r="K130" i="2"/>
  <c r="P129" i="2"/>
  <c r="D129" i="2"/>
  <c r="I128" i="2"/>
  <c r="N127" i="2"/>
  <c r="B127" i="2"/>
  <c r="G126" i="2"/>
  <c r="L125" i="2"/>
  <c r="Q124" i="2"/>
  <c r="E124" i="2"/>
  <c r="J123" i="2"/>
  <c r="O122" i="2"/>
  <c r="C122" i="2"/>
  <c r="H121" i="2"/>
  <c r="M120" i="2"/>
  <c r="A120" i="2"/>
  <c r="F119" i="2"/>
  <c r="K118" i="2"/>
  <c r="P117" i="2"/>
  <c r="D117" i="2"/>
  <c r="I116" i="2"/>
  <c r="N115" i="2"/>
  <c r="B115" i="2"/>
  <c r="G114" i="2"/>
  <c r="L113" i="2"/>
  <c r="Q112" i="2"/>
  <c r="E112" i="2"/>
  <c r="C310" i="2"/>
  <c r="G304" i="2"/>
  <c r="L298" i="2"/>
  <c r="A294" i="2"/>
  <c r="F290" i="2"/>
  <c r="K287" i="2"/>
  <c r="B285" i="2"/>
  <c r="F282" i="2"/>
  <c r="F279" i="2"/>
  <c r="B277" i="2"/>
  <c r="K274" i="2"/>
  <c r="E272" i="2"/>
  <c r="E270" i="2"/>
  <c r="C268" i="2"/>
  <c r="B266" i="2"/>
  <c r="B264" i="2"/>
  <c r="Q261" i="2"/>
  <c r="N259" i="2"/>
  <c r="A258" i="2"/>
  <c r="N255" i="2"/>
  <c r="K253" i="2"/>
  <c r="N251" i="2"/>
  <c r="L249" i="2"/>
  <c r="N247" i="2"/>
  <c r="Q245" i="2"/>
  <c r="A244" i="2"/>
  <c r="A242" i="2"/>
  <c r="G240" i="2"/>
  <c r="G238" i="2"/>
  <c r="I236" i="2"/>
  <c r="O234" i="2"/>
  <c r="E233" i="2"/>
  <c r="P231" i="2"/>
  <c r="P230" i="2"/>
  <c r="M229" i="2"/>
  <c r="J228" i="2"/>
  <c r="K227" i="2"/>
  <c r="K226" i="2"/>
  <c r="I225" i="2"/>
  <c r="J224" i="2"/>
  <c r="I223" i="2"/>
  <c r="H222" i="2"/>
  <c r="H221" i="2"/>
  <c r="H220" i="2"/>
  <c r="F219" i="2"/>
  <c r="G218" i="2"/>
  <c r="F217" i="2"/>
  <c r="E216" i="2"/>
  <c r="F215" i="2"/>
  <c r="E214" i="2"/>
  <c r="D213" i="2"/>
  <c r="E212" i="2"/>
  <c r="F211" i="2"/>
  <c r="F210" i="2"/>
  <c r="H209" i="2"/>
  <c r="I208" i="2"/>
  <c r="I207" i="2"/>
  <c r="K206" i="2"/>
  <c r="L205" i="2"/>
  <c r="L204" i="2"/>
  <c r="N203" i="2"/>
  <c r="O202" i="2"/>
  <c r="O201" i="2"/>
  <c r="Q200" i="2"/>
  <c r="A200" i="2"/>
  <c r="A199" i="2"/>
  <c r="C198" i="2"/>
  <c r="D197" i="2"/>
  <c r="D196" i="2"/>
  <c r="F195" i="2"/>
  <c r="G194" i="2"/>
  <c r="G193" i="2"/>
  <c r="I192" i="2"/>
  <c r="J191" i="2"/>
  <c r="J190" i="2"/>
  <c r="L189" i="2"/>
  <c r="M188" i="2"/>
  <c r="M187" i="2"/>
  <c r="O186" i="2"/>
  <c r="P185" i="2"/>
  <c r="P184" i="2"/>
  <c r="A184" i="2"/>
  <c r="B183" i="2"/>
  <c r="B182" i="2"/>
  <c r="D181" i="2"/>
  <c r="E180" i="2"/>
  <c r="E179" i="2"/>
  <c r="G178" i="2"/>
  <c r="H177" i="2"/>
  <c r="H176" i="2"/>
  <c r="J175" i="2"/>
  <c r="K174" i="2"/>
  <c r="K173" i="2"/>
  <c r="M172" i="2"/>
  <c r="N171" i="2"/>
  <c r="N170" i="2"/>
  <c r="P169" i="2"/>
  <c r="Q168" i="2"/>
  <c r="Q167" i="2"/>
  <c r="B167" i="2"/>
  <c r="C166" i="2"/>
  <c r="C165" i="2"/>
  <c r="E164" i="2"/>
  <c r="F163" i="2"/>
  <c r="F162" i="2"/>
  <c r="H161" i="2"/>
  <c r="I160" i="2"/>
  <c r="I159" i="2"/>
  <c r="K158" i="2"/>
  <c r="L157" i="2"/>
  <c r="L156" i="2"/>
  <c r="N155" i="2"/>
  <c r="O154" i="2"/>
  <c r="O153" i="2"/>
  <c r="Q152" i="2"/>
  <c r="A152" i="2"/>
  <c r="A151" i="2"/>
  <c r="C150" i="2"/>
  <c r="D149" i="2"/>
  <c r="D148" i="2"/>
  <c r="F147" i="2"/>
  <c r="G146" i="2"/>
  <c r="G145" i="2"/>
  <c r="I144" i="2"/>
  <c r="J143" i="2"/>
  <c r="M142" i="2"/>
  <c r="O141" i="2"/>
  <c r="B141" i="2"/>
  <c r="G140" i="2"/>
  <c r="L139" i="2"/>
  <c r="Q138" i="2"/>
  <c r="E138" i="2"/>
  <c r="J137" i="2"/>
  <c r="O136" i="2"/>
  <c r="C136" i="2"/>
  <c r="H135" i="2"/>
  <c r="M134" i="2"/>
  <c r="A134" i="2"/>
  <c r="F133" i="2"/>
  <c r="K132" i="2"/>
  <c r="P131" i="2"/>
  <c r="D131" i="2"/>
  <c r="I130" i="2"/>
  <c r="N129" i="2"/>
  <c r="B129" i="2"/>
  <c r="G128" i="2"/>
  <c r="L127" i="2"/>
  <c r="Q126" i="2"/>
  <c r="E126" i="2"/>
  <c r="J125" i="2"/>
  <c r="O124" i="2"/>
  <c r="C124" i="2"/>
  <c r="H123" i="2"/>
  <c r="M122" i="2"/>
  <c r="A122" i="2"/>
  <c r="F121" i="2"/>
  <c r="K120" i="2"/>
  <c r="P119" i="2"/>
  <c r="D119" i="2"/>
  <c r="I118" i="2"/>
  <c r="N117" i="2"/>
  <c r="B117" i="2"/>
  <c r="G116" i="2"/>
  <c r="L115" i="2"/>
  <c r="Q114" i="2"/>
  <c r="E114" i="2"/>
  <c r="J113" i="2"/>
  <c r="L307" i="2"/>
  <c r="E302" i="2"/>
  <c r="J296" i="2"/>
  <c r="I292" i="2"/>
  <c r="F289" i="2"/>
  <c r="J286" i="2"/>
  <c r="P283" i="2"/>
  <c r="A281" i="2"/>
  <c r="H278" i="2"/>
  <c r="Q275" i="2"/>
  <c r="M273" i="2"/>
  <c r="H271" i="2"/>
  <c r="G269" i="2"/>
  <c r="F267" i="2"/>
  <c r="D265" i="2"/>
  <c r="D263" i="2"/>
  <c r="B261" i="2"/>
  <c r="C259" i="2"/>
  <c r="A257" i="2"/>
  <c r="Q254" i="2"/>
  <c r="O252" i="2"/>
  <c r="O250" i="2"/>
  <c r="P248" i="2"/>
  <c r="Q246" i="2"/>
  <c r="C245" i="2"/>
  <c r="D243" i="2"/>
  <c r="H241" i="2"/>
  <c r="I239" i="2"/>
  <c r="K237" i="2"/>
  <c r="N235" i="2"/>
  <c r="C234" i="2"/>
  <c r="K232" i="2"/>
  <c r="J231" i="2"/>
  <c r="G230" i="2"/>
  <c r="D229" i="2"/>
  <c r="D228" i="2"/>
  <c r="C227" i="2"/>
  <c r="C226" i="2"/>
  <c r="B225" i="2"/>
  <c r="B224" i="2"/>
  <c r="B223" i="2"/>
  <c r="A222" i="2"/>
  <c r="A221" i="2"/>
  <c r="Q219" i="2"/>
  <c r="Q218" i="2"/>
  <c r="P217" i="2"/>
  <c r="P216" i="2"/>
  <c r="O215" i="2"/>
  <c r="O214" i="2"/>
  <c r="N213" i="2"/>
  <c r="N212" i="2"/>
  <c r="O211" i="2"/>
  <c r="P210" i="2"/>
  <c r="Q209" i="2"/>
  <c r="A209" i="2"/>
  <c r="B208" i="2"/>
  <c r="C207" i="2"/>
  <c r="D206" i="2"/>
  <c r="E205" i="2"/>
  <c r="F204" i="2"/>
  <c r="G203" i="2"/>
  <c r="H202" i="2"/>
  <c r="I201" i="2"/>
  <c r="J200" i="2"/>
  <c r="K199" i="2"/>
  <c r="L198" i="2"/>
  <c r="M197" i="2"/>
  <c r="N196" i="2"/>
  <c r="O195" i="2"/>
  <c r="P194" i="2"/>
  <c r="Q193" i="2"/>
  <c r="A193" i="2"/>
  <c r="B192" i="2"/>
  <c r="C191" i="2"/>
  <c r="D190" i="2"/>
  <c r="E189" i="2"/>
  <c r="F188" i="2"/>
  <c r="G187" i="2"/>
  <c r="H186" i="2"/>
  <c r="I185" i="2"/>
  <c r="J184" i="2"/>
  <c r="K183" i="2"/>
  <c r="L182" i="2"/>
  <c r="M181" i="2"/>
  <c r="N180" i="2"/>
  <c r="O179" i="2"/>
  <c r="P178" i="2"/>
  <c r="Q177" i="2"/>
  <c r="A177" i="2"/>
  <c r="B176" i="2"/>
  <c r="C175" i="2"/>
  <c r="D174" i="2"/>
  <c r="E173" i="2"/>
  <c r="F172" i="2"/>
  <c r="G171" i="2"/>
  <c r="H170" i="2"/>
  <c r="I169" i="2"/>
  <c r="J168" i="2"/>
  <c r="K167" i="2"/>
  <c r="L166" i="2"/>
  <c r="M165" i="2"/>
  <c r="N164" i="2"/>
  <c r="O163" i="2"/>
  <c r="P162" i="2"/>
  <c r="Q161" i="2"/>
  <c r="A161" i="2"/>
  <c r="B160" i="2"/>
  <c r="C159" i="2"/>
  <c r="D158" i="2"/>
  <c r="E157" i="2"/>
  <c r="F156" i="2"/>
  <c r="G155" i="2"/>
  <c r="H154" i="2"/>
  <c r="I153" i="2"/>
  <c r="J152" i="2"/>
  <c r="K151" i="2"/>
  <c r="L150" i="2"/>
  <c r="M149" i="2"/>
  <c r="N148" i="2"/>
  <c r="O147" i="2"/>
  <c r="P146" i="2"/>
  <c r="Q145" i="2"/>
  <c r="A145" i="2"/>
  <c r="B144" i="2"/>
  <c r="D143" i="2"/>
  <c r="G142" i="2"/>
  <c r="I141" i="2"/>
  <c r="N140" i="2"/>
  <c r="B140" i="2"/>
  <c r="G139" i="2"/>
  <c r="L138" i="2"/>
  <c r="Q137" i="2"/>
  <c r="E137" i="2"/>
  <c r="J136" i="2"/>
  <c r="O135" i="2"/>
  <c r="C135" i="2"/>
  <c r="H134" i="2"/>
  <c r="M133" i="2"/>
  <c r="A133" i="2"/>
  <c r="F132" i="2"/>
  <c r="K131" i="2"/>
  <c r="P130" i="2"/>
  <c r="D130" i="2"/>
  <c r="I129" i="2"/>
  <c r="N128" i="2"/>
  <c r="B128" i="2"/>
  <c r="G127" i="2"/>
  <c r="L126" i="2"/>
  <c r="Q125" i="2"/>
  <c r="E125" i="2"/>
  <c r="J124" i="2"/>
  <c r="O123" i="2"/>
  <c r="C123" i="2"/>
  <c r="H122" i="2"/>
  <c r="M121" i="2"/>
  <c r="A121" i="2"/>
  <c r="F120" i="2"/>
  <c r="K119" i="2"/>
  <c r="P118" i="2"/>
  <c r="D118" i="2"/>
  <c r="I117" i="2"/>
  <c r="N116" i="2"/>
  <c r="B116" i="2"/>
  <c r="G115" i="2"/>
  <c r="L114" i="2"/>
  <c r="Q113" i="2"/>
  <c r="E113" i="2"/>
  <c r="L308" i="2"/>
  <c r="K301" i="2"/>
  <c r="B295" i="2"/>
  <c r="A290" i="2"/>
  <c r="G286" i="2"/>
  <c r="C283" i="2"/>
  <c r="B279" i="2"/>
  <c r="N275" i="2"/>
  <c r="Q272" i="2"/>
  <c r="N269" i="2"/>
  <c r="E267" i="2"/>
  <c r="H264" i="2"/>
  <c r="L261" i="2"/>
  <c r="P258" i="2"/>
  <c r="G256" i="2"/>
  <c r="H253" i="2"/>
  <c r="J250" i="2"/>
  <c r="E248" i="2"/>
  <c r="L245" i="2"/>
  <c r="C243" i="2"/>
  <c r="K240" i="2"/>
  <c r="B238" i="2"/>
  <c r="L235" i="2"/>
  <c r="J233" i="2"/>
  <c r="N231" i="2"/>
  <c r="E230" i="2"/>
  <c r="P228" i="2"/>
  <c r="H227" i="2"/>
  <c r="B226" i="2"/>
  <c r="M224" i="2"/>
  <c r="F223" i="2"/>
  <c r="Q221" i="2"/>
  <c r="L220" i="2"/>
  <c r="D219" i="2"/>
  <c r="N217" i="2"/>
  <c r="J216" i="2"/>
  <c r="B215" i="2"/>
  <c r="M213" i="2"/>
  <c r="H212" i="2"/>
  <c r="C211" i="2"/>
  <c r="P209" i="2"/>
  <c r="M208" i="2"/>
  <c r="G207" i="2"/>
  <c r="B206" i="2"/>
  <c r="Q204" i="2"/>
  <c r="K203" i="2"/>
  <c r="G202" i="2"/>
  <c r="C201" i="2"/>
  <c r="O199" i="2"/>
  <c r="K198" i="2"/>
  <c r="H197" i="2"/>
  <c r="B196" i="2"/>
  <c r="N194" i="2"/>
  <c r="L193" i="2"/>
  <c r="F192" i="2"/>
  <c r="B191" i="2"/>
  <c r="O189" i="2"/>
  <c r="J188" i="2"/>
  <c r="F187" i="2"/>
  <c r="C186" i="2"/>
  <c r="N184" i="2"/>
  <c r="I183" i="2"/>
  <c r="G182" i="2"/>
  <c r="A181" i="2"/>
  <c r="N179" i="2"/>
  <c r="J178" i="2"/>
  <c r="E177" i="2"/>
  <c r="A176" i="2"/>
  <c r="O174" i="2"/>
  <c r="I173" i="2"/>
  <c r="D172" i="2"/>
  <c r="B171" i="2"/>
  <c r="M169" i="2"/>
  <c r="I168" i="2"/>
  <c r="E167" i="2"/>
  <c r="Q165" i="2"/>
  <c r="M164" i="2"/>
  <c r="J163" i="2"/>
  <c r="D162" i="2"/>
  <c r="P160" i="2"/>
  <c r="N159" i="2"/>
  <c r="H158" i="2"/>
  <c r="D157" i="2"/>
  <c r="Q155" i="2"/>
  <c r="L154" i="2"/>
  <c r="H153" i="2"/>
  <c r="E152" i="2"/>
  <c r="P150" i="2"/>
  <c r="K149" i="2"/>
  <c r="I148" i="2"/>
  <c r="C147" i="2"/>
  <c r="P145" i="2"/>
  <c r="L144" i="2"/>
  <c r="H143" i="2"/>
  <c r="E142" i="2"/>
  <c r="E141" i="2"/>
  <c r="E140" i="2"/>
  <c r="F139" i="2"/>
  <c r="H138" i="2"/>
  <c r="H137" i="2"/>
  <c r="I136" i="2"/>
  <c r="K135" i="2"/>
  <c r="K134" i="2"/>
  <c r="L133" i="2"/>
  <c r="N132" i="2"/>
  <c r="N131" i="2"/>
  <c r="O130" i="2"/>
  <c r="Q129" i="2"/>
  <c r="Q128" i="2"/>
  <c r="A128" i="2"/>
  <c r="C127" i="2"/>
  <c r="C126" i="2"/>
  <c r="D125" i="2"/>
  <c r="F124" i="2"/>
  <c r="F123" i="2"/>
  <c r="G122" i="2"/>
  <c r="I121" i="2"/>
  <c r="I120" i="2"/>
  <c r="J119" i="2"/>
  <c r="L118" i="2"/>
  <c r="L117" i="2"/>
  <c r="M116" i="2"/>
  <c r="O115" i="2"/>
  <c r="O114" i="2"/>
  <c r="P113" i="2"/>
  <c r="A113" i="2"/>
  <c r="D112" i="2"/>
  <c r="I111" i="2"/>
  <c r="N110" i="2"/>
  <c r="B110" i="2"/>
  <c r="G109" i="2"/>
  <c r="L108" i="2"/>
  <c r="Q107" i="2"/>
  <c r="E107" i="2"/>
  <c r="J106" i="2"/>
  <c r="O105" i="2"/>
  <c r="C105" i="2"/>
  <c r="H104" i="2"/>
  <c r="M103" i="2"/>
  <c r="A103" i="2"/>
  <c r="F102" i="2"/>
  <c r="K101" i="2"/>
  <c r="P100" i="2"/>
  <c r="I308" i="2"/>
  <c r="Q300" i="2"/>
  <c r="L293" i="2"/>
  <c r="G289" i="2"/>
  <c r="P285" i="2"/>
  <c r="E282" i="2"/>
  <c r="I278" i="2"/>
  <c r="F275" i="2"/>
  <c r="C272" i="2"/>
  <c r="K269" i="2"/>
  <c r="M266" i="2"/>
  <c r="O263" i="2"/>
  <c r="D261" i="2"/>
  <c r="J258" i="2"/>
  <c r="M255" i="2"/>
  <c r="Q252" i="2"/>
  <c r="G250" i="2"/>
  <c r="J247" i="2"/>
  <c r="F245" i="2"/>
  <c r="M242" i="2"/>
  <c r="A240" i="2"/>
  <c r="L237" i="2"/>
  <c r="H235" i="2"/>
  <c r="C233" i="2"/>
  <c r="K231" i="2"/>
  <c r="C230" i="2"/>
  <c r="I228" i="2"/>
  <c r="F227" i="2"/>
  <c r="P225" i="2"/>
  <c r="G224" i="2"/>
  <c r="C223" i="2"/>
  <c r="N221" i="2"/>
  <c r="G220" i="2"/>
  <c r="A219" i="2"/>
  <c r="L217" i="2"/>
  <c r="D216" i="2"/>
  <c r="Q214" i="2"/>
  <c r="J213" i="2"/>
  <c r="C212" i="2"/>
  <c r="Q210" i="2"/>
  <c r="M209" i="2"/>
  <c r="H208" i="2"/>
  <c r="D207" i="2"/>
  <c r="Q205" i="2"/>
  <c r="K204" i="2"/>
  <c r="I203" i="2"/>
  <c r="D202" i="2"/>
  <c r="O200" i="2"/>
  <c r="L199" i="2"/>
  <c r="H198" i="2"/>
  <c r="C197" i="2"/>
  <c r="P195" i="2"/>
  <c r="L194" i="2"/>
  <c r="F193" i="2"/>
  <c r="D192" i="2"/>
  <c r="P190" i="2"/>
  <c r="J189" i="2"/>
  <c r="G188" i="2"/>
  <c r="C187" i="2"/>
  <c r="O185" i="2"/>
  <c r="K184" i="2"/>
  <c r="G183" i="2"/>
  <c r="A182" i="2"/>
  <c r="P180" i="2"/>
  <c r="K179" i="2"/>
  <c r="E178" i="2"/>
  <c r="B177" i="2"/>
  <c r="O175" i="2"/>
  <c r="J174" i="2"/>
  <c r="F173" i="2"/>
  <c r="B172" i="2"/>
  <c r="M170" i="2"/>
  <c r="K169" i="2"/>
  <c r="F168" i="2"/>
  <c r="Q166" i="2"/>
  <c r="N165" i="2"/>
  <c r="J164" i="2"/>
  <c r="E163" i="2"/>
  <c r="A162" i="2"/>
  <c r="N160" i="2"/>
  <c r="H159" i="2"/>
  <c r="F158" i="2"/>
  <c r="A157" i="2"/>
  <c r="L155" i="2"/>
  <c r="I154" i="2"/>
  <c r="E153" i="2"/>
  <c r="Q151" i="2"/>
  <c r="M150" i="2"/>
  <c r="I149" i="2"/>
  <c r="C148" i="2"/>
  <c r="A147" i="2"/>
  <c r="M145" i="2"/>
  <c r="G144" i="2"/>
  <c r="E143" i="2"/>
  <c r="C142" i="2"/>
  <c r="A141" i="2"/>
  <c r="C140" i="2"/>
  <c r="D139" i="2"/>
  <c r="D138" i="2"/>
  <c r="F137" i="2"/>
  <c r="G136" i="2"/>
  <c r="G135" i="2"/>
  <c r="I134" i="2"/>
  <c r="J133" i="2"/>
  <c r="J132" i="2"/>
  <c r="L131" i="2"/>
  <c r="M130" i="2"/>
  <c r="M129" i="2"/>
  <c r="O128" i="2"/>
  <c r="P127" i="2"/>
  <c r="P126" i="2"/>
  <c r="A126" i="2"/>
  <c r="B125" i="2"/>
  <c r="B124" i="2"/>
  <c r="D123" i="2"/>
  <c r="E122" i="2"/>
  <c r="E121" i="2"/>
  <c r="P305" i="2"/>
  <c r="P297" i="2"/>
  <c r="N291" i="2"/>
  <c r="F288" i="2"/>
  <c r="L284" i="2"/>
  <c r="Q280" i="2"/>
  <c r="G277" i="2"/>
  <c r="F274" i="2"/>
  <c r="D271" i="2"/>
  <c r="M268" i="2"/>
  <c r="L265" i="2"/>
  <c r="O262" i="2"/>
  <c r="H260" i="2"/>
  <c r="I257" i="2"/>
  <c r="O254" i="2"/>
  <c r="D252" i="2"/>
  <c r="G249" i="2"/>
  <c r="O246" i="2"/>
  <c r="K244" i="2"/>
  <c r="O241" i="2"/>
  <c r="F239" i="2"/>
  <c r="Q236" i="2"/>
  <c r="J234" i="2"/>
  <c r="J232" i="2"/>
  <c r="B231" i="2"/>
  <c r="J229" i="2"/>
  <c r="C228" i="2"/>
  <c r="O226" i="2"/>
  <c r="G225" i="2"/>
  <c r="Q223" i="2"/>
  <c r="M222" i="2"/>
  <c r="E221" i="2"/>
  <c r="P219" i="2"/>
  <c r="J218" i="2"/>
  <c r="C217" i="2"/>
  <c r="N215" i="2"/>
  <c r="I214" i="2"/>
  <c r="A213" i="2"/>
  <c r="M211" i="2"/>
  <c r="K210" i="2"/>
  <c r="E209" i="2"/>
  <c r="A208" i="2"/>
  <c r="N206" i="2"/>
  <c r="I205" i="2"/>
  <c r="E204" i="2"/>
  <c r="B203" i="2"/>
  <c r="M201" i="2"/>
  <c r="H200" i="2"/>
  <c r="F199" i="2"/>
  <c r="Q197" i="2"/>
  <c r="M196" i="2"/>
  <c r="I195" i="2"/>
  <c r="D194" i="2"/>
  <c r="Q192" i="2"/>
  <c r="N191" i="2"/>
  <c r="H190" i="2"/>
  <c r="C189" i="2"/>
  <c r="A188" i="2"/>
  <c r="L186" i="2"/>
  <c r="H185" i="2"/>
  <c r="D184" i="2"/>
  <c r="P182" i="2"/>
  <c r="L181" i="2"/>
  <c r="I180" i="2"/>
  <c r="C179" i="2"/>
  <c r="O177" i="2"/>
  <c r="M176" i="2"/>
  <c r="G175" i="2"/>
  <c r="C174" i="2"/>
  <c r="P172" i="2"/>
  <c r="K171" i="2"/>
  <c r="G170" i="2"/>
  <c r="D169" i="2"/>
  <c r="O167" i="2"/>
  <c r="J166" i="2"/>
  <c r="H165" i="2"/>
  <c r="B164" i="2"/>
  <c r="O162" i="2"/>
  <c r="K161" i="2"/>
  <c r="F160" i="2"/>
  <c r="B159" i="2"/>
  <c r="P157" i="2"/>
  <c r="J156" i="2"/>
  <c r="P304" i="2"/>
  <c r="O297" i="2"/>
  <c r="L291" i="2"/>
  <c r="P287" i="2"/>
  <c r="E284" i="2"/>
  <c r="K280" i="2"/>
  <c r="C277" i="2"/>
  <c r="P273" i="2"/>
  <c r="C271" i="2"/>
  <c r="G268" i="2"/>
  <c r="K265" i="2"/>
  <c r="M262" i="2"/>
  <c r="C260" i="2"/>
  <c r="G257" i="2"/>
  <c r="K254" i="2"/>
  <c r="O251" i="2"/>
  <c r="B249" i="2"/>
  <c r="N246" i="2"/>
  <c r="C244" i="2"/>
  <c r="M241" i="2"/>
  <c r="B239" i="2"/>
  <c r="L236" i="2"/>
  <c r="H234" i="2"/>
  <c r="H232" i="2"/>
  <c r="Q230" i="2"/>
  <c r="H229" i="2"/>
  <c r="B228" i="2"/>
  <c r="L226" i="2"/>
  <c r="F225" i="2"/>
  <c r="P223" i="2"/>
  <c r="J222" i="2"/>
  <c r="D221" i="2"/>
  <c r="N219" i="2"/>
  <c r="H218" i="2"/>
  <c r="A217" i="2"/>
  <c r="M215" i="2"/>
  <c r="F214" i="2"/>
  <c r="Q212" i="2"/>
  <c r="L211" i="2"/>
  <c r="H210" i="2"/>
  <c r="D209" i="2"/>
  <c r="P207" i="2"/>
  <c r="L206" i="2"/>
  <c r="G205" i="2"/>
  <c r="D204" i="2"/>
  <c r="P202" i="2"/>
  <c r="L201" i="2"/>
  <c r="G200" i="2"/>
  <c r="C199" i="2"/>
  <c r="P197" i="2"/>
  <c r="K196" i="2"/>
  <c r="G195" i="2"/>
  <c r="B194" i="2"/>
  <c r="P192" i="2"/>
  <c r="K191" i="2"/>
  <c r="G190" i="2"/>
  <c r="B189" i="2"/>
  <c r="O187" i="2"/>
  <c r="K186" i="2"/>
  <c r="F185" i="2"/>
  <c r="B184" i="2"/>
  <c r="N182" i="2"/>
  <c r="K181" i="2"/>
  <c r="F180" i="2"/>
  <c r="B179" i="2"/>
  <c r="N177" i="2"/>
  <c r="J176" i="2"/>
  <c r="F175" i="2"/>
  <c r="A174" i="2"/>
  <c r="N172" i="2"/>
  <c r="I171" i="2"/>
  <c r="F170" i="2"/>
  <c r="A169" i="2"/>
  <c r="N167" i="2"/>
  <c r="I166" i="2"/>
  <c r="E165" i="2"/>
  <c r="A164" i="2"/>
  <c r="M162" i="2"/>
  <c r="I161" i="2"/>
  <c r="D160" i="2"/>
  <c r="A159" i="2"/>
  <c r="M157" i="2"/>
  <c r="I156" i="2"/>
  <c r="D155" i="2"/>
  <c r="Q153" i="2"/>
  <c r="M152" i="2"/>
  <c r="H151" i="2"/>
  <c r="D150" i="2"/>
  <c r="P148" i="2"/>
  <c r="M147" i="2"/>
  <c r="H146" i="2"/>
  <c r="D145" i="2"/>
  <c r="P143" i="2"/>
  <c r="N142" i="2"/>
  <c r="L141" i="2"/>
  <c r="L140" i="2"/>
  <c r="M139" i="2"/>
  <c r="N138" i="2"/>
  <c r="O137" i="2"/>
  <c r="P136" i="2"/>
  <c r="Q135" i="2"/>
  <c r="A135" i="2"/>
  <c r="B134" i="2"/>
  <c r="C133" i="2"/>
  <c r="D132" i="2"/>
  <c r="E131" i="2"/>
  <c r="F130" i="2"/>
  <c r="G129" i="2"/>
  <c r="H128" i="2"/>
  <c r="I127" i="2"/>
  <c r="J126" i="2"/>
  <c r="K125" i="2"/>
  <c r="L124" i="2"/>
  <c r="M123" i="2"/>
  <c r="N122" i="2"/>
  <c r="O121" i="2"/>
  <c r="P120" i="2"/>
  <c r="E306" i="2"/>
  <c r="G295" i="2"/>
  <c r="I288" i="2"/>
  <c r="D283" i="2"/>
  <c r="L277" i="2"/>
  <c r="D273" i="2"/>
  <c r="O268" i="2"/>
  <c r="M264" i="2"/>
  <c r="J260" i="2"/>
  <c r="H256" i="2"/>
  <c r="H252" i="2"/>
  <c r="G248" i="2"/>
  <c r="L244" i="2"/>
  <c r="P240" i="2"/>
  <c r="D237" i="2"/>
  <c r="L233" i="2"/>
  <c r="D231" i="2"/>
  <c r="Q228" i="2"/>
  <c r="P226" i="2"/>
  <c r="O224" i="2"/>
  <c r="N222" i="2"/>
  <c r="M220" i="2"/>
  <c r="L218" i="2"/>
  <c r="K216" i="2"/>
  <c r="K214" i="2"/>
  <c r="J212" i="2"/>
  <c r="L210" i="2"/>
  <c r="N208" i="2"/>
  <c r="P206" i="2"/>
  <c r="A205" i="2"/>
  <c r="C203" i="2"/>
  <c r="E201" i="2"/>
  <c r="G199" i="2"/>
  <c r="I197" i="2"/>
  <c r="K195" i="2"/>
  <c r="M193" i="2"/>
  <c r="O191" i="2"/>
  <c r="Q189" i="2"/>
  <c r="B188" i="2"/>
  <c r="D186" i="2"/>
  <c r="F184" i="2"/>
  <c r="H182" i="2"/>
  <c r="J180" i="2"/>
  <c r="L178" i="2"/>
  <c r="N176" i="2"/>
  <c r="P174" i="2"/>
  <c r="A173" i="2"/>
  <c r="C171" i="2"/>
  <c r="E169" i="2"/>
  <c r="G167" i="2"/>
  <c r="I165" i="2"/>
  <c r="K163" i="2"/>
  <c r="M161" i="2"/>
  <c r="O159" i="2"/>
  <c r="Q157" i="2"/>
  <c r="B156" i="2"/>
  <c r="E154" i="2"/>
  <c r="L152" i="2"/>
  <c r="Q150" i="2"/>
  <c r="E149" i="2"/>
  <c r="K147" i="2"/>
  <c r="A146" i="2"/>
  <c r="E144" i="2"/>
  <c r="L142" i="2"/>
  <c r="F141" i="2"/>
  <c r="Q139" i="2"/>
  <c r="M138" i="2"/>
  <c r="I137" i="2"/>
  <c r="D136" i="2"/>
  <c r="Q134" i="2"/>
  <c r="N133" i="2"/>
  <c r="H132" i="2"/>
  <c r="C131" i="2"/>
  <c r="A130" i="2"/>
  <c r="L128" i="2"/>
  <c r="H127" i="2"/>
  <c r="D126" i="2"/>
  <c r="P124" i="2"/>
  <c r="L123" i="2"/>
  <c r="I122" i="2"/>
  <c r="C121" i="2"/>
  <c r="B120" i="2"/>
  <c r="A119" i="2"/>
  <c r="A118" i="2"/>
  <c r="Q116" i="2"/>
  <c r="Q115" i="2"/>
  <c r="P114" i="2"/>
  <c r="O113" i="2"/>
  <c r="O112" i="2"/>
  <c r="A112" i="2"/>
  <c r="E111" i="2"/>
  <c r="I110" i="2"/>
  <c r="M109" i="2"/>
  <c r="Q108" i="2"/>
  <c r="D108" i="2"/>
  <c r="H107" i="2"/>
  <c r="L106" i="2"/>
  <c r="P105" i="2"/>
  <c r="B105" i="2"/>
  <c r="F104" i="2"/>
  <c r="J103" i="2"/>
  <c r="N102" i="2"/>
  <c r="A102" i="2"/>
  <c r="E101" i="2"/>
  <c r="I100" i="2"/>
  <c r="N99" i="2"/>
  <c r="B99" i="2"/>
  <c r="G98" i="2"/>
  <c r="L97" i="2"/>
  <c r="Q96" i="2"/>
  <c r="E96" i="2"/>
  <c r="J95" i="2"/>
  <c r="O94" i="2"/>
  <c r="C94" i="2"/>
  <c r="H93" i="2"/>
  <c r="M92" i="2"/>
  <c r="A92" i="2"/>
  <c r="F91" i="2"/>
  <c r="K90" i="2"/>
  <c r="P89" i="2"/>
  <c r="D89" i="2"/>
  <c r="I88" i="2"/>
  <c r="N87" i="2"/>
  <c r="B87" i="2"/>
  <c r="G86" i="2"/>
  <c r="L85" i="2"/>
  <c r="Q84" i="2"/>
  <c r="E84" i="2"/>
  <c r="J83" i="2"/>
  <c r="O82" i="2"/>
  <c r="C82" i="2"/>
  <c r="H81" i="2"/>
  <c r="M80" i="2"/>
  <c r="A80" i="2"/>
  <c r="F79" i="2"/>
  <c r="K78" i="2"/>
  <c r="P77" i="2"/>
  <c r="D77" i="2"/>
  <c r="I76" i="2"/>
  <c r="N75" i="2"/>
  <c r="B75" i="2"/>
  <c r="G74" i="2"/>
  <c r="L73" i="2"/>
  <c r="Q72" i="2"/>
  <c r="E72" i="2"/>
  <c r="J71" i="2"/>
  <c r="O70" i="2"/>
  <c r="C70" i="2"/>
  <c r="H69" i="2"/>
  <c r="M68" i="2"/>
  <c r="A68" i="2"/>
  <c r="F67" i="2"/>
  <c r="K66" i="2"/>
  <c r="P65" i="2"/>
  <c r="D65" i="2"/>
  <c r="I64" i="2"/>
  <c r="N63" i="2"/>
  <c r="B63" i="2"/>
  <c r="G62" i="2"/>
  <c r="L61" i="2"/>
  <c r="Q60" i="2"/>
  <c r="E60" i="2"/>
  <c r="J59" i="2"/>
  <c r="O58" i="2"/>
  <c r="C58" i="2"/>
  <c r="H57" i="2"/>
  <c r="M56" i="2"/>
  <c r="A56" i="2"/>
  <c r="F55" i="2"/>
  <c r="K303" i="2"/>
  <c r="F293" i="2"/>
  <c r="E287" i="2"/>
  <c r="N281" i="2"/>
  <c r="I276" i="2"/>
  <c r="Q271" i="2"/>
  <c r="N267" i="2"/>
  <c r="N263" i="2"/>
  <c r="K259" i="2"/>
  <c r="I255" i="2"/>
  <c r="F251" i="2"/>
  <c r="H247" i="2"/>
  <c r="M243" i="2"/>
  <c r="P239" i="2"/>
  <c r="E236" i="2"/>
  <c r="Q232" i="2"/>
  <c r="K230" i="2"/>
  <c r="H228" i="2"/>
  <c r="G226" i="2"/>
  <c r="F224" i="2"/>
  <c r="E222" i="2"/>
  <c r="E220" i="2"/>
  <c r="D218" i="2"/>
  <c r="C216" i="2"/>
  <c r="B214" i="2"/>
  <c r="B212" i="2"/>
  <c r="D210" i="2"/>
  <c r="F208" i="2"/>
  <c r="H206" i="2"/>
  <c r="J204" i="2"/>
  <c r="L202" i="2"/>
  <c r="N200" i="2"/>
  <c r="P198" i="2"/>
  <c r="A197" i="2"/>
  <c r="C195" i="2"/>
  <c r="E193" i="2"/>
  <c r="G191" i="2"/>
  <c r="I189" i="2"/>
  <c r="K187" i="2"/>
  <c r="M185" i="2"/>
  <c r="O183" i="2"/>
  <c r="Q181" i="2"/>
  <c r="B180" i="2"/>
  <c r="D178" i="2"/>
  <c r="F176" i="2"/>
  <c r="H174" i="2"/>
  <c r="J172" i="2"/>
  <c r="L170" i="2"/>
  <c r="N168" i="2"/>
  <c r="P166" i="2"/>
  <c r="A165" i="2"/>
  <c r="C163" i="2"/>
  <c r="E161" i="2"/>
  <c r="G159" i="2"/>
  <c r="I157" i="2"/>
  <c r="K155" i="2"/>
  <c r="C154" i="2"/>
  <c r="G152" i="2"/>
  <c r="K150" i="2"/>
  <c r="A149" i="2"/>
  <c r="G147" i="2"/>
  <c r="L145" i="2"/>
  <c r="Q143" i="2"/>
  <c r="I142" i="2"/>
  <c r="Q140" i="2"/>
  <c r="O139" i="2"/>
  <c r="J138" i="2"/>
  <c r="D137" i="2"/>
  <c r="A136" i="2"/>
  <c r="N134" i="2"/>
  <c r="I133" i="2"/>
  <c r="E132" i="2"/>
  <c r="A131" i="2"/>
  <c r="L129" i="2"/>
  <c r="J128" i="2"/>
  <c r="E127" i="2"/>
  <c r="P125" i="2"/>
  <c r="M124" i="2"/>
  <c r="I123" i="2"/>
  <c r="D122" i="2"/>
  <c r="Q120" i="2"/>
  <c r="O119" i="2"/>
  <c r="O118" i="2"/>
  <c r="O117" i="2"/>
  <c r="O116" i="2"/>
  <c r="M115" i="2"/>
  <c r="M114" i="2"/>
  <c r="M113" i="2"/>
  <c r="M112" i="2"/>
  <c r="P111" i="2"/>
  <c r="C111" i="2"/>
  <c r="G110" i="2"/>
  <c r="K109" i="2"/>
  <c r="O108" i="2"/>
  <c r="B108" i="2"/>
  <c r="F107" i="2"/>
  <c r="I106" i="2"/>
  <c r="M105" i="2"/>
  <c r="Q104" i="2"/>
  <c r="D104" i="2"/>
  <c r="H103" i="2"/>
  <c r="L102" i="2"/>
  <c r="P101" i="2"/>
  <c r="C101" i="2"/>
  <c r="G100" i="2"/>
  <c r="L99" i="2"/>
  <c r="Q98" i="2"/>
  <c r="E98" i="2"/>
  <c r="J97" i="2"/>
  <c r="O96" i="2"/>
  <c r="C96" i="2"/>
  <c r="H95" i="2"/>
  <c r="M94" i="2"/>
  <c r="A94" i="2"/>
  <c r="F93" i="2"/>
  <c r="K92" i="2"/>
  <c r="P91" i="2"/>
  <c r="D91" i="2"/>
  <c r="I90" i="2"/>
  <c r="N89" i="2"/>
  <c r="B89" i="2"/>
  <c r="G88" i="2"/>
  <c r="L87" i="2"/>
  <c r="Q86" i="2"/>
  <c r="E86" i="2"/>
  <c r="J85" i="2"/>
  <c r="O84" i="2"/>
  <c r="C84" i="2"/>
  <c r="H83" i="2"/>
  <c r="M82" i="2"/>
  <c r="A82" i="2"/>
  <c r="F81" i="2"/>
  <c r="K80" i="2"/>
  <c r="P79" i="2"/>
  <c r="D79" i="2"/>
  <c r="I78" i="2"/>
  <c r="N77" i="2"/>
  <c r="B77" i="2"/>
  <c r="G76" i="2"/>
  <c r="L75" i="2"/>
  <c r="Q74" i="2"/>
  <c r="E74" i="2"/>
  <c r="J73" i="2"/>
  <c r="O72" i="2"/>
  <c r="C72" i="2"/>
  <c r="H71" i="2"/>
  <c r="M70" i="2"/>
  <c r="A70" i="2"/>
  <c r="F69" i="2"/>
  <c r="K68" i="2"/>
  <c r="P67" i="2"/>
  <c r="D67" i="2"/>
  <c r="I66" i="2"/>
  <c r="N65" i="2"/>
  <c r="B65" i="2"/>
  <c r="G64" i="2"/>
  <c r="E311" i="2"/>
  <c r="C300" i="2"/>
  <c r="D291" i="2"/>
  <c r="I285" i="2"/>
  <c r="D280" i="2"/>
  <c r="E275" i="2"/>
  <c r="M270" i="2"/>
  <c r="K266" i="2"/>
  <c r="K262" i="2"/>
  <c r="E258" i="2"/>
  <c r="E254" i="2"/>
  <c r="E250" i="2"/>
  <c r="E246" i="2"/>
  <c r="K242" i="2"/>
  <c r="P238" i="2"/>
  <c r="E235" i="2"/>
  <c r="F232" i="2"/>
  <c r="A230" i="2"/>
  <c r="N227" i="2"/>
  <c r="N225" i="2"/>
  <c r="N223" i="2"/>
  <c r="L221" i="2"/>
  <c r="L219" i="2"/>
  <c r="K217" i="2"/>
  <c r="I215" i="2"/>
  <c r="I213" i="2"/>
  <c r="J211" i="2"/>
  <c r="K209" i="2"/>
  <c r="N207" i="2"/>
  <c r="P205" i="2"/>
  <c r="Q203" i="2"/>
  <c r="C202" i="2"/>
  <c r="E200" i="2"/>
  <c r="F198" i="2"/>
  <c r="I196" i="2"/>
  <c r="K194" i="2"/>
  <c r="L192" i="2"/>
  <c r="O190" i="2"/>
  <c r="Q188" i="2"/>
  <c r="A187" i="2"/>
  <c r="D185" i="2"/>
  <c r="F183" i="2"/>
  <c r="G181" i="2"/>
  <c r="J179" i="2"/>
  <c r="L177" i="2"/>
  <c r="M175" i="2"/>
  <c r="P173" i="2"/>
  <c r="A172" i="2"/>
  <c r="B170" i="2"/>
  <c r="E168" i="2"/>
  <c r="G166" i="2"/>
  <c r="H164" i="2"/>
  <c r="K162" i="2"/>
  <c r="M160" i="2"/>
  <c r="N158" i="2"/>
  <c r="Q156" i="2"/>
  <c r="C155" i="2"/>
  <c r="J153" i="2"/>
  <c r="M151" i="2"/>
  <c r="A150" i="2"/>
  <c r="J148" i="2"/>
  <c r="M146" i="2"/>
  <c r="B145" i="2"/>
  <c r="I143" i="2"/>
  <c r="Q141" i="2"/>
  <c r="K140" i="2"/>
  <c r="H139" i="2"/>
  <c r="B138" i="2"/>
  <c r="N136" i="2"/>
  <c r="L135" i="2"/>
  <c r="F134" i="2"/>
  <c r="B133" i="2"/>
  <c r="O131" i="2"/>
  <c r="J130" i="2"/>
  <c r="F129" i="2"/>
  <c r="C128" i="2"/>
  <c r="N126" i="2"/>
  <c r="I125" i="2"/>
  <c r="G124" i="2"/>
  <c r="A123" i="2"/>
  <c r="N121" i="2"/>
  <c r="J120" i="2"/>
  <c r="I119" i="2"/>
  <c r="H118" i="2"/>
  <c r="H117" i="2"/>
  <c r="H116" i="2"/>
  <c r="H115" i="2"/>
  <c r="H114" i="2"/>
  <c r="G113" i="2"/>
  <c r="I112" i="2"/>
  <c r="L111" i="2"/>
  <c r="P110" i="2"/>
  <c r="C110" i="2"/>
  <c r="F109" i="2"/>
  <c r="J108" i="2"/>
  <c r="N107" i="2"/>
  <c r="A107" i="2"/>
  <c r="E106" i="2"/>
  <c r="I105" i="2"/>
  <c r="M104" i="2"/>
  <c r="Q103" i="2"/>
  <c r="D103" i="2"/>
  <c r="H102" i="2"/>
  <c r="L101" i="2"/>
  <c r="O100" i="2"/>
  <c r="C100" i="2"/>
  <c r="H99" i="2"/>
  <c r="M98" i="2"/>
  <c r="A98" i="2"/>
  <c r="F97" i="2"/>
  <c r="K96" i="2"/>
  <c r="P95" i="2"/>
  <c r="D95" i="2"/>
  <c r="I94" i="2"/>
  <c r="N93" i="2"/>
  <c r="B93" i="2"/>
  <c r="G92" i="2"/>
  <c r="L91" i="2"/>
  <c r="Q90" i="2"/>
  <c r="E90" i="2"/>
  <c r="J89" i="2"/>
  <c r="O88" i="2"/>
  <c r="C88" i="2"/>
  <c r="H87" i="2"/>
  <c r="M86" i="2"/>
  <c r="A86" i="2"/>
  <c r="F85" i="2"/>
  <c r="K84" i="2"/>
  <c r="P83" i="2"/>
  <c r="D83" i="2"/>
  <c r="I82" i="2"/>
  <c r="N81" i="2"/>
  <c r="B81" i="2"/>
  <c r="G80" i="2"/>
  <c r="L79" i="2"/>
  <c r="Q78" i="2"/>
  <c r="E78" i="2"/>
  <c r="J77" i="2"/>
  <c r="O76" i="2"/>
  <c r="C76" i="2"/>
  <c r="H75" i="2"/>
  <c r="M74" i="2"/>
  <c r="A74" i="2"/>
  <c r="F73" i="2"/>
  <c r="K72" i="2"/>
  <c r="P71" i="2"/>
  <c r="D71" i="2"/>
  <c r="I70" i="2"/>
  <c r="N69" i="2"/>
  <c r="B69" i="2"/>
  <c r="G68" i="2"/>
  <c r="L67" i="2"/>
  <c r="Q66" i="2"/>
  <c r="E66" i="2"/>
  <c r="J65" i="2"/>
  <c r="O64" i="2"/>
  <c r="C64" i="2"/>
  <c r="H63" i="2"/>
  <c r="M62" i="2"/>
  <c r="A62" i="2"/>
  <c r="F61" i="2"/>
  <c r="K60" i="2"/>
  <c r="P59" i="2"/>
  <c r="D59" i="2"/>
  <c r="I58" i="2"/>
  <c r="N57" i="2"/>
  <c r="B57" i="2"/>
  <c r="G56" i="2"/>
  <c r="L55" i="2"/>
  <c r="L310" i="2"/>
  <c r="F299" i="2"/>
  <c r="N290" i="2"/>
  <c r="D285" i="2"/>
  <c r="N279" i="2"/>
  <c r="M274" i="2"/>
  <c r="F270" i="2"/>
  <c r="E266" i="2"/>
  <c r="B262" i="2"/>
  <c r="B258" i="2"/>
  <c r="Q253" i="2"/>
  <c r="P249" i="2"/>
  <c r="B246" i="2"/>
  <c r="F242" i="2"/>
  <c r="I238" i="2"/>
  <c r="B235" i="2"/>
  <c r="A232" i="2"/>
  <c r="N229" i="2"/>
  <c r="L227" i="2"/>
  <c r="K225" i="2"/>
  <c r="J223" i="2"/>
  <c r="I221" i="2"/>
  <c r="H219" i="2"/>
  <c r="H217" i="2"/>
  <c r="G215" i="2"/>
  <c r="F213" i="2"/>
  <c r="G211" i="2"/>
  <c r="I209" i="2"/>
  <c r="K207" i="2"/>
  <c r="M205" i="2"/>
  <c r="O203" i="2"/>
  <c r="Q201" i="2"/>
  <c r="B200" i="2"/>
  <c r="D198" i="2"/>
  <c r="F196" i="2"/>
  <c r="H194" i="2"/>
  <c r="J192" i="2"/>
  <c r="L190" i="2"/>
  <c r="N188" i="2"/>
  <c r="P186" i="2"/>
  <c r="A185" i="2"/>
  <c r="C183" i="2"/>
  <c r="E181" i="2"/>
  <c r="G179" i="2"/>
  <c r="I177" i="2"/>
  <c r="K175" i="2"/>
  <c r="M173" i="2"/>
  <c r="O171" i="2"/>
  <c r="Q169" i="2"/>
  <c r="B168" i="2"/>
  <c r="D166" i="2"/>
  <c r="F164" i="2"/>
  <c r="H162" i="2"/>
  <c r="J160" i="2"/>
  <c r="L158" i="2"/>
  <c r="N156" i="2"/>
  <c r="B155" i="2"/>
  <c r="G153" i="2"/>
  <c r="L151" i="2"/>
  <c r="Q149" i="2"/>
  <c r="F148" i="2"/>
  <c r="L146" i="2"/>
  <c r="Q144" i="2"/>
  <c r="G143" i="2"/>
  <c r="N141" i="2"/>
  <c r="J140" i="2"/>
  <c r="E139" i="2"/>
  <c r="A138" i="2"/>
  <c r="M136" i="2"/>
  <c r="I135" i="2"/>
  <c r="E134" i="2"/>
  <c r="Q132" i="2"/>
  <c r="M131" i="2"/>
  <c r="H130" i="2"/>
  <c r="E129" i="2"/>
  <c r="Q127" i="2"/>
  <c r="M126" i="2"/>
  <c r="H125" i="2"/>
  <c r="D124" i="2"/>
  <c r="Q122" i="2"/>
  <c r="L121" i="2"/>
  <c r="H120" i="2"/>
  <c r="H119" i="2"/>
  <c r="G118" i="2"/>
  <c r="G117" i="2"/>
  <c r="F116" i="2"/>
  <c r="F115" i="2"/>
  <c r="F114" i="2"/>
  <c r="F113" i="2"/>
  <c r="H112" i="2"/>
  <c r="K111" i="2"/>
  <c r="O110" i="2"/>
  <c r="A110" i="2"/>
  <c r="E109" i="2"/>
  <c r="I108" i="2"/>
  <c r="M107" i="2"/>
  <c r="Q106" i="2"/>
  <c r="D106" i="2"/>
  <c r="H105" i="2"/>
  <c r="L104" i="2"/>
  <c r="P103" i="2"/>
  <c r="C103" i="2"/>
  <c r="G102" i="2"/>
  <c r="J101" i="2"/>
  <c r="N100" i="2"/>
  <c r="B100" i="2"/>
  <c r="G99" i="2"/>
  <c r="L98" i="2"/>
  <c r="Q97" i="2"/>
  <c r="E97" i="2"/>
  <c r="J96" i="2"/>
  <c r="O95" i="2"/>
  <c r="C95" i="2"/>
  <c r="H94" i="2"/>
  <c r="M93" i="2"/>
  <c r="A93" i="2"/>
  <c r="F92" i="2"/>
  <c r="K91" i="2"/>
  <c r="P90" i="2"/>
  <c r="D90" i="2"/>
  <c r="I89" i="2"/>
  <c r="N88" i="2"/>
  <c r="B88" i="2"/>
  <c r="G87" i="2"/>
  <c r="L86" i="2"/>
  <c r="Q85" i="2"/>
  <c r="E85" i="2"/>
  <c r="J84" i="2"/>
  <c r="O83" i="2"/>
  <c r="C83" i="2"/>
  <c r="H82" i="2"/>
  <c r="M81" i="2"/>
  <c r="A81" i="2"/>
  <c r="F80" i="2"/>
  <c r="K79" i="2"/>
  <c r="P78" i="2"/>
  <c r="D78" i="2"/>
  <c r="I77" i="2"/>
  <c r="N76" i="2"/>
  <c r="B76" i="2"/>
  <c r="G75" i="2"/>
  <c r="L74" i="2"/>
  <c r="Q73" i="2"/>
  <c r="E73" i="2"/>
  <c r="J72" i="2"/>
  <c r="O71" i="2"/>
  <c r="C71" i="2"/>
  <c r="H70" i="2"/>
  <c r="M69" i="2"/>
  <c r="A69" i="2"/>
  <c r="F68" i="2"/>
  <c r="K67" i="2"/>
  <c r="P66" i="2"/>
  <c r="D66" i="2"/>
  <c r="I65" i="2"/>
  <c r="N64" i="2"/>
  <c r="B64" i="2"/>
  <c r="F302" i="2"/>
  <c r="D289" i="2"/>
  <c r="E281" i="2"/>
  <c r="K273" i="2"/>
  <c r="G267" i="2"/>
  <c r="A261" i="2"/>
  <c r="A255" i="2"/>
  <c r="O248" i="2"/>
  <c r="F243" i="2"/>
  <c r="I237" i="2"/>
  <c r="L232" i="2"/>
  <c r="C229" i="2"/>
  <c r="D226" i="2"/>
  <c r="Q222" i="2"/>
  <c r="A220" i="2"/>
  <c r="O216" i="2"/>
  <c r="P213" i="2"/>
  <c r="O210" i="2"/>
  <c r="C208" i="2"/>
  <c r="D205" i="2"/>
  <c r="I202" i="2"/>
  <c r="J199" i="2"/>
  <c r="O196" i="2"/>
  <c r="P193" i="2"/>
  <c r="D191" i="2"/>
  <c r="E188" i="2"/>
  <c r="J185" i="2"/>
  <c r="K182" i="2"/>
  <c r="P179" i="2"/>
  <c r="Q176" i="2"/>
  <c r="E174" i="2"/>
  <c r="F171" i="2"/>
  <c r="K168" i="2"/>
  <c r="L165" i="2"/>
  <c r="Q162" i="2"/>
  <c r="A160" i="2"/>
  <c r="F157" i="2"/>
  <c r="J154" i="2"/>
  <c r="B152" i="2"/>
  <c r="J149" i="2"/>
  <c r="B147" i="2"/>
  <c r="J144" i="2"/>
  <c r="D142" i="2"/>
  <c r="D140" i="2"/>
  <c r="F138" i="2"/>
  <c r="H136" i="2"/>
  <c r="J134" i="2"/>
  <c r="L132" i="2"/>
  <c r="N130" i="2"/>
  <c r="P128" i="2"/>
  <c r="A127" i="2"/>
  <c r="C125" i="2"/>
  <c r="E123" i="2"/>
  <c r="G121" i="2"/>
  <c r="M119" i="2"/>
  <c r="C118" i="2"/>
  <c r="K116" i="2"/>
  <c r="C115" i="2"/>
  <c r="I113" i="2"/>
  <c r="C112" i="2"/>
  <c r="A111" i="2"/>
  <c r="O109" i="2"/>
  <c r="M108" i="2"/>
  <c r="J107" i="2"/>
  <c r="G106" i="2"/>
  <c r="E105" i="2"/>
  <c r="B104" i="2"/>
  <c r="P102" i="2"/>
  <c r="N101" i="2"/>
  <c r="K100" i="2"/>
  <c r="J99" i="2"/>
  <c r="I98" i="2"/>
  <c r="H97" i="2"/>
  <c r="G96" i="2"/>
  <c r="F95" i="2"/>
  <c r="E94" i="2"/>
  <c r="D93" i="2"/>
  <c r="C92" i="2"/>
  <c r="B91" i="2"/>
  <c r="A90" i="2"/>
  <c r="Q88" i="2"/>
  <c r="P87" i="2"/>
  <c r="O86" i="2"/>
  <c r="N85" i="2"/>
  <c r="M84" i="2"/>
  <c r="L83" i="2"/>
  <c r="A298" i="2"/>
  <c r="G287" i="2"/>
  <c r="C279" i="2"/>
  <c r="J272" i="2"/>
  <c r="O265" i="2"/>
  <c r="L259" i="2"/>
  <c r="I253" i="2"/>
  <c r="Q247" i="2"/>
  <c r="P241" i="2"/>
  <c r="G236" i="2"/>
  <c r="O231" i="2"/>
  <c r="M228" i="2"/>
  <c r="H225" i="2"/>
  <c r="G222" i="2"/>
  <c r="E219" i="2"/>
  <c r="G216" i="2"/>
  <c r="B213" i="2"/>
  <c r="E210" i="2"/>
  <c r="H207" i="2"/>
  <c r="N204" i="2"/>
  <c r="N201" i="2"/>
  <c r="Q198" i="2"/>
  <c r="C196" i="2"/>
  <c r="I193" i="2"/>
  <c r="I190" i="2"/>
  <c r="L187" i="2"/>
  <c r="O184" i="2"/>
  <c r="D182" i="2"/>
  <c r="D179" i="2"/>
  <c r="G176" i="2"/>
  <c r="J173" i="2"/>
  <c r="P170" i="2"/>
  <c r="P167" i="2"/>
  <c r="B165" i="2"/>
  <c r="E162" i="2"/>
  <c r="K159" i="2"/>
  <c r="K156" i="2"/>
  <c r="D154" i="2"/>
  <c r="J151" i="2"/>
  <c r="C149" i="2"/>
  <c r="K146" i="2"/>
  <c r="D144" i="2"/>
  <c r="M141" i="2"/>
  <c r="P139" i="2"/>
  <c r="P137" i="2"/>
  <c r="B136" i="2"/>
  <c r="D134" i="2"/>
  <c r="G132" i="2"/>
  <c r="G130" i="2"/>
  <c r="K128" i="2"/>
  <c r="K126" i="2"/>
  <c r="N124" i="2"/>
  <c r="P122" i="2"/>
  <c r="L296" i="2"/>
  <c r="Q286" i="2"/>
  <c r="Q278" i="2"/>
  <c r="P271" i="2"/>
  <c r="G265" i="2"/>
  <c r="I259" i="2"/>
  <c r="G253" i="2"/>
  <c r="G247" i="2"/>
  <c r="I241" i="2"/>
  <c r="D236" i="2"/>
  <c r="M231" i="2"/>
  <c r="G228" i="2"/>
  <c r="D225" i="2"/>
  <c r="D222" i="2"/>
  <c r="C219" i="2"/>
  <c r="B216" i="2"/>
  <c r="O212" i="2"/>
  <c r="C210" i="2"/>
  <c r="F207" i="2"/>
  <c r="I204" i="2"/>
  <c r="J201" i="2"/>
  <c r="O198" i="2"/>
  <c r="A196" i="2"/>
  <c r="D193" i="2"/>
  <c r="E190" i="2"/>
  <c r="J187" i="2"/>
  <c r="M184" i="2"/>
  <c r="P181" i="2"/>
  <c r="Q178" i="2"/>
  <c r="E176" i="2"/>
  <c r="H173" i="2"/>
  <c r="K170" i="2"/>
  <c r="L167" i="2"/>
  <c r="Q164" i="2"/>
  <c r="C162" i="2"/>
  <c r="F159" i="2"/>
  <c r="G156" i="2"/>
  <c r="N153" i="2"/>
  <c r="G151" i="2"/>
  <c r="O148" i="2"/>
  <c r="F146" i="2"/>
  <c r="O143" i="2"/>
  <c r="J141" i="2"/>
  <c r="K139" i="2"/>
  <c r="N137" i="2"/>
  <c r="P135" i="2"/>
  <c r="Q133" i="2"/>
  <c r="C132" i="2"/>
  <c r="E130" i="2"/>
  <c r="F128" i="2"/>
  <c r="I126" i="2"/>
  <c r="K124" i="2"/>
  <c r="L122" i="2"/>
  <c r="O120" i="2"/>
  <c r="E119" i="2"/>
  <c r="M117" i="2"/>
  <c r="D116" i="2"/>
  <c r="K114" i="2"/>
  <c r="C113" i="2"/>
  <c r="O111" i="2"/>
  <c r="L110" i="2"/>
  <c r="J109" i="2"/>
  <c r="G108" i="2"/>
  <c r="D107" i="2"/>
  <c r="B106" i="2"/>
  <c r="P104" i="2"/>
  <c r="N103" i="2"/>
  <c r="K102" i="2"/>
  <c r="H101" i="2"/>
  <c r="F100" i="2"/>
  <c r="E99" i="2"/>
  <c r="D98" i="2"/>
  <c r="C97" i="2"/>
  <c r="B96" i="2"/>
  <c r="A95" i="2"/>
  <c r="Q93" i="2"/>
  <c r="P92" i="2"/>
  <c r="O91" i="2"/>
  <c r="N90" i="2"/>
  <c r="M89" i="2"/>
  <c r="L88" i="2"/>
  <c r="K87" i="2"/>
  <c r="J86" i="2"/>
  <c r="I85" i="2"/>
  <c r="H84" i="2"/>
  <c r="H296" i="2"/>
  <c r="M286" i="2"/>
  <c r="D278" i="2"/>
  <c r="J271" i="2"/>
  <c r="B265" i="2"/>
  <c r="D259" i="2"/>
  <c r="M252" i="2"/>
  <c r="C247" i="2"/>
  <c r="D241" i="2"/>
  <c r="Q235" i="2"/>
  <c r="H231" i="2"/>
  <c r="E228" i="2"/>
  <c r="A225" i="2"/>
  <c r="B222" i="2"/>
  <c r="P218" i="2"/>
  <c r="P215" i="2"/>
  <c r="M212" i="2"/>
  <c r="A210" i="2"/>
  <c r="B207" i="2"/>
  <c r="G204" i="2"/>
  <c r="H201" i="2"/>
  <c r="M198" i="2"/>
  <c r="N195" i="2"/>
  <c r="B193" i="2"/>
  <c r="C190" i="2"/>
  <c r="H187" i="2"/>
  <c r="I184" i="2"/>
  <c r="N181" i="2"/>
  <c r="O178" i="2"/>
  <c r="C176" i="2"/>
  <c r="D173" i="2"/>
  <c r="I170" i="2"/>
  <c r="J167" i="2"/>
  <c r="O164" i="2"/>
  <c r="P161" i="2"/>
  <c r="D159" i="2"/>
  <c r="E156" i="2"/>
  <c r="M153" i="2"/>
  <c r="F151" i="2"/>
  <c r="M148" i="2"/>
  <c r="D146" i="2"/>
  <c r="N143" i="2"/>
  <c r="H141" i="2"/>
  <c r="J139" i="2"/>
  <c r="M137" i="2"/>
  <c r="N135" i="2"/>
  <c r="P133" i="2"/>
  <c r="B132" i="2"/>
  <c r="C130" i="2"/>
  <c r="E128" i="2"/>
  <c r="H126" i="2"/>
  <c r="I124" i="2"/>
  <c r="K122" i="2"/>
  <c r="D307" i="2"/>
  <c r="P292" i="2"/>
  <c r="G283" i="2"/>
  <c r="D276" i="2"/>
  <c r="A269" i="2"/>
  <c r="G263" i="2"/>
  <c r="O256" i="2"/>
  <c r="C251" i="2"/>
  <c r="O244" i="2"/>
  <c r="M239" i="2"/>
  <c r="A234" i="2"/>
  <c r="I230" i="2"/>
  <c r="A227" i="2"/>
  <c r="D224" i="2"/>
  <c r="O220" i="2"/>
  <c r="A218" i="2"/>
  <c r="M214" i="2"/>
  <c r="Q211" i="2"/>
  <c r="P208" i="2"/>
  <c r="F206" i="2"/>
  <c r="E203" i="2"/>
  <c r="L200" i="2"/>
  <c r="K197" i="2"/>
  <c r="A195" i="2"/>
  <c r="Q191" i="2"/>
  <c r="G189" i="2"/>
  <c r="F186" i="2"/>
  <c r="M183" i="2"/>
  <c r="L180" i="2"/>
  <c r="B178" i="2"/>
  <c r="A175" i="2"/>
  <c r="H172" i="2"/>
  <c r="G169" i="2"/>
  <c r="N166" i="2"/>
  <c r="M163" i="2"/>
  <c r="C161" i="2"/>
  <c r="B158" i="2"/>
  <c r="I155" i="2"/>
  <c r="O152" i="2"/>
  <c r="H150" i="2"/>
  <c r="P147" i="2"/>
  <c r="F145" i="2"/>
  <c r="Q142" i="2"/>
  <c r="O140" i="2"/>
  <c r="P138" i="2"/>
  <c r="B137" i="2"/>
  <c r="D135" i="2"/>
  <c r="E133" i="2"/>
  <c r="H131" i="2"/>
  <c r="J129" i="2"/>
  <c r="K127" i="2"/>
  <c r="N125" i="2"/>
  <c r="P123" i="2"/>
  <c r="G306" i="2"/>
  <c r="K291" i="2"/>
  <c r="E283" i="2"/>
  <c r="H275" i="2"/>
  <c r="P268" i="2"/>
  <c r="L262" i="2"/>
  <c r="K256" i="2"/>
  <c r="H250" i="2"/>
  <c r="M244" i="2"/>
  <c r="Q238" i="2"/>
  <c r="O233" i="2"/>
  <c r="D230" i="2"/>
  <c r="Q226" i="2"/>
  <c r="O223" i="2"/>
  <c r="N220" i="2"/>
  <c r="M217" i="2"/>
  <c r="L214" i="2"/>
  <c r="K211" i="2"/>
  <c r="O208" i="2"/>
  <c r="A206" i="2"/>
  <c r="D203" i="2"/>
  <c r="F200" i="2"/>
  <c r="J197" i="2"/>
  <c r="M194" i="2"/>
  <c r="P191" i="2"/>
  <c r="A189" i="2"/>
  <c r="E186" i="2"/>
  <c r="H183" i="2"/>
  <c r="K180" i="2"/>
  <c r="M177" i="2"/>
  <c r="Q174" i="2"/>
  <c r="C172" i="2"/>
  <c r="F169" i="2"/>
  <c r="H166" i="2"/>
  <c r="L163" i="2"/>
  <c r="O160" i="2"/>
  <c r="A158" i="2"/>
  <c r="E155" i="2"/>
  <c r="N152" i="2"/>
  <c r="F150" i="2"/>
  <c r="N147" i="2"/>
  <c r="E145" i="2"/>
  <c r="P142" i="2"/>
  <c r="M140" i="2"/>
  <c r="O138" i="2"/>
  <c r="A137" i="2"/>
  <c r="B135" i="2"/>
  <c r="D133" i="2"/>
  <c r="G131" i="2"/>
  <c r="H129" i="2"/>
  <c r="J127" i="2"/>
  <c r="M125" i="2"/>
  <c r="N123" i="2"/>
  <c r="A296" i="2"/>
  <c r="B278" i="2"/>
  <c r="Q264" i="2"/>
  <c r="L252" i="2"/>
  <c r="B241" i="2"/>
  <c r="F231" i="2"/>
  <c r="Q224" i="2"/>
  <c r="O218" i="2"/>
  <c r="L212" i="2"/>
  <c r="A207" i="2"/>
  <c r="G201" i="2"/>
  <c r="M195" i="2"/>
  <c r="B190" i="2"/>
  <c r="H184" i="2"/>
  <c r="N178" i="2"/>
  <c r="C173" i="2"/>
  <c r="I167" i="2"/>
  <c r="O161" i="2"/>
  <c r="D156" i="2"/>
  <c r="C151" i="2"/>
  <c r="B146" i="2"/>
  <c r="G141" i="2"/>
  <c r="K137" i="2"/>
  <c r="O133" i="2"/>
  <c r="B130" i="2"/>
  <c r="F126" i="2"/>
  <c r="J122" i="2"/>
  <c r="E120" i="2"/>
  <c r="J118" i="2"/>
  <c r="L116" i="2"/>
  <c r="N114" i="2"/>
  <c r="P112" i="2"/>
  <c r="H111" i="2"/>
  <c r="D110" i="2"/>
  <c r="G107" i="2"/>
  <c r="Q105" i="2"/>
  <c r="J104" i="2"/>
  <c r="E103" i="2"/>
  <c r="O101" i="2"/>
  <c r="H100" i="2"/>
  <c r="C99" i="2"/>
  <c r="O97" i="2"/>
  <c r="L96" i="2"/>
  <c r="G95" i="2"/>
  <c r="B94" i="2"/>
  <c r="N92" i="2"/>
  <c r="I91" i="2"/>
  <c r="F90" i="2"/>
  <c r="A89" i="2"/>
  <c r="M87" i="2"/>
  <c r="H86" i="2"/>
  <c r="C85" i="2"/>
  <c r="Q83" i="2"/>
  <c r="N82" i="2"/>
  <c r="L81" i="2"/>
  <c r="L80" i="2"/>
  <c r="J79" i="2"/>
  <c r="J78" i="2"/>
  <c r="H77" i="2"/>
  <c r="H76" i="2"/>
  <c r="F75" i="2"/>
  <c r="F74" i="2"/>
  <c r="D73" i="2"/>
  <c r="B71" i="2"/>
  <c r="B70" i="2"/>
  <c r="Q68" i="2"/>
  <c r="Q67" i="2"/>
  <c r="O66" i="2"/>
  <c r="O65" i="2"/>
  <c r="M64" i="2"/>
  <c r="M63" i="2"/>
  <c r="P62" i="2"/>
  <c r="B62" i="2"/>
  <c r="D61" i="2"/>
  <c r="G60" i="2"/>
  <c r="I59" i="2"/>
  <c r="L58" i="2"/>
  <c r="O57" i="2"/>
  <c r="Q56" i="2"/>
  <c r="C56" i="2"/>
  <c r="E55" i="2"/>
  <c r="O53" i="2"/>
  <c r="C53" i="2"/>
  <c r="H52" i="2"/>
  <c r="M51" i="2"/>
  <c r="A51" i="2"/>
  <c r="F50" i="2"/>
  <c r="K49" i="2"/>
  <c r="P48" i="2"/>
  <c r="D48" i="2"/>
  <c r="I47" i="2"/>
  <c r="N46" i="2"/>
  <c r="G45" i="2"/>
  <c r="L44" i="2"/>
  <c r="Q43" i="2"/>
  <c r="E43" i="2"/>
  <c r="J42" i="2"/>
  <c r="O41" i="2"/>
  <c r="H40" i="2"/>
  <c r="M39" i="2"/>
  <c r="A39" i="2"/>
  <c r="K37" i="2"/>
  <c r="P36" i="2"/>
  <c r="G294" i="2"/>
  <c r="K276" i="2"/>
  <c r="D264" i="2"/>
  <c r="I251" i="2"/>
  <c r="H240" i="2"/>
  <c r="M230" i="2"/>
  <c r="K224" i="2"/>
  <c r="E218" i="2"/>
  <c r="F212" i="2"/>
  <c r="I206" i="2"/>
  <c r="A201" i="2"/>
  <c r="D195" i="2"/>
  <c r="M189" i="2"/>
  <c r="P183" i="2"/>
  <c r="H178" i="2"/>
  <c r="K172" i="2"/>
  <c r="C167" i="2"/>
  <c r="F161" i="2"/>
  <c r="O155" i="2"/>
  <c r="O150" i="2"/>
  <c r="N145" i="2"/>
  <c r="C141" i="2"/>
  <c r="G137" i="2"/>
  <c r="K133" i="2"/>
  <c r="O129" i="2"/>
  <c r="B126" i="2"/>
  <c r="F122" i="2"/>
  <c r="D120" i="2"/>
  <c r="F118" i="2"/>
  <c r="J116" i="2"/>
  <c r="J114" i="2"/>
  <c r="N112" i="2"/>
  <c r="G111" i="2"/>
  <c r="Q109" i="2"/>
  <c r="K108" i="2"/>
  <c r="C107" i="2"/>
  <c r="N105" i="2"/>
  <c r="I104" i="2"/>
  <c r="B103" i="2"/>
  <c r="M101" i="2"/>
  <c r="E100" i="2"/>
  <c r="A99" i="2"/>
  <c r="N97" i="2"/>
  <c r="I96" i="2"/>
  <c r="E95" i="2"/>
  <c r="P93" i="2"/>
  <c r="L92" i="2"/>
  <c r="H91" i="2"/>
  <c r="C90" i="2"/>
  <c r="P88" i="2"/>
  <c r="J87" i="2"/>
  <c r="F86" i="2"/>
  <c r="B85" i="2"/>
  <c r="N83" i="2"/>
  <c r="L82" i="2"/>
  <c r="K81" i="2"/>
  <c r="J80" i="2"/>
  <c r="I79" i="2"/>
  <c r="H78" i="2"/>
  <c r="G77" i="2"/>
  <c r="F76" i="2"/>
  <c r="E75" i="2"/>
  <c r="D74" i="2"/>
  <c r="C73" i="2"/>
  <c r="B72" i="2"/>
  <c r="A71" i="2"/>
  <c r="Q69" i="2"/>
  <c r="P68" i="2"/>
  <c r="O67" i="2"/>
  <c r="N66" i="2"/>
  <c r="M65" i="2"/>
  <c r="L64" i="2"/>
  <c r="L63" i="2"/>
  <c r="O62" i="2"/>
  <c r="Q61" i="2"/>
  <c r="C61" i="2"/>
  <c r="F60" i="2"/>
  <c r="H59" i="2"/>
  <c r="K58" i="2"/>
  <c r="M57" i="2"/>
  <c r="P56" i="2"/>
  <c r="B56" i="2"/>
  <c r="D55" i="2"/>
  <c r="I54" i="2"/>
  <c r="N53" i="2"/>
  <c r="I289" i="2"/>
  <c r="N273" i="2"/>
  <c r="H261" i="2"/>
  <c r="Q248" i="2"/>
  <c r="N237" i="2"/>
  <c r="F229" i="2"/>
  <c r="D223" i="2"/>
  <c r="Q216" i="2"/>
  <c r="A211" i="2"/>
  <c r="F205" i="2"/>
  <c r="M199" i="2"/>
  <c r="A194" i="2"/>
  <c r="H188" i="2"/>
  <c r="M182" i="2"/>
  <c r="C177" i="2"/>
  <c r="H171" i="2"/>
  <c r="O165" i="2"/>
  <c r="C160" i="2"/>
  <c r="N154" i="2"/>
  <c r="O149" i="2"/>
  <c r="N144" i="2"/>
  <c r="F140" i="2"/>
  <c r="K136" i="2"/>
  <c r="O132" i="2"/>
  <c r="A129" i="2"/>
  <c r="F125" i="2"/>
  <c r="P121" i="2"/>
  <c r="N119" i="2"/>
  <c r="Q117" i="2"/>
  <c r="A116" i="2"/>
  <c r="C114" i="2"/>
  <c r="J112" i="2"/>
  <c r="B111" i="2"/>
  <c r="L109" i="2"/>
  <c r="E108" i="2"/>
  <c r="O106" i="2"/>
  <c r="J105" i="2"/>
  <c r="C104" i="2"/>
  <c r="M102" i="2"/>
  <c r="F101" i="2"/>
  <c r="Q99" i="2"/>
  <c r="N98" i="2"/>
  <c r="I97" i="2"/>
  <c r="D96" i="2"/>
  <c r="P94" i="2"/>
  <c r="K93" i="2"/>
  <c r="H92" i="2"/>
  <c r="C91" i="2"/>
  <c r="O89" i="2"/>
  <c r="J88" i="2"/>
  <c r="E87" i="2"/>
  <c r="B86" i="2"/>
  <c r="N84" i="2"/>
  <c r="I83" i="2"/>
  <c r="G82" i="2"/>
  <c r="G81" i="2"/>
  <c r="E80" i="2"/>
  <c r="E79" i="2"/>
  <c r="C78" i="2"/>
  <c r="C77" i="2"/>
  <c r="A76" i="2"/>
  <c r="A75" i="2"/>
  <c r="P73" i="2"/>
  <c r="P72" i="2"/>
  <c r="N71" i="2"/>
  <c r="N70" i="2"/>
  <c r="L69" i="2"/>
  <c r="L68" i="2"/>
  <c r="J67" i="2"/>
  <c r="J66" i="2"/>
  <c r="H65" i="2"/>
  <c r="H64" i="2"/>
  <c r="I63" i="2"/>
  <c r="K62" i="2"/>
  <c r="N61" i="2"/>
  <c r="P60" i="2"/>
  <c r="B60" i="2"/>
  <c r="E59" i="2"/>
  <c r="G58" i="2"/>
  <c r="J57" i="2"/>
  <c r="L56" i="2"/>
  <c r="O55" i="2"/>
  <c r="A55" i="2"/>
  <c r="F54" i="2"/>
  <c r="K53" i="2"/>
  <c r="P52" i="2"/>
  <c r="D52" i="2"/>
  <c r="I51" i="2"/>
  <c r="N50" i="2"/>
  <c r="B50" i="2"/>
  <c r="G49" i="2"/>
  <c r="L48" i="2"/>
  <c r="Q47" i="2"/>
  <c r="E47" i="2"/>
  <c r="J46" i="2"/>
  <c r="O45" i="2"/>
  <c r="C45" i="2"/>
  <c r="H44" i="2"/>
  <c r="M43" i="2"/>
  <c r="A43" i="2"/>
  <c r="F42" i="2"/>
  <c r="K41" i="2"/>
  <c r="P40" i="2"/>
  <c r="D40" i="2"/>
  <c r="I39" i="2"/>
  <c r="N38" i="2"/>
  <c r="B38" i="2"/>
  <c r="G37" i="2"/>
  <c r="L36" i="2"/>
  <c r="Q35" i="2"/>
  <c r="E35" i="2"/>
  <c r="J34" i="2"/>
  <c r="O33" i="2"/>
  <c r="C33" i="2"/>
  <c r="H32" i="2"/>
  <c r="M31" i="2"/>
  <c r="A31" i="2"/>
  <c r="F30" i="2"/>
  <c r="K29" i="2"/>
  <c r="P28" i="2"/>
  <c r="D28" i="2"/>
  <c r="I27" i="2"/>
  <c r="N26" i="2"/>
  <c r="B26" i="2"/>
  <c r="G25" i="2"/>
  <c r="L24" i="2"/>
  <c r="Q23" i="2"/>
  <c r="E23" i="2"/>
  <c r="J22" i="2"/>
  <c r="O21" i="2"/>
  <c r="C21" i="2"/>
  <c r="H20" i="2"/>
  <c r="M19" i="2"/>
  <c r="A19" i="2"/>
  <c r="F18" i="2"/>
  <c r="K17" i="2"/>
  <c r="P16" i="2"/>
  <c r="D16" i="2"/>
  <c r="I15" i="2"/>
  <c r="N14" i="2"/>
  <c r="B14" i="2"/>
  <c r="G13" i="2"/>
  <c r="L12" i="2"/>
  <c r="Q11" i="2"/>
  <c r="E11" i="2"/>
  <c r="J10" i="2"/>
  <c r="O9" i="2"/>
  <c r="C9" i="2"/>
  <c r="H8" i="2"/>
  <c r="M7" i="2"/>
  <c r="A7" i="2"/>
  <c r="F6" i="2"/>
  <c r="K5" i="2"/>
  <c r="P4" i="2"/>
  <c r="D4" i="2"/>
  <c r="I3" i="2"/>
  <c r="N2" i="2"/>
  <c r="B2" i="2"/>
  <c r="G1" i="2"/>
  <c r="L288" i="2"/>
  <c r="E273" i="2"/>
  <c r="M260" i="2"/>
  <c r="I248" i="2"/>
  <c r="E237" i="2"/>
  <c r="A229" i="2"/>
  <c r="O222" i="2"/>
  <c r="M216" i="2"/>
  <c r="M210" i="2"/>
  <c r="B205" i="2"/>
  <c r="H199" i="2"/>
  <c r="N193" i="2"/>
  <c r="C188" i="2"/>
  <c r="I182" i="2"/>
  <c r="O176" i="2"/>
  <c r="D171" i="2"/>
  <c r="J165" i="2"/>
  <c r="P159" i="2"/>
  <c r="G154" i="2"/>
  <c r="H149" i="2"/>
  <c r="F144" i="2"/>
  <c r="A140" i="2"/>
  <c r="F136" i="2"/>
  <c r="I132" i="2"/>
  <c r="M128" i="2"/>
  <c r="A125" i="2"/>
  <c r="K121" i="2"/>
  <c r="L119" i="2"/>
  <c r="K117" i="2"/>
  <c r="P115" i="2"/>
  <c r="B114" i="2"/>
  <c r="G112" i="2"/>
  <c r="Q110" i="2"/>
  <c r="I109" i="2"/>
  <c r="C108" i="2"/>
  <c r="N106" i="2"/>
  <c r="G105" i="2"/>
  <c r="A104" i="2"/>
  <c r="J102" i="2"/>
  <c r="D101" i="2"/>
  <c r="P99" i="2"/>
  <c r="K98" i="2"/>
  <c r="G97" i="2"/>
  <c r="A96" i="2"/>
  <c r="N94" i="2"/>
  <c r="J93" i="2"/>
  <c r="E92" i="2"/>
  <c r="A91" i="2"/>
  <c r="L89" i="2"/>
  <c r="H88" i="2"/>
  <c r="D87" i="2"/>
  <c r="P85" i="2"/>
  <c r="L84" i="2"/>
  <c r="G83" i="2"/>
  <c r="F82" i="2"/>
  <c r="E81" i="2"/>
  <c r="D80" i="2"/>
  <c r="C79" i="2"/>
  <c r="B78" i="2"/>
  <c r="A77" i="2"/>
  <c r="Q75" i="2"/>
  <c r="P74" i="2"/>
  <c r="O73" i="2"/>
  <c r="N72" i="2"/>
  <c r="M71" i="2"/>
  <c r="L70" i="2"/>
  <c r="K69" i="2"/>
  <c r="J68" i="2"/>
  <c r="I67" i="2"/>
  <c r="H66" i="2"/>
  <c r="G65" i="2"/>
  <c r="F64" i="2"/>
  <c r="G63" i="2"/>
  <c r="J62" i="2"/>
  <c r="M61" i="2"/>
  <c r="O60" i="2"/>
  <c r="A60" i="2"/>
  <c r="C59" i="2"/>
  <c r="F58" i="2"/>
  <c r="I57" i="2"/>
  <c r="K56" i="2"/>
  <c r="N55" i="2"/>
  <c r="Q54" i="2"/>
  <c r="E54" i="2"/>
  <c r="J53" i="2"/>
  <c r="O52" i="2"/>
  <c r="C52" i="2"/>
  <c r="H51" i="2"/>
  <c r="M50" i="2"/>
  <c r="A50" i="2"/>
  <c r="F49" i="2"/>
  <c r="K48" i="2"/>
  <c r="P47" i="2"/>
  <c r="D47" i="2"/>
  <c r="I46" i="2"/>
  <c r="N45" i="2"/>
  <c r="B45" i="2"/>
  <c r="G44" i="2"/>
  <c r="L43" i="2"/>
  <c r="Q42" i="2"/>
  <c r="E42" i="2"/>
  <c r="J41" i="2"/>
  <c r="O40" i="2"/>
  <c r="C40" i="2"/>
  <c r="H39" i="2"/>
  <c r="M38" i="2"/>
  <c r="A38" i="2"/>
  <c r="F37" i="2"/>
  <c r="K36" i="2"/>
  <c r="P35" i="2"/>
  <c r="D35" i="2"/>
  <c r="I34" i="2"/>
  <c r="N33" i="2"/>
  <c r="B33" i="2"/>
  <c r="G32" i="2"/>
  <c r="L31" i="2"/>
  <c r="Q30" i="2"/>
  <c r="E30" i="2"/>
  <c r="J29" i="2"/>
  <c r="O28" i="2"/>
  <c r="C28" i="2"/>
  <c r="H27" i="2"/>
  <c r="M26" i="2"/>
  <c r="A26" i="2"/>
  <c r="F25" i="2"/>
  <c r="K24" i="2"/>
  <c r="P23" i="2"/>
  <c r="D23" i="2"/>
  <c r="I22" i="2"/>
  <c r="N21" i="2"/>
  <c r="B21" i="2"/>
  <c r="G20" i="2"/>
  <c r="L19" i="2"/>
  <c r="Q18" i="2"/>
  <c r="E18" i="2"/>
  <c r="J17" i="2"/>
  <c r="O16" i="2"/>
  <c r="C16" i="2"/>
  <c r="H15" i="2"/>
  <c r="M14" i="2"/>
  <c r="A14" i="2"/>
  <c r="F13" i="2"/>
  <c r="K12" i="2"/>
  <c r="P11" i="2"/>
  <c r="D11" i="2"/>
  <c r="I10" i="2"/>
  <c r="N9" i="2"/>
  <c r="B9" i="2"/>
  <c r="G8" i="2"/>
  <c r="L7" i="2"/>
  <c r="Q6" i="2"/>
  <c r="E6" i="2"/>
  <c r="J5" i="2"/>
  <c r="O4" i="2"/>
  <c r="C4" i="2"/>
  <c r="H3" i="2"/>
  <c r="M2" i="2"/>
  <c r="A2" i="2"/>
  <c r="F1" i="2"/>
  <c r="A108" i="2"/>
  <c r="L71" i="2"/>
  <c r="D54" i="2"/>
  <c r="H46" i="2"/>
  <c r="I41" i="2"/>
  <c r="L38" i="2"/>
  <c r="J36" i="2"/>
  <c r="C286" i="2"/>
  <c r="P270" i="2"/>
  <c r="N258" i="2"/>
  <c r="J246" i="2"/>
  <c r="J235" i="2"/>
  <c r="P227" i="2"/>
  <c r="P221" i="2"/>
  <c r="K215" i="2"/>
  <c r="O209" i="2"/>
  <c r="B204" i="2"/>
  <c r="J198" i="2"/>
  <c r="N192" i="2"/>
  <c r="E187" i="2"/>
  <c r="I181" i="2"/>
  <c r="Q175" i="2"/>
  <c r="D170" i="2"/>
  <c r="L164" i="2"/>
  <c r="P158" i="2"/>
  <c r="L153" i="2"/>
  <c r="K148" i="2"/>
  <c r="K143" i="2"/>
  <c r="I139" i="2"/>
  <c r="M135" i="2"/>
  <c r="Q131" i="2"/>
  <c r="D128" i="2"/>
  <c r="H124" i="2"/>
  <c r="J121" i="2"/>
  <c r="G119" i="2"/>
  <c r="J117" i="2"/>
  <c r="K115" i="2"/>
  <c r="A114" i="2"/>
  <c r="F112" i="2"/>
  <c r="M110" i="2"/>
  <c r="H109" i="2"/>
  <c r="M106" i="2"/>
  <c r="F105" i="2"/>
  <c r="O103" i="2"/>
  <c r="I102" i="2"/>
  <c r="B101" i="2"/>
  <c r="O99" i="2"/>
  <c r="J98" i="2"/>
  <c r="D97" i="2"/>
  <c r="Q95" i="2"/>
  <c r="L94" i="2"/>
  <c r="I93" i="2"/>
  <c r="D92" i="2"/>
  <c r="O90" i="2"/>
  <c r="F88" i="2"/>
  <c r="C87" i="2"/>
  <c r="O85" i="2"/>
  <c r="I84" i="2"/>
  <c r="F83" i="2"/>
  <c r="E82" i="2"/>
  <c r="D81" i="2"/>
  <c r="C80" i="2"/>
  <c r="B79" i="2"/>
  <c r="A78" i="2"/>
  <c r="Q76" i="2"/>
  <c r="P75" i="2"/>
  <c r="O74" i="2"/>
  <c r="N73" i="2"/>
  <c r="M72" i="2"/>
  <c r="K70" i="2"/>
  <c r="J69" i="2"/>
  <c r="I68" i="2"/>
  <c r="H67" i="2"/>
  <c r="G66" i="2"/>
  <c r="F65" i="2"/>
  <c r="E64" i="2"/>
  <c r="F63" i="2"/>
  <c r="I62" i="2"/>
  <c r="K61" i="2"/>
  <c r="N60" i="2"/>
  <c r="Q59" i="2"/>
  <c r="B59" i="2"/>
  <c r="E58" i="2"/>
  <c r="G57" i="2"/>
  <c r="J56" i="2"/>
  <c r="M55" i="2"/>
  <c r="P54" i="2"/>
  <c r="I53" i="2"/>
  <c r="N52" i="2"/>
  <c r="B52" i="2"/>
  <c r="G51" i="2"/>
  <c r="L50" i="2"/>
  <c r="Q49" i="2"/>
  <c r="E49" i="2"/>
  <c r="J48" i="2"/>
  <c r="O47" i="2"/>
  <c r="C47" i="2"/>
  <c r="M45" i="2"/>
  <c r="A45" i="2"/>
  <c r="F44" i="2"/>
  <c r="K43" i="2"/>
  <c r="P42" i="2"/>
  <c r="D42" i="2"/>
  <c r="N40" i="2"/>
  <c r="B40" i="2"/>
  <c r="G39" i="2"/>
  <c r="Q37" i="2"/>
  <c r="E37" i="2"/>
  <c r="J308" i="2"/>
  <c r="B284" i="2"/>
  <c r="L269" i="2"/>
  <c r="F257" i="2"/>
  <c r="H245" i="2"/>
  <c r="G234" i="2"/>
  <c r="G227" i="2"/>
  <c r="C221" i="2"/>
  <c r="A215" i="2"/>
  <c r="C209" i="2"/>
  <c r="J203" i="2"/>
  <c r="O197" i="2"/>
  <c r="E192" i="2"/>
  <c r="J186" i="2"/>
  <c r="Q180" i="2"/>
  <c r="E175" i="2"/>
  <c r="L169" i="2"/>
  <c r="Q163" i="2"/>
  <c r="G158" i="2"/>
  <c r="A153" i="2"/>
  <c r="A148" i="2"/>
  <c r="B143" i="2"/>
  <c r="A139" i="2"/>
  <c r="E135" i="2"/>
  <c r="I131" i="2"/>
  <c r="M127" i="2"/>
  <c r="Q123" i="2"/>
  <c r="B121" i="2"/>
  <c r="B119" i="2"/>
  <c r="E117" i="2"/>
  <c r="I115" i="2"/>
  <c r="K113" i="2"/>
  <c r="Q111" i="2"/>
  <c r="J110" i="2"/>
  <c r="C109" i="2"/>
  <c r="O107" i="2"/>
  <c r="H106" i="2"/>
  <c r="A105" i="2"/>
  <c r="K103" i="2"/>
  <c r="D102" i="2"/>
  <c r="Q100" i="2"/>
  <c r="K99" i="2"/>
  <c r="F98" i="2"/>
  <c r="A97" i="2"/>
  <c r="M95" i="2"/>
  <c r="J94" i="2"/>
  <c r="E93" i="2"/>
  <c r="Q91" i="2"/>
  <c r="L90" i="2"/>
  <c r="G89" i="2"/>
  <c r="D88" i="2"/>
  <c r="P86" i="2"/>
  <c r="K85" i="2"/>
  <c r="F84" i="2"/>
  <c r="B83" i="2"/>
  <c r="B82" i="2"/>
  <c r="Q80" i="2"/>
  <c r="Q79" i="2"/>
  <c r="O78" i="2"/>
  <c r="O77" i="2"/>
  <c r="M76" i="2"/>
  <c r="M75" i="2"/>
  <c r="K74" i="2"/>
  <c r="K73" i="2"/>
  <c r="I72" i="2"/>
  <c r="I71" i="2"/>
  <c r="G70" i="2"/>
  <c r="G69" i="2"/>
  <c r="E68" i="2"/>
  <c r="E67" i="2"/>
  <c r="C66" i="2"/>
  <c r="C65" i="2"/>
  <c r="A64" i="2"/>
  <c r="D63" i="2"/>
  <c r="F62" i="2"/>
  <c r="I61" i="2"/>
  <c r="L60" i="2"/>
  <c r="N59" i="2"/>
  <c r="Q58" i="2"/>
  <c r="B58" i="2"/>
  <c r="E57" i="2"/>
  <c r="H56" i="2"/>
  <c r="J55" i="2"/>
  <c r="N54" i="2"/>
  <c r="B54" i="2"/>
  <c r="F301" i="2"/>
  <c r="H280" i="2"/>
  <c r="O266" i="2"/>
  <c r="J254" i="2"/>
  <c r="P242" i="2"/>
  <c r="G232" i="2"/>
  <c r="Q225" i="2"/>
  <c r="M219" i="2"/>
  <c r="K213" i="2"/>
  <c r="O207" i="2"/>
  <c r="E202" i="2"/>
  <c r="J196" i="2"/>
  <c r="Q190" i="2"/>
  <c r="E185" i="2"/>
  <c r="L179" i="2"/>
  <c r="Q173" i="2"/>
  <c r="G168" i="2"/>
  <c r="L162" i="2"/>
  <c r="B157" i="2"/>
  <c r="O151" i="2"/>
  <c r="N146" i="2"/>
  <c r="B142" i="2"/>
  <c r="C138" i="2"/>
  <c r="G134" i="2"/>
  <c r="L130" i="2"/>
  <c r="O126" i="2"/>
  <c r="B123" i="2"/>
  <c r="G120" i="2"/>
  <c r="M118" i="2"/>
  <c r="P116" i="2"/>
  <c r="A115" i="2"/>
  <c r="B113" i="2"/>
  <c r="J111" i="2"/>
  <c r="E110" i="2"/>
  <c r="P108" i="2"/>
  <c r="I107" i="2"/>
  <c r="A106" i="2"/>
  <c r="K104" i="2"/>
  <c r="F103" i="2"/>
  <c r="Q101" i="2"/>
  <c r="J100" i="2"/>
  <c r="D99" i="2"/>
  <c r="P97" i="2"/>
  <c r="M96" i="2"/>
  <c r="I95" i="2"/>
  <c r="D94" i="2"/>
  <c r="O92" i="2"/>
  <c r="J91" i="2"/>
  <c r="G90" i="2"/>
  <c r="C89" i="2"/>
  <c r="O87" i="2"/>
  <c r="I86" i="2"/>
  <c r="D85" i="2"/>
  <c r="A84" i="2"/>
  <c r="P82" i="2"/>
  <c r="O81" i="2"/>
  <c r="N80" i="2"/>
  <c r="M79" i="2"/>
  <c r="L78" i="2"/>
  <c r="K77" i="2"/>
  <c r="J76" i="2"/>
  <c r="I75" i="2"/>
  <c r="H74" i="2"/>
  <c r="G73" i="2"/>
  <c r="F72" i="2"/>
  <c r="E71" i="2"/>
  <c r="D70" i="2"/>
  <c r="C69" i="2"/>
  <c r="B68" i="2"/>
  <c r="A67" i="2"/>
  <c r="Q65" i="2"/>
  <c r="P64" i="2"/>
  <c r="O63" i="2"/>
  <c r="Q62" i="2"/>
  <c r="C62" i="2"/>
  <c r="E61" i="2"/>
  <c r="H60" i="2"/>
  <c r="K59" i="2"/>
  <c r="M58" i="2"/>
  <c r="P57" i="2"/>
  <c r="A57" i="2"/>
  <c r="D56" i="2"/>
  <c r="G55" i="2"/>
  <c r="K54" i="2"/>
  <c r="P53" i="2"/>
  <c r="D53" i="2"/>
  <c r="I52" i="2"/>
  <c r="N51" i="2"/>
  <c r="B51" i="2"/>
  <c r="G50" i="2"/>
  <c r="L49" i="2"/>
  <c r="Q48" i="2"/>
  <c r="E48" i="2"/>
  <c r="J47" i="2"/>
  <c r="O46" i="2"/>
  <c r="C46" i="2"/>
  <c r="H45" i="2"/>
  <c r="M44" i="2"/>
  <c r="A44" i="2"/>
  <c r="F43" i="2"/>
  <c r="K42" i="2"/>
  <c r="P41" i="2"/>
  <c r="D41" i="2"/>
  <c r="I40" i="2"/>
  <c r="N39" i="2"/>
  <c r="B39" i="2"/>
  <c r="G38" i="2"/>
  <c r="L37" i="2"/>
  <c r="Q36" i="2"/>
  <c r="E36" i="2"/>
  <c r="J35" i="2"/>
  <c r="O34" i="2"/>
  <c r="C34" i="2"/>
  <c r="H33" i="2"/>
  <c r="M32" i="2"/>
  <c r="A32" i="2"/>
  <c r="F31" i="2"/>
  <c r="K30" i="2"/>
  <c r="P29" i="2"/>
  <c r="D29" i="2"/>
  <c r="I28" i="2"/>
  <c r="N27" i="2"/>
  <c r="B27" i="2"/>
  <c r="G26" i="2"/>
  <c r="L25" i="2"/>
  <c r="Q24" i="2"/>
  <c r="E24" i="2"/>
  <c r="J23" i="2"/>
  <c r="O22" i="2"/>
  <c r="C22" i="2"/>
  <c r="H21" i="2"/>
  <c r="M20" i="2"/>
  <c r="A20" i="2"/>
  <c r="F19" i="2"/>
  <c r="K18" i="2"/>
  <c r="P17" i="2"/>
  <c r="D17" i="2"/>
  <c r="I16" i="2"/>
  <c r="N15" i="2"/>
  <c r="B15" i="2"/>
  <c r="G14" i="2"/>
  <c r="L13" i="2"/>
  <c r="Q12" i="2"/>
  <c r="E12" i="2"/>
  <c r="J11" i="2"/>
  <c r="O10" i="2"/>
  <c r="C10" i="2"/>
  <c r="H9" i="2"/>
  <c r="M8" i="2"/>
  <c r="A8" i="2"/>
  <c r="F7" i="2"/>
  <c r="K6" i="2"/>
  <c r="P5" i="2"/>
  <c r="D5" i="2"/>
  <c r="I4" i="2"/>
  <c r="N3" i="2"/>
  <c r="B3" i="2"/>
  <c r="G2" i="2"/>
  <c r="L1" i="2"/>
  <c r="A1" i="2"/>
  <c r="N108" i="2"/>
  <c r="D72" i="2"/>
  <c r="J54" i="2"/>
  <c r="B46" i="2"/>
  <c r="C41" i="2"/>
  <c r="F38" i="2"/>
  <c r="P1" i="2"/>
  <c r="P2" i="2"/>
  <c r="O3" i="2"/>
  <c r="M4" i="2"/>
  <c r="M5" i="2"/>
  <c r="L6" i="2"/>
  <c r="J7" i="2"/>
  <c r="J8" i="2"/>
  <c r="I9" i="2"/>
  <c r="G10" i="2"/>
  <c r="G11" i="2"/>
  <c r="F12" i="2"/>
  <c r="D13" i="2"/>
  <c r="D14" i="2"/>
  <c r="C15" i="2"/>
  <c r="A16" i="2"/>
  <c r="A17" i="2"/>
  <c r="Q17" i="2"/>
  <c r="O18" i="2"/>
  <c r="O19" i="2"/>
  <c r="N20" i="2"/>
  <c r="L21" i="2"/>
  <c r="L22" i="2"/>
  <c r="K23" i="2"/>
  <c r="I24" i="2"/>
  <c r="I25" i="2"/>
  <c r="H26" i="2"/>
  <c r="F27" i="2"/>
  <c r="F28" i="2"/>
  <c r="E29" i="2"/>
  <c r="C30" i="2"/>
  <c r="C31" i="2"/>
  <c r="B32" i="2"/>
  <c r="Q32" i="2"/>
  <c r="Q33" i="2"/>
  <c r="P34" i="2"/>
  <c r="N35" i="2"/>
  <c r="O36" i="2"/>
  <c r="C38" i="2"/>
  <c r="E39" i="2"/>
  <c r="J40" i="2"/>
  <c r="M41" i="2"/>
  <c r="O42" i="2"/>
  <c r="C44" i="2"/>
  <c r="F45" i="2"/>
  <c r="K46" i="2"/>
  <c r="M47" i="2"/>
  <c r="A49" i="2"/>
  <c r="D50" i="2"/>
  <c r="F51" i="2"/>
  <c r="K52" i="2"/>
  <c r="Q53" i="2"/>
  <c r="K55" i="2"/>
  <c r="L57" i="2"/>
  <c r="M59" i="2"/>
  <c r="O61" i="2"/>
  <c r="P63" i="2"/>
  <c r="F66" i="2"/>
  <c r="O68" i="2"/>
  <c r="G71" i="2"/>
  <c r="B74" i="2"/>
  <c r="K76" i="2"/>
  <c r="A79" i="2"/>
  <c r="J81" i="2"/>
  <c r="D84" i="2"/>
  <c r="F87" i="2"/>
  <c r="B90" i="2"/>
  <c r="C93" i="2"/>
  <c r="F96" i="2"/>
  <c r="F99" i="2"/>
  <c r="E102" i="2"/>
  <c r="L105" i="2"/>
  <c r="B109" i="2"/>
  <c r="K112" i="2"/>
  <c r="A117" i="2"/>
  <c r="D121" i="2"/>
  <c r="K129" i="2"/>
  <c r="K138" i="2"/>
  <c r="P149" i="2"/>
  <c r="A163" i="2"/>
  <c r="H175" i="2"/>
  <c r="H189" i="2"/>
  <c r="N202" i="2"/>
  <c r="E217" i="2"/>
  <c r="M232" i="2"/>
  <c r="K257" i="2"/>
  <c r="Q292" i="2"/>
  <c r="O102" i="2"/>
  <c r="C117" i="2"/>
  <c r="J150" i="2"/>
  <c r="L203" i="2"/>
  <c r="P261" i="2"/>
  <c r="C2" i="2"/>
  <c r="N7" i="2"/>
  <c r="F14" i="2"/>
  <c r="Q19" i="2"/>
  <c r="M24" i="2"/>
  <c r="H28" i="2"/>
  <c r="E31" i="2"/>
  <c r="A36" i="2"/>
  <c r="L40" i="2"/>
  <c r="E44" i="2"/>
  <c r="C49" i="2"/>
  <c r="M52" i="2"/>
  <c r="A58" i="2"/>
  <c r="D64" i="2"/>
  <c r="I74" i="2"/>
  <c r="H79" i="2"/>
  <c r="P84" i="2"/>
  <c r="J90" i="2"/>
  <c r="N96" i="2"/>
  <c r="Q102" i="2"/>
  <c r="N109" i="2"/>
  <c r="F117" i="2"/>
  <c r="B131" i="2"/>
  <c r="F152" i="2"/>
  <c r="C178" i="2"/>
  <c r="K205" i="2"/>
  <c r="I263" i="2"/>
  <c r="D2" i="2"/>
  <c r="E17" i="2"/>
  <c r="D34" i="2"/>
  <c r="G54" i="2"/>
  <c r="D82" i="2"/>
  <c r="H113" i="2"/>
  <c r="F238" i="2"/>
  <c r="E2" i="2"/>
  <c r="B5" i="2"/>
  <c r="P7" i="2"/>
  <c r="M9" i="2"/>
  <c r="L11" i="2"/>
  <c r="J12" i="2"/>
  <c r="I14" i="2"/>
  <c r="G15" i="2"/>
  <c r="G16" i="2"/>
  <c r="F17" i="2"/>
  <c r="D18" i="2"/>
  <c r="D19" i="2"/>
  <c r="C20" i="2"/>
  <c r="A21" i="2"/>
  <c r="A22" i="2"/>
  <c r="Q22" i="2"/>
  <c r="O23" i="2"/>
  <c r="O24" i="2"/>
  <c r="N25" i="2"/>
  <c r="L26" i="2"/>
  <c r="L27" i="2"/>
  <c r="K28" i="2"/>
  <c r="I29" i="2"/>
  <c r="I30" i="2"/>
  <c r="H31" i="2"/>
  <c r="F32" i="2"/>
  <c r="F33" i="2"/>
  <c r="E34" i="2"/>
  <c r="C35" i="2"/>
  <c r="C36" i="2"/>
  <c r="D37" i="2"/>
  <c r="I38" i="2"/>
  <c r="L39" i="2"/>
  <c r="Q40" i="2"/>
  <c r="B42" i="2"/>
  <c r="G43" i="2"/>
  <c r="J44" i="2"/>
  <c r="L45" i="2"/>
  <c r="Q46" i="2"/>
  <c r="C48" i="2"/>
  <c r="H49" i="2"/>
  <c r="J50" i="2"/>
  <c r="O51" i="2"/>
  <c r="A53" i="2"/>
  <c r="H54" i="2"/>
  <c r="F56" i="2"/>
  <c r="H58" i="2"/>
  <c r="I60" i="2"/>
  <c r="H62" i="2"/>
  <c r="K64" i="2"/>
  <c r="C67" i="2"/>
  <c r="O69" i="2"/>
  <c r="G72" i="2"/>
  <c r="N74" i="2"/>
  <c r="F77" i="2"/>
  <c r="O79" i="2"/>
  <c r="J82" i="2"/>
  <c r="G85" i="2"/>
  <c r="E88" i="2"/>
  <c r="E91" i="2"/>
  <c r="F94" i="2"/>
  <c r="B97" i="2"/>
  <c r="D100" i="2"/>
  <c r="I103" i="2"/>
  <c r="P106" i="2"/>
  <c r="F110" i="2"/>
  <c r="N113" i="2"/>
  <c r="E118" i="2"/>
  <c r="K123" i="2"/>
  <c r="P132" i="2"/>
  <c r="H142" i="2"/>
  <c r="C153" i="2"/>
  <c r="O166" i="2"/>
  <c r="D180" i="2"/>
  <c r="F194" i="2"/>
  <c r="D208" i="2"/>
  <c r="F221" i="2"/>
  <c r="N239" i="2"/>
  <c r="A268" i="2"/>
  <c r="I99" i="2"/>
  <c r="D109" i="2"/>
  <c r="Q130" i="2"/>
  <c r="G163" i="2"/>
  <c r="E191" i="2"/>
  <c r="F233" i="2"/>
  <c r="C1" i="2"/>
  <c r="Q3" i="2"/>
  <c r="O5" i="2"/>
  <c r="L8" i="2"/>
  <c r="K10" i="2"/>
  <c r="H12" i="2"/>
  <c r="E16" i="2"/>
  <c r="B18" i="2"/>
  <c r="P20" i="2"/>
  <c r="N22" i="2"/>
  <c r="K25" i="2"/>
  <c r="J27" i="2"/>
  <c r="G30" i="2"/>
  <c r="D33" i="2"/>
  <c r="A35" i="2"/>
  <c r="E38" i="2"/>
  <c r="Q41" i="2"/>
  <c r="J45" i="2"/>
  <c r="A48" i="2"/>
  <c r="K51" i="2"/>
  <c r="Q55" i="2"/>
  <c r="D62" i="2"/>
  <c r="Q71" i="2"/>
  <c r="Q81" i="2"/>
  <c r="L93" i="2"/>
  <c r="F106" i="2"/>
  <c r="B122" i="2"/>
  <c r="C164" i="2"/>
  <c r="B220" i="2"/>
  <c r="D304" i="2"/>
  <c r="C3" i="2"/>
  <c r="A5" i="2"/>
  <c r="O6" i="2"/>
  <c r="N8" i="2"/>
  <c r="L10" i="2"/>
  <c r="I12" i="2"/>
  <c r="H14" i="2"/>
  <c r="F16" i="2"/>
  <c r="B20" i="2"/>
  <c r="Q21" i="2"/>
  <c r="N23" i="2"/>
  <c r="M25" i="2"/>
  <c r="K27" i="2"/>
  <c r="H29" i="2"/>
  <c r="G31" i="2"/>
  <c r="E33" i="2"/>
  <c r="B36" i="2"/>
  <c r="H38" i="2"/>
  <c r="M40" i="2"/>
  <c r="I44" i="2"/>
  <c r="P46" i="2"/>
  <c r="D49" i="2"/>
  <c r="L51" i="2"/>
  <c r="E56" i="2"/>
  <c r="D60" i="2"/>
  <c r="J64" i="2"/>
  <c r="I69" i="2"/>
  <c r="J74" i="2"/>
  <c r="A85" i="2"/>
  <c r="M90" i="2"/>
  <c r="P96" i="2"/>
  <c r="G103" i="2"/>
  <c r="P109" i="2"/>
  <c r="G123" i="2"/>
  <c r="P140" i="2"/>
  <c r="Q179" i="2"/>
  <c r="G206" i="2"/>
  <c r="I267" i="2"/>
  <c r="E1" i="2"/>
  <c r="D3" i="2"/>
  <c r="B4" i="2"/>
  <c r="A6" i="2"/>
  <c r="P6" i="2"/>
  <c r="O8" i="2"/>
  <c r="M10" i="2"/>
  <c r="J13" i="2"/>
  <c r="H1" i="2"/>
  <c r="F2" i="2"/>
  <c r="E3" i="2"/>
  <c r="E4" i="2"/>
  <c r="C5" i="2"/>
  <c r="B6" i="2"/>
  <c r="B7" i="2"/>
  <c r="Q7" i="2"/>
  <c r="P8" i="2"/>
  <c r="P9" i="2"/>
  <c r="N10" i="2"/>
  <c r="M11" i="2"/>
  <c r="M12" i="2"/>
  <c r="K13" i="2"/>
  <c r="J14" i="2"/>
  <c r="J15" i="2"/>
  <c r="H16" i="2"/>
  <c r="G17" i="2"/>
  <c r="G18" i="2"/>
  <c r="E19" i="2"/>
  <c r="D20" i="2"/>
  <c r="D21" i="2"/>
  <c r="B22" i="2"/>
  <c r="A23" i="2"/>
  <c r="A24" i="2"/>
  <c r="P24" i="2"/>
  <c r="O25" i="2"/>
  <c r="O26" i="2"/>
  <c r="M27" i="2"/>
  <c r="L28" i="2"/>
  <c r="L29" i="2"/>
  <c r="J30" i="2"/>
  <c r="I31" i="2"/>
  <c r="I32" i="2"/>
  <c r="G33" i="2"/>
  <c r="F34" i="2"/>
  <c r="F35" i="2"/>
  <c r="D36" i="2"/>
  <c r="H37" i="2"/>
  <c r="J38" i="2"/>
  <c r="O39" i="2"/>
  <c r="A41" i="2"/>
  <c r="C42" i="2"/>
  <c r="H43" i="2"/>
  <c r="K44" i="2"/>
  <c r="P45" i="2"/>
  <c r="A47" i="2"/>
  <c r="F48" i="2"/>
  <c r="I49" i="2"/>
  <c r="K50" i="2"/>
  <c r="P51" i="2"/>
  <c r="B53" i="2"/>
  <c r="L54" i="2"/>
  <c r="I56" i="2"/>
  <c r="J58" i="2"/>
  <c r="J60" i="2"/>
  <c r="L62" i="2"/>
  <c r="Q64" i="2"/>
  <c r="G67" i="2"/>
  <c r="P69" i="2"/>
  <c r="H72" i="2"/>
  <c r="C75" i="2"/>
  <c r="L77" i="2"/>
  <c r="B80" i="2"/>
  <c r="K82" i="2"/>
  <c r="H85" i="2"/>
  <c r="K88" i="2"/>
  <c r="G91" i="2"/>
  <c r="G94" i="2"/>
  <c r="K97" i="2"/>
  <c r="L100" i="2"/>
  <c r="L103" i="2"/>
  <c r="B107" i="2"/>
  <c r="H110" i="2"/>
  <c r="D114" i="2"/>
  <c r="N118" i="2"/>
  <c r="A124" i="2"/>
  <c r="G133" i="2"/>
  <c r="J142" i="2"/>
  <c r="P154" i="2"/>
  <c r="L168" i="2"/>
  <c r="B181" i="2"/>
  <c r="B195" i="2"/>
  <c r="J208" i="2"/>
  <c r="H223" i="2"/>
  <c r="J243" i="2"/>
  <c r="A270" i="2"/>
  <c r="E15" i="2"/>
  <c r="M66" i="2"/>
  <c r="C19" i="2"/>
  <c r="D43" i="2"/>
  <c r="E77" i="2"/>
  <c r="H152" i="2"/>
  <c r="H2" i="2"/>
  <c r="E5" i="2"/>
  <c r="C7" i="2"/>
  <c r="Q8" i="2"/>
  <c r="P10" i="2"/>
  <c r="N11" i="2"/>
  <c r="N12" i="2"/>
  <c r="K14" i="2"/>
  <c r="K15" i="2"/>
  <c r="J16" i="2"/>
  <c r="H17" i="2"/>
  <c r="H18" i="2"/>
  <c r="G19" i="2"/>
  <c r="E20" i="2"/>
  <c r="E21" i="2"/>
  <c r="D22" i="2"/>
  <c r="B23" i="2"/>
  <c r="B24" i="2"/>
  <c r="A25" i="2"/>
  <c r="P25" i="2"/>
  <c r="P26" i="2"/>
  <c r="O27" i="2"/>
  <c r="M28" i="2"/>
  <c r="M29" i="2"/>
  <c r="L30" i="2"/>
  <c r="J31" i="2"/>
  <c r="J32" i="2"/>
  <c r="I33" i="2"/>
  <c r="G34" i="2"/>
  <c r="G35" i="2"/>
  <c r="F36" i="2"/>
  <c r="I37" i="2"/>
  <c r="K38" i="2"/>
  <c r="P39" i="2"/>
  <c r="B41" i="2"/>
  <c r="G42" i="2"/>
  <c r="I43" i="2"/>
  <c r="N44" i="2"/>
  <c r="Q45" i="2"/>
  <c r="B47" i="2"/>
  <c r="G48" i="2"/>
  <c r="J49" i="2"/>
  <c r="O50" i="2"/>
  <c r="Q51" i="2"/>
  <c r="E53" i="2"/>
  <c r="M54" i="2"/>
  <c r="N56" i="2"/>
  <c r="N58" i="2"/>
  <c r="M60" i="2"/>
  <c r="N62" i="2"/>
  <c r="A65" i="2"/>
  <c r="M67" i="2"/>
  <c r="E70" i="2"/>
  <c r="L72" i="2"/>
  <c r="D75" i="2"/>
  <c r="M77" i="2"/>
  <c r="H80" i="2"/>
  <c r="Q82" i="2"/>
  <c r="M85" i="2"/>
  <c r="M88" i="2"/>
  <c r="M91" i="2"/>
  <c r="K94" i="2"/>
  <c r="M97" i="2"/>
  <c r="M100" i="2"/>
  <c r="E104" i="2"/>
  <c r="K107" i="2"/>
  <c r="K110" i="2"/>
  <c r="I114" i="2"/>
  <c r="Q118" i="2"/>
  <c r="G125" i="2"/>
  <c r="L134" i="2"/>
  <c r="C143" i="2"/>
  <c r="J155" i="2"/>
  <c r="P168" i="2"/>
  <c r="A183" i="2"/>
  <c r="P196" i="2"/>
  <c r="F209" i="2"/>
  <c r="E224" i="2"/>
  <c r="Q243" i="2"/>
  <c r="J274" i="2"/>
  <c r="H96" i="2"/>
  <c r="C106" i="2"/>
  <c r="L112" i="2"/>
  <c r="C139" i="2"/>
  <c r="G177" i="2"/>
  <c r="C218" i="2"/>
  <c r="M302" i="2"/>
  <c r="A3" i="2"/>
  <c r="Q4" i="2"/>
  <c r="N6" i="2"/>
  <c r="K9" i="2"/>
  <c r="I11" i="2"/>
  <c r="H13" i="2"/>
  <c r="C17" i="2"/>
  <c r="B19" i="2"/>
  <c r="P21" i="2"/>
  <c r="M23" i="2"/>
  <c r="J26" i="2"/>
  <c r="G29" i="2"/>
  <c r="D32" i="2"/>
  <c r="B34" i="2"/>
  <c r="B37" i="2"/>
  <c r="J39" i="2"/>
  <c r="C43" i="2"/>
  <c r="M46" i="2"/>
  <c r="H50" i="2"/>
  <c r="C54" i="2"/>
  <c r="C60" i="2"/>
  <c r="E69" i="2"/>
  <c r="P76" i="2"/>
  <c r="Q87" i="2"/>
  <c r="M99" i="2"/>
  <c r="D113" i="2"/>
  <c r="H140" i="2"/>
  <c r="I191" i="2"/>
  <c r="L234" i="2"/>
  <c r="D1" i="2"/>
  <c r="A4" i="2"/>
  <c r="Q5" i="2"/>
  <c r="O7" i="2"/>
  <c r="L9" i="2"/>
  <c r="K11" i="2"/>
  <c r="I13" i="2"/>
  <c r="F15" i="2"/>
  <c r="C18" i="2"/>
  <c r="Q20" i="2"/>
  <c r="P22" i="2"/>
  <c r="N24" i="2"/>
  <c r="K26" i="2"/>
  <c r="J28" i="2"/>
  <c r="H30" i="2"/>
  <c r="E32" i="2"/>
  <c r="B35" i="2"/>
  <c r="C37" i="2"/>
  <c r="K39" i="2"/>
  <c r="A42" i="2"/>
  <c r="K45" i="2"/>
  <c r="B48" i="2"/>
  <c r="I50" i="2"/>
  <c r="Q52" i="2"/>
  <c r="D58" i="2"/>
  <c r="E62" i="2"/>
  <c r="B67" i="2"/>
  <c r="A72" i="2"/>
  <c r="N79" i="2"/>
  <c r="A88" i="2"/>
  <c r="O93" i="2"/>
  <c r="A100" i="2"/>
  <c r="K106" i="2"/>
  <c r="B118" i="2"/>
  <c r="J131" i="2"/>
  <c r="B166" i="2"/>
  <c r="G192" i="2"/>
  <c r="I220" i="2"/>
  <c r="E309" i="2"/>
  <c r="I1" i="2"/>
  <c r="F3" i="2"/>
  <c r="F4" i="2"/>
  <c r="C6" i="2"/>
  <c r="B8" i="2"/>
  <c r="Q9" i="2"/>
  <c r="M13" i="2"/>
  <c r="J1" i="2"/>
  <c r="I2" i="2"/>
  <c r="G3" i="2"/>
  <c r="G4" i="2"/>
  <c r="F5" i="2"/>
  <c r="D6" i="2"/>
  <c r="D7" i="2"/>
  <c r="C8" i="2"/>
  <c r="A9" i="2"/>
  <c r="A10" i="2"/>
  <c r="Q10" i="2"/>
  <c r="O11" i="2"/>
  <c r="O12" i="2"/>
  <c r="N13" i="2"/>
  <c r="L14" i="2"/>
  <c r="L15" i="2"/>
  <c r="K16" i="2"/>
  <c r="I17" i="2"/>
  <c r="I18" i="2"/>
  <c r="H19" i="2"/>
  <c r="F20" i="2"/>
  <c r="F21" i="2"/>
  <c r="E22" i="2"/>
  <c r="C23" i="2"/>
  <c r="C24" i="2"/>
  <c r="B25" i="2"/>
  <c r="Q25" i="2"/>
  <c r="Q26" i="2"/>
  <c r="P27" i="2"/>
  <c r="N28" i="2"/>
  <c r="N29" i="2"/>
  <c r="M30" i="2"/>
  <c r="K31" i="2"/>
  <c r="K32" i="2"/>
  <c r="J33" i="2"/>
  <c r="H34" i="2"/>
  <c r="H35" i="2"/>
  <c r="G36" i="2"/>
  <c r="J37" i="2"/>
  <c r="O38" i="2"/>
  <c r="Q39" i="2"/>
  <c r="E41" i="2"/>
  <c r="H42" i="2"/>
  <c r="J43" i="2"/>
  <c r="O44" i="2"/>
  <c r="A46" i="2"/>
  <c r="F47" i="2"/>
  <c r="H48" i="2"/>
  <c r="M49" i="2"/>
  <c r="P50" i="2"/>
  <c r="A52" i="2"/>
  <c r="F53" i="2"/>
  <c r="O54" i="2"/>
  <c r="O56" i="2"/>
  <c r="P58" i="2"/>
  <c r="A61" i="2"/>
  <c r="A63" i="2"/>
  <c r="E65" i="2"/>
  <c r="N67" i="2"/>
  <c r="F70" i="2"/>
  <c r="A73" i="2"/>
  <c r="J75" i="2"/>
  <c r="Q77" i="2"/>
  <c r="I80" i="2"/>
  <c r="A83" i="2"/>
  <c r="C86" i="2"/>
  <c r="E89" i="2"/>
  <c r="N91" i="2"/>
  <c r="Q94" i="2"/>
  <c r="B98" i="2"/>
  <c r="A101" i="2"/>
  <c r="G104" i="2"/>
  <c r="L107" i="2"/>
  <c r="D111" i="2"/>
  <c r="D115" i="2"/>
  <c r="C119" i="2"/>
  <c r="O125" i="2"/>
  <c r="P134" i="2"/>
  <c r="P144" i="2"/>
  <c r="G157" i="2"/>
  <c r="N169" i="2"/>
  <c r="N183" i="2"/>
  <c r="E197" i="2"/>
  <c r="E211" i="2"/>
  <c r="E226" i="2"/>
  <c r="M245" i="2"/>
  <c r="G276" i="2"/>
  <c r="L2" i="2"/>
  <c r="C12" i="2"/>
  <c r="H23" i="2"/>
  <c r="F40" i="2"/>
  <c r="Q70" i="2"/>
  <c r="D105" i="2"/>
  <c r="C137" i="2"/>
  <c r="M186" i="2"/>
  <c r="L229" i="2"/>
  <c r="M284" i="2"/>
  <c r="S131" i="2"/>
  <c r="S167" i="2"/>
  <c r="S15" i="2"/>
  <c r="S39" i="2"/>
  <c r="S71" i="2"/>
  <c r="S107" i="2"/>
  <c r="S143" i="2"/>
  <c r="S22" i="2"/>
  <c r="S46" i="2"/>
  <c r="S75" i="2"/>
  <c r="S111" i="2"/>
  <c r="S147" i="2"/>
  <c r="S23" i="2"/>
  <c r="S47" i="2"/>
  <c r="S82" i="2"/>
  <c r="S118" i="2"/>
  <c r="S165" i="2"/>
  <c r="S153" i="2"/>
  <c r="S141" i="2"/>
  <c r="S129" i="2"/>
  <c r="S117" i="2"/>
  <c r="S105" i="2"/>
  <c r="S93" i="2"/>
  <c r="S81" i="2"/>
  <c r="S69" i="2"/>
  <c r="S57" i="2"/>
  <c r="S45" i="2"/>
  <c r="S33" i="2"/>
  <c r="S21" i="2"/>
  <c r="S9" i="2"/>
  <c r="S164" i="2"/>
  <c r="S152" i="2"/>
  <c r="S140" i="2"/>
  <c r="S128" i="2"/>
  <c r="S116" i="2"/>
  <c r="S104" i="2"/>
  <c r="S92" i="2"/>
  <c r="S80" i="2"/>
  <c r="S68" i="2"/>
  <c r="S56" i="2"/>
  <c r="S44" i="2"/>
  <c r="S32" i="2"/>
  <c r="S20" i="2"/>
  <c r="S8" i="2"/>
  <c r="S163" i="2"/>
  <c r="S151" i="2"/>
  <c r="S139" i="2"/>
  <c r="S127" i="2"/>
  <c r="S115" i="2"/>
  <c r="S103" i="2"/>
  <c r="S91" i="2"/>
  <c r="S79" i="2"/>
  <c r="S67" i="2"/>
  <c r="S55" i="2"/>
  <c r="S43" i="2"/>
  <c r="S31" i="2"/>
  <c r="S19" i="2"/>
  <c r="S7" i="2"/>
  <c r="S174" i="2"/>
  <c r="S162" i="2"/>
  <c r="S150" i="2"/>
  <c r="S138" i="2"/>
  <c r="S126" i="2"/>
  <c r="S114" i="2"/>
  <c r="S102" i="2"/>
  <c r="S90" i="2"/>
  <c r="S78" i="2"/>
  <c r="S66" i="2"/>
  <c r="S54" i="2"/>
  <c r="S42" i="2"/>
  <c r="S30" i="2"/>
  <c r="S18" i="2"/>
  <c r="S6" i="2"/>
  <c r="S173" i="2"/>
  <c r="S161" i="2"/>
  <c r="S149" i="2"/>
  <c r="S137" i="2"/>
  <c r="S125" i="2"/>
  <c r="S113" i="2"/>
  <c r="S101" i="2"/>
  <c r="S89" i="2"/>
  <c r="S77" i="2"/>
  <c r="S65" i="2"/>
  <c r="S53" i="2"/>
  <c r="S41" i="2"/>
  <c r="S29" i="2"/>
  <c r="S17" i="2"/>
  <c r="S5" i="2"/>
  <c r="S172" i="2"/>
  <c r="S160" i="2"/>
  <c r="S148" i="2"/>
  <c r="S136" i="2"/>
  <c r="S124" i="2"/>
  <c r="S112" i="2"/>
  <c r="S100" i="2"/>
  <c r="S88" i="2"/>
  <c r="S76" i="2"/>
  <c r="S64" i="2"/>
  <c r="S52" i="2"/>
  <c r="S170" i="2"/>
  <c r="S158" i="2"/>
  <c r="S146" i="2"/>
  <c r="S134" i="2"/>
  <c r="S122" i="2"/>
  <c r="S110" i="2"/>
  <c r="S98" i="2"/>
  <c r="S86" i="2"/>
  <c r="S74" i="2"/>
  <c r="S62" i="2"/>
  <c r="S168" i="2"/>
  <c r="S156" i="2"/>
  <c r="S144" i="2"/>
  <c r="S132" i="2"/>
  <c r="S120" i="2"/>
  <c r="S108" i="2"/>
  <c r="S96" i="2"/>
  <c r="S84" i="2"/>
  <c r="S72" i="2"/>
  <c r="S60" i="2"/>
  <c r="S48" i="2"/>
  <c r="S36" i="2"/>
  <c r="S24" i="2"/>
  <c r="S12" i="2"/>
  <c r="S1" i="2"/>
  <c r="S25" i="2"/>
  <c r="S49" i="2"/>
  <c r="S83" i="2"/>
  <c r="S119" i="2"/>
  <c r="S155" i="2"/>
  <c r="S2" i="2"/>
  <c r="S26" i="2"/>
  <c r="S50" i="2"/>
  <c r="S85" i="2"/>
  <c r="S121" i="2"/>
  <c r="S157" i="2"/>
  <c r="S3" i="2"/>
  <c r="S27" i="2"/>
  <c r="S51" i="2"/>
  <c r="S87" i="2"/>
  <c r="S123" i="2"/>
  <c r="S159" i="2"/>
  <c r="T63" i="2" a="1"/>
  <c r="T68" i="2" a="1"/>
  <c r="T25" i="2" a="1"/>
  <c r="T26" i="2" a="1"/>
  <c r="T57" i="2" a="1"/>
  <c r="T98" i="2" a="1"/>
  <c r="T32" i="2" a="1"/>
  <c r="T27" i="2" a="1"/>
  <c r="T55" i="2" a="1"/>
  <c r="R7" i="2" l="1"/>
  <c r="R4" i="2"/>
  <c r="R16" i="2"/>
  <c r="U98" i="2"/>
  <c r="AF1" i="3"/>
  <c r="U55" i="2"/>
  <c r="U63" i="2"/>
  <c r="U32" i="2"/>
  <c r="U25" i="2"/>
  <c r="U51" i="2"/>
  <c r="U57" i="2"/>
  <c r="U68" i="2"/>
  <c r="U120" i="2"/>
  <c r="U27" i="2"/>
  <c r="U74" i="2"/>
  <c r="U26" i="2"/>
  <c r="T27" i="2"/>
  <c r="T68" i="2"/>
  <c r="T63" i="2"/>
  <c r="T57" i="2"/>
  <c r="T25" i="2"/>
  <c r="T98" i="2"/>
  <c r="T55" i="2"/>
  <c r="T32" i="2"/>
  <c r="T26" i="2"/>
  <c r="V26" i="2" s="1"/>
  <c r="R174" i="2"/>
  <c r="U182" i="2"/>
  <c r="R199" i="2"/>
  <c r="U192" i="2"/>
  <c r="U257" i="2"/>
  <c r="U261" i="2"/>
  <c r="R255" i="2"/>
  <c r="R288" i="2"/>
  <c r="U291" i="2"/>
  <c r="U295" i="2"/>
  <c r="U301" i="2"/>
  <c r="U287" i="2"/>
  <c r="U14" i="2"/>
  <c r="R12" i="2"/>
  <c r="H1" i="3"/>
  <c r="U12" i="2"/>
  <c r="U54" i="2"/>
  <c r="R19" i="2"/>
  <c r="U20" i="2"/>
  <c r="U49" i="2"/>
  <c r="R90" i="2"/>
  <c r="U30" i="2"/>
  <c r="U34" i="2"/>
  <c r="R51" i="2"/>
  <c r="R52" i="2"/>
  <c r="U77" i="2"/>
  <c r="U91" i="2"/>
  <c r="U90" i="2"/>
  <c r="U56" i="2"/>
  <c r="U151" i="2"/>
  <c r="U132" i="2"/>
  <c r="R213" i="2"/>
  <c r="R104" i="2"/>
  <c r="U208" i="2"/>
  <c r="R76" i="2"/>
  <c r="U110" i="2"/>
  <c r="U155" i="2"/>
  <c r="U154" i="2"/>
  <c r="R134" i="2"/>
  <c r="U244" i="2"/>
  <c r="U277" i="2"/>
  <c r="U197" i="2"/>
  <c r="U212" i="2"/>
  <c r="R192" i="2"/>
  <c r="U227" i="2"/>
  <c r="U245" i="2"/>
  <c r="R182" i="2"/>
  <c r="U246" i="2"/>
  <c r="U275" i="2"/>
  <c r="R217" i="2"/>
  <c r="U264" i="2"/>
  <c r="R302" i="2"/>
  <c r="R218" i="2"/>
  <c r="U265" i="2"/>
  <c r="U307" i="2"/>
  <c r="R296" i="2"/>
  <c r="U306" i="2"/>
  <c r="U50" i="2"/>
  <c r="U13" i="2"/>
  <c r="R11" i="2"/>
  <c r="U86" i="2"/>
  <c r="U44" i="2"/>
  <c r="U97" i="2"/>
  <c r="U82" i="2"/>
  <c r="U191" i="2"/>
  <c r="U226" i="2"/>
  <c r="U310" i="2"/>
  <c r="U106" i="2"/>
  <c r="R36" i="2"/>
  <c r="R204" i="2"/>
  <c r="U40" i="2"/>
  <c r="U21" i="2"/>
  <c r="R38" i="2"/>
  <c r="U78" i="2"/>
  <c r="U107" i="2"/>
  <c r="U113" i="2"/>
  <c r="U162" i="2"/>
  <c r="U149" i="2"/>
  <c r="U92" i="2"/>
  <c r="U76" i="2"/>
  <c r="U202" i="2"/>
  <c r="U84" i="2"/>
  <c r="U101" i="2"/>
  <c r="U58" i="2"/>
  <c r="R75" i="2"/>
  <c r="U121" i="2"/>
  <c r="U179" i="2"/>
  <c r="U230" i="2"/>
  <c r="U159" i="2"/>
  <c r="R183" i="2"/>
  <c r="U158" i="2"/>
  <c r="R175" i="2"/>
  <c r="R227" i="2"/>
  <c r="U168" i="2"/>
  <c r="R185" i="2"/>
  <c r="U278" i="2"/>
  <c r="R300" i="2"/>
  <c r="R237" i="2"/>
  <c r="U239" i="2"/>
  <c r="U240" i="2"/>
  <c r="R293" i="2"/>
  <c r="U267" i="2"/>
  <c r="U303" i="2"/>
  <c r="U215" i="2"/>
  <c r="W1" i="3"/>
  <c r="U157" i="2"/>
  <c r="U17" i="2"/>
  <c r="U42" i="2"/>
  <c r="U19" i="2"/>
  <c r="R6" i="2"/>
  <c r="U117" i="2"/>
  <c r="U10" i="2"/>
  <c r="U62" i="2"/>
  <c r="R135" i="2"/>
  <c r="U279" i="2"/>
  <c r="R147" i="2"/>
  <c r="U103" i="2"/>
  <c r="U183" i="2"/>
  <c r="U111" i="2"/>
  <c r="R180" i="2"/>
  <c r="R156" i="2"/>
  <c r="R179" i="2"/>
  <c r="R249" i="2"/>
  <c r="U140" i="2"/>
  <c r="U186" i="2"/>
  <c r="U201" i="2"/>
  <c r="U150" i="2"/>
  <c r="R277" i="2"/>
  <c r="U122" i="2"/>
  <c r="R139" i="2"/>
  <c r="U193" i="2"/>
  <c r="R210" i="2"/>
  <c r="U282" i="2"/>
  <c r="R303" i="2"/>
  <c r="U249" i="2"/>
  <c r="U250" i="2"/>
  <c r="R287" i="2"/>
  <c r="R299" i="2"/>
  <c r="U102" i="2"/>
  <c r="R95" i="2"/>
  <c r="E1" i="3"/>
  <c r="U139" i="2"/>
  <c r="R200" i="2"/>
  <c r="R129" i="2"/>
  <c r="U153" i="2"/>
  <c r="U43" i="2"/>
  <c r="U5" i="2"/>
  <c r="U89" i="2"/>
  <c r="U16" i="2"/>
  <c r="U59" i="2"/>
  <c r="R111" i="2"/>
  <c r="R56" i="2"/>
  <c r="U141" i="2"/>
  <c r="R70" i="2"/>
  <c r="U99" i="2"/>
  <c r="R241" i="2"/>
  <c r="U247" i="2"/>
  <c r="U125" i="2"/>
  <c r="U95" i="2"/>
  <c r="R69" i="2"/>
  <c r="R77" i="2"/>
  <c r="U203" i="2"/>
  <c r="U228" i="2"/>
  <c r="U233" i="2"/>
  <c r="U184" i="2"/>
  <c r="R229" i="2"/>
  <c r="U242" i="2"/>
  <c r="U144" i="2"/>
  <c r="R161" i="2"/>
  <c r="R281" i="2"/>
  <c r="R259" i="2"/>
  <c r="R233" i="2"/>
  <c r="U296" i="2"/>
  <c r="T1" i="3"/>
  <c r="U93" i="2"/>
  <c r="U45" i="2"/>
  <c r="R146" i="2"/>
  <c r="U119" i="2"/>
  <c r="U24" i="2"/>
  <c r="R80" i="2"/>
  <c r="R53" i="2"/>
  <c r="R18" i="2"/>
  <c r="U38" i="2"/>
  <c r="U15" i="2"/>
  <c r="R284" i="2"/>
  <c r="U80" i="2"/>
  <c r="U85" i="2"/>
  <c r="U173" i="2"/>
  <c r="R152" i="2"/>
  <c r="U94" i="2"/>
  <c r="R228" i="2"/>
  <c r="U142" i="2"/>
  <c r="U187" i="2"/>
  <c r="R110" i="2"/>
  <c r="R238" i="2"/>
  <c r="U123" i="2"/>
  <c r="U207" i="2"/>
  <c r="U124" i="2"/>
  <c r="R115" i="2"/>
  <c r="U185" i="2"/>
  <c r="U254" i="2"/>
  <c r="U280" i="2"/>
  <c r="U169" i="2"/>
  <c r="U194" i="2"/>
  <c r="R211" i="2"/>
  <c r="U220" i="2"/>
  <c r="U204" i="2"/>
  <c r="U285" i="2"/>
  <c r="R240" i="2"/>
  <c r="R253" i="2"/>
  <c r="R243" i="2"/>
  <c r="U299" i="2"/>
  <c r="R28" i="2"/>
  <c r="A9" i="4"/>
  <c r="A8" i="4"/>
  <c r="A7" i="4"/>
  <c r="A6" i="4"/>
  <c r="A5" i="4"/>
  <c r="A4" i="4"/>
  <c r="A3" i="4"/>
  <c r="A2" i="4"/>
  <c r="A12" i="4"/>
  <c r="A11" i="4"/>
  <c r="A10" i="4"/>
  <c r="B1" i="3"/>
  <c r="Q1" i="3"/>
  <c r="U143" i="2"/>
  <c r="R118" i="2"/>
  <c r="U3" i="2"/>
  <c r="U46" i="2"/>
  <c r="R54" i="2"/>
  <c r="U47" i="2"/>
  <c r="U114" i="2"/>
  <c r="U172" i="2"/>
  <c r="R158" i="2"/>
  <c r="U176" i="2"/>
  <c r="U71" i="2"/>
  <c r="U128" i="2"/>
  <c r="U163" i="2"/>
  <c r="R208" i="2"/>
  <c r="U198" i="2"/>
  <c r="U152" i="2"/>
  <c r="U256" i="2"/>
  <c r="U232" i="2"/>
  <c r="U288" i="2"/>
  <c r="R256" i="2"/>
  <c r="U241" i="2"/>
  <c r="R268" i="2"/>
  <c r="U284" i="2"/>
  <c r="U213" i="2"/>
  <c r="R270" i="2"/>
  <c r="U292" i="2"/>
  <c r="U297" i="2"/>
  <c r="U302" i="2"/>
  <c r="U39" i="2"/>
  <c r="R48" i="2"/>
  <c r="U18" i="2"/>
  <c r="U75" i="2"/>
  <c r="R74" i="2"/>
  <c r="U138" i="2"/>
  <c r="U65" i="2"/>
  <c r="U52" i="2"/>
  <c r="U33" i="2"/>
  <c r="R50" i="2"/>
  <c r="U160" i="2"/>
  <c r="U161" i="2"/>
  <c r="R265" i="2"/>
  <c r="U210" i="2"/>
  <c r="U196" i="2"/>
  <c r="R168" i="2"/>
  <c r="U88" i="2"/>
  <c r="U96" i="2"/>
  <c r="U70" i="2"/>
  <c r="R87" i="2"/>
  <c r="U199" i="2"/>
  <c r="U260" i="2"/>
  <c r="U272" i="2"/>
  <c r="R206" i="2"/>
  <c r="U243" i="2"/>
  <c r="R116" i="2"/>
  <c r="U175" i="2"/>
  <c r="U234" i="2"/>
  <c r="R117" i="2"/>
  <c r="U165" i="2"/>
  <c r="R153" i="2"/>
  <c r="U235" i="2"/>
  <c r="U258" i="2"/>
  <c r="U145" i="2"/>
  <c r="U222" i="2"/>
  <c r="U170" i="2"/>
  <c r="T231" i="2"/>
  <c r="U180" i="2"/>
  <c r="U214" i="2"/>
  <c r="U290" i="2"/>
  <c r="U293" i="2"/>
  <c r="U252" i="2"/>
  <c r="U298" i="2"/>
  <c r="U289" i="2"/>
  <c r="R148" i="2"/>
  <c r="R55" i="2"/>
  <c r="R262" i="2"/>
  <c r="U23" i="2"/>
  <c r="R37" i="2"/>
  <c r="U137" i="2"/>
  <c r="U36" i="2"/>
  <c r="U22" i="2"/>
  <c r="R39" i="2"/>
  <c r="R142" i="2"/>
  <c r="U66" i="2"/>
  <c r="U109" i="2"/>
  <c r="R60" i="2"/>
  <c r="R130" i="2"/>
  <c r="R106" i="2"/>
  <c r="R165" i="2"/>
  <c r="U112" i="2"/>
  <c r="U229" i="2"/>
  <c r="R64" i="2"/>
  <c r="R246" i="2"/>
  <c r="U300" i="2"/>
  <c r="R212" i="2"/>
  <c r="R105" i="2"/>
  <c r="R188" i="2"/>
  <c r="U217" i="2"/>
  <c r="U147" i="2"/>
  <c r="R279" i="2"/>
  <c r="U259" i="2"/>
  <c r="U166" i="2"/>
  <c r="U134" i="2"/>
  <c r="R154" i="2"/>
  <c r="U205" i="2"/>
  <c r="U266" i="2"/>
  <c r="U224" i="2"/>
  <c r="U262" i="2"/>
  <c r="U253" i="2"/>
  <c r="U281" i="2"/>
  <c r="U294" i="2"/>
  <c r="U29" i="2"/>
  <c r="U81" i="2"/>
  <c r="U60" i="2"/>
  <c r="U31" i="2"/>
  <c r="U79" i="2"/>
  <c r="R295" i="2"/>
  <c r="U164" i="2"/>
  <c r="U35" i="2"/>
  <c r="U41" i="2"/>
  <c r="R143" i="2"/>
  <c r="U209" i="2"/>
  <c r="R59" i="2"/>
  <c r="U28" i="2"/>
  <c r="U188" i="2"/>
  <c r="U9" i="2"/>
  <c r="U167" i="2"/>
  <c r="U64" i="2"/>
  <c r="R81" i="2"/>
  <c r="R170" i="2"/>
  <c r="U72" i="2"/>
  <c r="R89" i="2"/>
  <c r="R214" i="2"/>
  <c r="U223" i="2"/>
  <c r="U283" i="2"/>
  <c r="R223" i="2"/>
  <c r="R261" i="2"/>
  <c r="R167" i="2"/>
  <c r="R264" i="2"/>
  <c r="U200" i="2"/>
  <c r="U146" i="2"/>
  <c r="R163" i="2"/>
  <c r="U156" i="2"/>
  <c r="R173" i="2"/>
  <c r="R232" i="2"/>
  <c r="R244" i="2"/>
  <c r="U263" i="2"/>
  <c r="U309" i="2"/>
  <c r="U255" i="2"/>
  <c r="R272" i="2"/>
  <c r="U308" i="2"/>
  <c r="U129" i="2"/>
  <c r="R84" i="2"/>
  <c r="U11" i="2"/>
  <c r="AC1" i="3"/>
  <c r="R155" i="2"/>
  <c r="U8" i="2"/>
  <c r="U37" i="2"/>
  <c r="U218" i="2"/>
  <c r="R195" i="2"/>
  <c r="R122" i="2"/>
  <c r="U48" i="2"/>
  <c r="U69" i="2"/>
  <c r="R113" i="2"/>
  <c r="R40" i="2"/>
  <c r="U177" i="2"/>
  <c r="U61" i="2"/>
  <c r="U73" i="2"/>
  <c r="U53" i="2"/>
  <c r="U219" i="2"/>
  <c r="U115" i="2"/>
  <c r="U216" i="2"/>
  <c r="U131" i="2"/>
  <c r="R159" i="2"/>
  <c r="U174" i="2"/>
  <c r="U189" i="2"/>
  <c r="U148" i="2"/>
  <c r="U105" i="2"/>
  <c r="R226" i="2"/>
  <c r="U135" i="2"/>
  <c r="R144" i="2"/>
  <c r="R224" i="2"/>
  <c r="U136" i="2"/>
  <c r="R266" i="2"/>
  <c r="U181" i="2"/>
  <c r="R198" i="2"/>
  <c r="U270" i="2"/>
  <c r="U206" i="2"/>
  <c r="R234" i="2"/>
  <c r="U269" i="2"/>
  <c r="R254" i="2"/>
  <c r="R247" i="2"/>
  <c r="U237" i="2"/>
  <c r="U273" i="2"/>
  <c r="U238" i="2"/>
  <c r="U304" i="2"/>
  <c r="U311" i="2"/>
  <c r="U116" i="2"/>
  <c r="N1" i="3"/>
  <c r="K1" i="3"/>
  <c r="R126" i="2"/>
  <c r="U118" i="2"/>
  <c r="U100" i="2"/>
  <c r="U133" i="2"/>
  <c r="U127" i="2"/>
  <c r="U6" i="2"/>
  <c r="U7" i="2"/>
  <c r="R35" i="2"/>
  <c r="R181" i="2"/>
  <c r="U67" i="2"/>
  <c r="U178" i="2"/>
  <c r="U2" i="2"/>
  <c r="R157" i="2"/>
  <c r="R58" i="2"/>
  <c r="U221" i="2"/>
  <c r="U87" i="2"/>
  <c r="U286" i="2"/>
  <c r="U4" i="2"/>
  <c r="R21" i="2"/>
  <c r="R78" i="2"/>
  <c r="U108" i="2"/>
  <c r="R2" i="2"/>
  <c r="U104" i="2"/>
  <c r="U251" i="2"/>
  <c r="U130" i="2"/>
  <c r="U190" i="2"/>
  <c r="R96" i="2"/>
  <c r="U83" i="2"/>
  <c r="R57" i="2"/>
  <c r="R65" i="2"/>
  <c r="R108" i="2"/>
  <c r="U195" i="2"/>
  <c r="U171" i="2"/>
  <c r="R189" i="2"/>
  <c r="R239" i="2"/>
  <c r="U271" i="2"/>
  <c r="R125" i="2"/>
  <c r="U126" i="2"/>
  <c r="U211" i="2"/>
  <c r="R225" i="2"/>
  <c r="U268" i="2"/>
  <c r="R202" i="2"/>
  <c r="U236" i="2"/>
  <c r="U248" i="2"/>
  <c r="U276" i="2"/>
  <c r="R274" i="2"/>
  <c r="U225" i="2"/>
  <c r="U305" i="2"/>
  <c r="R297" i="2"/>
  <c r="U274" i="2"/>
  <c r="R307" i="2"/>
  <c r="R301" i="2"/>
  <c r="Z1" i="3"/>
  <c r="T120" i="2" a="1"/>
  <c r="T140" i="2" a="1"/>
  <c r="T42" i="2" a="1"/>
  <c r="T172" i="2" a="1"/>
  <c r="T212" i="2" a="1"/>
  <c r="T171" i="2" a="1"/>
  <c r="T13" i="2" a="1"/>
  <c r="T192" i="2" a="1"/>
  <c r="T9" i="2" a="1"/>
  <c r="T262" i="2" a="1"/>
  <c r="T181" i="2" a="1"/>
  <c r="T5" i="2" a="1"/>
  <c r="T263" i="2" a="1"/>
  <c r="T143" i="2" a="1"/>
  <c r="T296" i="2" a="1"/>
  <c r="T67" i="2" a="1"/>
  <c r="T11" i="2" a="1"/>
  <c r="T8" i="2" a="1"/>
  <c r="T164" i="2" a="1"/>
  <c r="T191" i="2" a="1"/>
  <c r="T152" i="2" a="1"/>
  <c r="T66" i="2" a="1"/>
  <c r="T160" i="2" a="1"/>
  <c r="T12" i="2" a="1"/>
  <c r="T138" i="2" a="1"/>
  <c r="T222" i="2" a="1"/>
  <c r="T10" i="2" a="1"/>
  <c r="T101" i="2" a="1"/>
  <c r="T218" i="2" a="1"/>
  <c r="T220" i="2" a="1"/>
  <c r="T59" i="2" a="1"/>
  <c r="T163" i="2" a="1"/>
  <c r="T301" i="2" a="1"/>
  <c r="T189" i="2" a="1"/>
  <c r="T100" i="2" a="1"/>
  <c r="T205" i="2" a="1"/>
  <c r="T216" i="2" a="1"/>
  <c r="T3" i="2" a="1"/>
  <c r="T304" i="2" a="1"/>
  <c r="T17" i="2" a="1"/>
  <c r="T40" i="2" a="1"/>
  <c r="T24" i="2" a="1"/>
  <c r="T303" i="2" a="1"/>
  <c r="T236" i="2" a="1"/>
  <c r="T243" i="2" a="1"/>
  <c r="T150" i="2" a="1"/>
  <c r="T44" i="2" a="1"/>
  <c r="T2" i="2" a="1"/>
  <c r="T108" i="2" a="1"/>
  <c r="T75" i="2" a="1"/>
  <c r="T38" i="2" a="1"/>
  <c r="T297" i="2" a="1"/>
  <c r="T292" i="2" a="1"/>
  <c r="T306" i="2" a="1"/>
  <c r="T84" i="2" a="1"/>
  <c r="T132" i="2" a="1"/>
  <c r="T254" i="2" a="1"/>
  <c r="T158" i="2" a="1"/>
  <c r="T285" i="2" a="1"/>
  <c r="T110" i="2" a="1"/>
  <c r="T302" i="2" a="1"/>
  <c r="T215" i="2" a="1"/>
  <c r="T118" i="2" a="1"/>
  <c r="T65" i="2" a="1"/>
  <c r="T34" i="2" a="1"/>
  <c r="T134" i="2" a="1"/>
  <c r="T210" i="2" a="1"/>
  <c r="T71" i="2" a="1"/>
  <c r="T233" i="2" a="1"/>
  <c r="T47" i="2" a="1"/>
  <c r="T35" i="2" a="1"/>
  <c r="T183" i="2" a="1"/>
  <c r="T161" i="2" a="1"/>
  <c r="T49" i="2" a="1"/>
  <c r="T93" i="2" a="1"/>
  <c r="T272" i="2" a="1"/>
  <c r="T116" i="2" a="1"/>
  <c r="T51" i="2" a="1"/>
  <c r="T290" i="2" a="1"/>
  <c r="T106" i="2" a="1"/>
  <c r="T58" i="2" a="1"/>
  <c r="T175" i="2" a="1"/>
  <c r="T99" i="2" a="1"/>
  <c r="T240" i="2" a="1"/>
  <c r="T81" i="2" a="1"/>
  <c r="T259" i="2" a="1"/>
  <c r="T194" i="2" a="1"/>
  <c r="T70" i="2" a="1"/>
  <c r="T73" i="2" a="1"/>
  <c r="T83" i="2" a="1"/>
  <c r="T185" i="2" a="1"/>
  <c r="T122" i="2" a="1"/>
  <c r="T151" i="2" a="1"/>
  <c r="T21" i="2" a="1"/>
  <c r="T227" i="2" a="1"/>
  <c r="T273" i="2" a="1"/>
  <c r="T142" i="2" a="1"/>
  <c r="T286" i="2" a="1"/>
  <c r="T30" i="2" a="1"/>
  <c r="T214" i="2" a="1"/>
  <c r="T264" i="2" a="1"/>
  <c r="T159" i="2" a="1"/>
  <c r="T219" i="2" a="1"/>
  <c r="T128" i="2" a="1"/>
  <c r="T293" i="2" a="1"/>
  <c r="T255" i="2" a="1"/>
  <c r="T121" i="2" a="1"/>
  <c r="T166" i="2" a="1"/>
  <c r="T105" i="2" a="1"/>
  <c r="T249" i="2" a="1"/>
  <c r="T179" i="2" a="1"/>
  <c r="T250" i="2" a="1"/>
  <c r="T165" i="2" a="1"/>
  <c r="T102" i="2" a="1"/>
  <c r="S231" i="2" a="1"/>
  <c r="T112" i="2" a="1"/>
  <c r="T197" i="2" a="1"/>
  <c r="T52" i="2" a="1"/>
  <c r="T86" i="2" a="1"/>
  <c r="T232" i="2" a="1"/>
  <c r="T153" i="2" a="1"/>
  <c r="T206" i="2" a="1"/>
  <c r="T242" i="2" a="1"/>
  <c r="T223" i="2" a="1"/>
  <c r="T190" i="2" a="1"/>
  <c r="T277" i="2" a="1"/>
  <c r="T239" i="2" a="1"/>
  <c r="T111" i="2" a="1"/>
  <c r="T270" i="2" a="1"/>
  <c r="T61" i="2" a="1"/>
  <c r="T257" i="2" a="1"/>
  <c r="T48" i="2" a="1"/>
  <c r="T162" i="2" a="1"/>
  <c r="T307" i="2" a="1"/>
  <c r="T198" i="2" a="1"/>
  <c r="T221" i="2" a="1"/>
  <c r="T15" i="2" a="1"/>
  <c r="T298" i="2" a="1"/>
  <c r="T149" i="2" a="1"/>
  <c r="T178" i="2" a="1"/>
  <c r="T139" i="2" a="1"/>
  <c r="T79" i="2" a="1"/>
  <c r="T294" i="2" a="1"/>
  <c r="T195" i="2" a="1"/>
  <c r="T127" i="2" a="1"/>
  <c r="T180" i="2" a="1"/>
  <c r="T54" i="2" a="1"/>
  <c r="T90" i="2" a="1"/>
  <c r="T176" i="2" a="1"/>
  <c r="T157" i="2" a="1"/>
  <c r="T251" i="2" a="1"/>
  <c r="T246" i="2" a="1"/>
  <c r="T148" i="2" a="1"/>
  <c r="T74" i="2" a="1"/>
  <c r="T23" i="2" a="1"/>
  <c r="T16" i="2" a="1"/>
  <c r="T256" i="2" a="1"/>
  <c r="T45" i="2" a="1"/>
  <c r="T107" i="2" a="1"/>
  <c r="T133" i="2" a="1"/>
  <c r="T234" i="2" a="1"/>
  <c r="T291" i="2" a="1"/>
  <c r="T305" i="2" a="1"/>
  <c r="T200" i="2" a="1"/>
  <c r="T126" i="2" a="1"/>
  <c r="T69" i="2" a="1"/>
  <c r="T213" i="2" a="1"/>
  <c r="T244" i="2" a="1"/>
  <c r="T217" i="2" a="1"/>
  <c r="T278" i="2" a="1"/>
  <c r="T188" i="2" a="1"/>
  <c r="T29" i="2" a="1"/>
  <c r="T91" i="2" a="1"/>
  <c r="T241" i="2" a="1"/>
  <c r="T46" i="2" a="1"/>
  <c r="T167" i="2" a="1"/>
  <c r="T288" i="2" a="1"/>
  <c r="T202" i="2" a="1"/>
  <c r="T173" i="2" a="1"/>
  <c r="T18" i="2" a="1"/>
  <c r="T43" i="2" a="1"/>
  <c r="T137" i="2" a="1"/>
  <c r="T31" i="2" a="1"/>
  <c r="T119" i="2" a="1"/>
  <c r="T53" i="2" a="1"/>
  <c r="T145" i="2" a="1"/>
  <c r="T209" i="2" a="1"/>
  <c r="T193" i="2" a="1"/>
  <c r="T82" i="2" a="1"/>
  <c r="T4" i="2" a="1"/>
  <c r="T77" i="2" a="1"/>
  <c r="T226" i="2" a="1"/>
  <c r="T64" i="2" a="1"/>
  <c r="T144" i="2" a="1"/>
  <c r="T22" i="2" a="1"/>
  <c r="T300" i="2" a="1"/>
  <c r="T228" i="2" a="1"/>
  <c r="T170" i="2" a="1"/>
  <c r="T135" i="2" a="1"/>
  <c r="T268" i="2" a="1"/>
  <c r="T271" i="2" a="1"/>
  <c r="T281" i="2" a="1"/>
  <c r="T252" i="2" a="1"/>
  <c r="T276" i="2" a="1"/>
  <c r="T247" i="2" a="1"/>
  <c r="T78" i="2" a="1"/>
  <c r="T311" i="2" a="1"/>
  <c r="T85" i="2" a="1"/>
  <c r="T28" i="2" a="1"/>
  <c r="T295" i="2" a="1"/>
  <c r="T89" i="2" a="1"/>
  <c r="T289" i="2" a="1"/>
  <c r="T253" i="2" a="1"/>
  <c r="T103" i="2" a="1"/>
  <c r="T96" i="2" a="1"/>
  <c r="T155" i="2" a="1"/>
  <c r="T124" i="2" a="1"/>
  <c r="T309" i="2" a="1"/>
  <c r="T299" i="2" a="1"/>
  <c r="T36" i="2" a="1"/>
  <c r="T248" i="2" a="1"/>
  <c r="T184" i="2" a="1"/>
  <c r="T147" i="2" a="1"/>
  <c r="T95" i="2" a="1"/>
  <c r="T269" i="2" a="1"/>
  <c r="T186" i="2" a="1"/>
  <c r="T94" i="2" a="1"/>
  <c r="T117" i="2" a="1"/>
  <c r="T279" i="2" a="1"/>
  <c r="T50" i="2" a="1"/>
  <c r="T88" i="2" a="1"/>
  <c r="T308" i="2" a="1"/>
  <c r="T287" i="2" a="1"/>
  <c r="T258" i="2" a="1"/>
  <c r="T284" i="2" a="1"/>
  <c r="T182" i="2" a="1"/>
  <c r="T154" i="2" a="1"/>
  <c r="T104" i="2" a="1"/>
  <c r="T280" i="2" a="1"/>
  <c r="T196" i="2" a="1"/>
  <c r="T204" i="2" a="1"/>
  <c r="T260" i="2" a="1"/>
  <c r="T169" i="2" a="1"/>
  <c r="T33" i="2" a="1"/>
  <c r="T115" i="2" a="1"/>
  <c r="T130" i="2" a="1"/>
  <c r="T310" i="2" a="1"/>
  <c r="T266" i="2" a="1"/>
  <c r="T275" i="2" a="1"/>
  <c r="T201" i="2" a="1"/>
  <c r="T109" i="2" a="1"/>
  <c r="T283" i="2" a="1"/>
  <c r="T19" i="2" a="1"/>
  <c r="T20" i="2" a="1"/>
  <c r="T224" i="2" a="1"/>
  <c r="T72" i="2" a="1"/>
  <c r="T92" i="2" a="1"/>
  <c r="T207" i="2" a="1"/>
  <c r="T123" i="2" a="1"/>
  <c r="T229" i="2" a="1"/>
  <c r="T274" i="2" a="1"/>
  <c r="T267" i="2" a="1"/>
  <c r="T114" i="2" a="1"/>
  <c r="T80" i="2" a="1"/>
  <c r="T41" i="2" a="1"/>
  <c r="T199" i="2" a="1"/>
  <c r="T39" i="2" a="1"/>
  <c r="T177" i="2" a="1"/>
  <c r="T235" i="2" a="1"/>
  <c r="T56" i="2" a="1"/>
  <c r="T261" i="2" a="1"/>
  <c r="T125" i="2" a="1"/>
  <c r="T37" i="2" a="1"/>
  <c r="T237" i="2" a="1"/>
  <c r="T87" i="2" a="1"/>
  <c r="T141" i="2" a="1"/>
  <c r="T7" i="2" a="1"/>
  <c r="T6" i="2" a="1"/>
  <c r="T97" i="2" a="1"/>
  <c r="T208" i="2" a="1"/>
  <c r="T131" i="2" a="1"/>
  <c r="T129" i="2" a="1"/>
  <c r="T146" i="2" a="1"/>
  <c r="T136" i="2" a="1"/>
  <c r="T230" i="2" a="1"/>
  <c r="T265" i="2" a="1"/>
  <c r="T238" i="2" a="1"/>
  <c r="T245" i="2" a="1"/>
  <c r="T113" i="2" a="1"/>
  <c r="T225" i="2" a="1"/>
  <c r="T62" i="2" a="1"/>
  <c r="T203" i="2" a="1"/>
  <c r="T60" i="2" a="1"/>
  <c r="T282" i="2" a="1"/>
  <c r="T76" i="2" a="1"/>
  <c r="T174" i="2" a="1"/>
  <c r="T156" i="2" a="1"/>
  <c r="T211" i="2" a="1"/>
  <c r="T14" i="2" a="1"/>
  <c r="T168" i="2" a="1"/>
  <c r="T187" i="2" a="1"/>
  <c r="T74" i="2" l="1"/>
  <c r="V74" i="2" s="1"/>
  <c r="T51" i="2"/>
  <c r="T120" i="2"/>
  <c r="V120" i="2" s="1"/>
  <c r="V57" i="2"/>
  <c r="V98" i="2"/>
  <c r="V27" i="2"/>
  <c r="V63" i="2"/>
  <c r="V25" i="2"/>
  <c r="V68" i="2"/>
  <c r="V51" i="2"/>
  <c r="V32" i="2"/>
  <c r="V55" i="2"/>
  <c r="T251" i="2"/>
  <c r="V251" i="2" s="1"/>
  <c r="T115" i="2"/>
  <c r="V115" i="2" s="1"/>
  <c r="T204" i="2"/>
  <c r="V204" i="2" s="1"/>
  <c r="T303" i="2"/>
  <c r="V303" i="2" s="1"/>
  <c r="T211" i="2"/>
  <c r="V211" i="2" s="1"/>
  <c r="T181" i="2"/>
  <c r="V181" i="2" s="1"/>
  <c r="T216" i="2"/>
  <c r="V216" i="2" s="1"/>
  <c r="T61" i="2"/>
  <c r="V61" i="2" s="1"/>
  <c r="T276" i="2"/>
  <c r="V276" i="2" s="1"/>
  <c r="T130" i="2"/>
  <c r="V130" i="2" s="1"/>
  <c r="T2" i="2"/>
  <c r="V2" i="2" s="1"/>
  <c r="T148" i="2"/>
  <c r="V148" i="2" s="1"/>
  <c r="T177" i="2"/>
  <c r="V177" i="2" s="1"/>
  <c r="T263" i="2"/>
  <c r="V263" i="2" s="1"/>
  <c r="T167" i="2"/>
  <c r="V167" i="2" s="1"/>
  <c r="T81" i="2"/>
  <c r="V81" i="2" s="1"/>
  <c r="T262" i="2"/>
  <c r="V262" i="2" s="1"/>
  <c r="T166" i="2"/>
  <c r="V166" i="2" s="1"/>
  <c r="T300" i="2"/>
  <c r="V300" i="2" s="1"/>
  <c r="T293" i="2"/>
  <c r="V293" i="2" s="1"/>
  <c r="T170" i="2"/>
  <c r="V170" i="2" s="1"/>
  <c r="T165" i="2"/>
  <c r="V165" i="2" s="1"/>
  <c r="T272" i="2"/>
  <c r="V272" i="2" s="1"/>
  <c r="T160" i="2"/>
  <c r="V160" i="2" s="1"/>
  <c r="T71" i="2"/>
  <c r="V71" i="2" s="1"/>
  <c r="T299" i="2"/>
  <c r="V299" i="2" s="1"/>
  <c r="T254" i="2"/>
  <c r="V254" i="2" s="1"/>
  <c r="T123" i="2"/>
  <c r="V123" i="2" s="1"/>
  <c r="T15" i="2"/>
  <c r="V15" i="2" s="1"/>
  <c r="T45" i="2"/>
  <c r="V45" i="2" s="1"/>
  <c r="T184" i="2"/>
  <c r="V184" i="2" s="1"/>
  <c r="T125" i="2"/>
  <c r="V125" i="2" s="1"/>
  <c r="T201" i="2"/>
  <c r="V201" i="2" s="1"/>
  <c r="T42" i="2"/>
  <c r="V42" i="2" s="1"/>
  <c r="T58" i="2"/>
  <c r="V58" i="2" s="1"/>
  <c r="T21" i="2"/>
  <c r="V21" i="2" s="1"/>
  <c r="T226" i="2"/>
  <c r="V226" i="2" s="1"/>
  <c r="T56" i="2"/>
  <c r="V56" i="2" s="1"/>
  <c r="T30" i="2"/>
  <c r="V30" i="2" s="1"/>
  <c r="T301" i="2"/>
  <c r="V301" i="2" s="1"/>
  <c r="T261" i="2"/>
  <c r="V261" i="2" s="1"/>
  <c r="T62" i="2"/>
  <c r="V62" i="2" s="1"/>
  <c r="T86" i="2"/>
  <c r="V86" i="2" s="1"/>
  <c r="T246" i="2"/>
  <c r="V246" i="2" s="1"/>
  <c r="T126" i="2"/>
  <c r="V126" i="2" s="1"/>
  <c r="T178" i="2"/>
  <c r="V178" i="2" s="1"/>
  <c r="T133" i="2"/>
  <c r="V133" i="2" s="1"/>
  <c r="T218" i="2"/>
  <c r="V218" i="2" s="1"/>
  <c r="T29" i="2"/>
  <c r="V29" i="2" s="1"/>
  <c r="T224" i="2"/>
  <c r="V224" i="2" s="1"/>
  <c r="T290" i="2"/>
  <c r="V290" i="2" s="1"/>
  <c r="T222" i="2"/>
  <c r="V222" i="2" s="1"/>
  <c r="T260" i="2"/>
  <c r="V260" i="2" s="1"/>
  <c r="T75" i="2"/>
  <c r="V75" i="2" s="1"/>
  <c r="T241" i="2"/>
  <c r="V241" i="2" s="1"/>
  <c r="T176" i="2"/>
  <c r="V176" i="2" s="1"/>
  <c r="T46" i="2"/>
  <c r="V46" i="2" s="1"/>
  <c r="T173" i="2"/>
  <c r="V173" i="2" s="1"/>
  <c r="T247" i="2"/>
  <c r="V247" i="2" s="1"/>
  <c r="T186" i="2"/>
  <c r="V186" i="2" s="1"/>
  <c r="T183" i="2"/>
  <c r="V183" i="2" s="1"/>
  <c r="T267" i="2"/>
  <c r="V267" i="2" s="1"/>
  <c r="T40" i="2"/>
  <c r="V40" i="2" s="1"/>
  <c r="T191" i="2"/>
  <c r="V191" i="2" s="1"/>
  <c r="T90" i="2"/>
  <c r="V90" i="2" s="1"/>
  <c r="T295" i="2"/>
  <c r="V295" i="2" s="1"/>
  <c r="T311" i="2"/>
  <c r="V311" i="2" s="1"/>
  <c r="T38" i="2"/>
  <c r="V38" i="2" s="1"/>
  <c r="T277" i="2"/>
  <c r="V277" i="2" s="1"/>
  <c r="T67" i="2"/>
  <c r="V67" i="2" s="1"/>
  <c r="T304" i="2"/>
  <c r="V304" i="2" s="1"/>
  <c r="T269" i="2"/>
  <c r="V269" i="2" s="1"/>
  <c r="T136" i="2"/>
  <c r="V136" i="2" s="1"/>
  <c r="T189" i="2"/>
  <c r="V189" i="2" s="1"/>
  <c r="T219" i="2"/>
  <c r="V219" i="2" s="1"/>
  <c r="T209" i="2"/>
  <c r="V209" i="2" s="1"/>
  <c r="T79" i="2"/>
  <c r="V79" i="2" s="1"/>
  <c r="T234" i="2"/>
  <c r="V234" i="2" s="1"/>
  <c r="T33" i="2"/>
  <c r="V33" i="2" s="1"/>
  <c r="T220" i="2"/>
  <c r="V220" i="2" s="1"/>
  <c r="T185" i="2"/>
  <c r="V185" i="2" s="1"/>
  <c r="T187" i="2"/>
  <c r="V187" i="2" s="1"/>
  <c r="T93" i="2"/>
  <c r="V93" i="2" s="1"/>
  <c r="T233" i="2"/>
  <c r="V233" i="2" s="1"/>
  <c r="T153" i="2"/>
  <c r="V153" i="2" s="1"/>
  <c r="T193" i="2"/>
  <c r="V193" i="2" s="1"/>
  <c r="T17" i="2"/>
  <c r="V17" i="2" s="1"/>
  <c r="T230" i="2"/>
  <c r="V230" i="2" s="1"/>
  <c r="T84" i="2"/>
  <c r="V84" i="2" s="1"/>
  <c r="T162" i="2"/>
  <c r="V162" i="2" s="1"/>
  <c r="T265" i="2"/>
  <c r="V265" i="2" s="1"/>
  <c r="T244" i="2"/>
  <c r="V244" i="2" s="1"/>
  <c r="T208" i="2"/>
  <c r="V208" i="2" s="1"/>
  <c r="T257" i="2"/>
  <c r="V257" i="2" s="1"/>
  <c r="T152" i="2"/>
  <c r="V152" i="2" s="1"/>
  <c r="T59" i="2"/>
  <c r="V59" i="2" s="1"/>
  <c r="T87" i="2"/>
  <c r="V87" i="2" s="1"/>
  <c r="T69" i="2"/>
  <c r="V69" i="2" s="1"/>
  <c r="T308" i="2"/>
  <c r="V308" i="2" s="1"/>
  <c r="T72" i="2"/>
  <c r="V72" i="2" s="1"/>
  <c r="T266" i="2"/>
  <c r="V266" i="2" s="1"/>
  <c r="T229" i="2"/>
  <c r="V229" i="2" s="1"/>
  <c r="T109" i="2"/>
  <c r="V109" i="2" s="1"/>
  <c r="T214" i="2"/>
  <c r="V214" i="2" s="1"/>
  <c r="T199" i="2"/>
  <c r="V199" i="2" s="1"/>
  <c r="T297" i="2"/>
  <c r="V297" i="2" s="1"/>
  <c r="T198" i="2"/>
  <c r="V198" i="2" s="1"/>
  <c r="T3" i="2"/>
  <c r="V3" i="2" s="1"/>
  <c r="T16" i="2"/>
  <c r="V16" i="2" s="1"/>
  <c r="T103" i="2"/>
  <c r="V103" i="2" s="1"/>
  <c r="T10" i="2"/>
  <c r="V10" i="2" s="1"/>
  <c r="T168" i="2"/>
  <c r="V168" i="2" s="1"/>
  <c r="T91" i="2"/>
  <c r="V91" i="2" s="1"/>
  <c r="T49" i="2"/>
  <c r="V49" i="2" s="1"/>
  <c r="T291" i="2"/>
  <c r="V291" i="2" s="1"/>
  <c r="T129" i="2"/>
  <c r="V129" i="2" s="1"/>
  <c r="T200" i="2"/>
  <c r="V200" i="2" s="1"/>
  <c r="T159" i="2"/>
  <c r="V159" i="2" s="1"/>
  <c r="T307" i="2"/>
  <c r="V307" i="2" s="1"/>
  <c r="T100" i="2"/>
  <c r="V100" i="2" s="1"/>
  <c r="T271" i="2"/>
  <c r="V271" i="2" s="1"/>
  <c r="T238" i="2"/>
  <c r="V238" i="2" s="1"/>
  <c r="T206" i="2"/>
  <c r="V206" i="2" s="1"/>
  <c r="T174" i="2"/>
  <c r="V174" i="2" s="1"/>
  <c r="T37" i="2"/>
  <c r="V37" i="2" s="1"/>
  <c r="T31" i="2"/>
  <c r="V31" i="2" s="1"/>
  <c r="T294" i="2"/>
  <c r="V294" i="2" s="1"/>
  <c r="T66" i="2"/>
  <c r="V66" i="2" s="1"/>
  <c r="T289" i="2"/>
  <c r="V289" i="2" s="1"/>
  <c r="T175" i="2"/>
  <c r="V175" i="2" s="1"/>
  <c r="T196" i="2"/>
  <c r="V196" i="2" s="1"/>
  <c r="T52" i="2"/>
  <c r="V52" i="2" s="1"/>
  <c r="T18" i="2"/>
  <c r="V18" i="2" s="1"/>
  <c r="T292" i="2"/>
  <c r="V292" i="2" s="1"/>
  <c r="T288" i="2"/>
  <c r="V288" i="2" s="1"/>
  <c r="T172" i="2"/>
  <c r="V172" i="2" s="1"/>
  <c r="T194" i="2"/>
  <c r="V194" i="2" s="1"/>
  <c r="T85" i="2"/>
  <c r="V85" i="2" s="1"/>
  <c r="T228" i="2"/>
  <c r="V228" i="2" s="1"/>
  <c r="T140" i="2"/>
  <c r="V140" i="2" s="1"/>
  <c r="T157" i="2"/>
  <c r="V157" i="2" s="1"/>
  <c r="T179" i="2"/>
  <c r="V179" i="2" s="1"/>
  <c r="T113" i="2"/>
  <c r="V113" i="2" s="1"/>
  <c r="T13" i="2"/>
  <c r="V13" i="2" s="1"/>
  <c r="T245" i="2"/>
  <c r="V245" i="2" s="1"/>
  <c r="T8" i="2"/>
  <c r="V8" i="2" s="1"/>
  <c r="T9" i="2"/>
  <c r="V9" i="2" s="1"/>
  <c r="T205" i="2"/>
  <c r="V205" i="2" s="1"/>
  <c r="T147" i="2"/>
  <c r="V147" i="2" s="1"/>
  <c r="T112" i="2"/>
  <c r="V112" i="2" s="1"/>
  <c r="T137" i="2"/>
  <c r="V137" i="2" s="1"/>
  <c r="T145" i="2"/>
  <c r="V145" i="2" s="1"/>
  <c r="T210" i="2"/>
  <c r="V210" i="2" s="1"/>
  <c r="T124" i="2"/>
  <c r="V124" i="2" s="1"/>
  <c r="T24" i="2"/>
  <c r="V24" i="2" s="1"/>
  <c r="T144" i="2"/>
  <c r="V144" i="2" s="1"/>
  <c r="T203" i="2"/>
  <c r="V203" i="2" s="1"/>
  <c r="T99" i="2"/>
  <c r="V99" i="2" s="1"/>
  <c r="T122" i="2"/>
  <c r="V122" i="2" s="1"/>
  <c r="T117" i="2"/>
  <c r="V117" i="2" s="1"/>
  <c r="T240" i="2"/>
  <c r="V240" i="2" s="1"/>
  <c r="T202" i="2"/>
  <c r="V202" i="2" s="1"/>
  <c r="T82" i="2"/>
  <c r="V82" i="2" s="1"/>
  <c r="T227" i="2"/>
  <c r="V227" i="2" s="1"/>
  <c r="T77" i="2"/>
  <c r="V77" i="2" s="1"/>
  <c r="T20" i="2"/>
  <c r="V20" i="2" s="1"/>
  <c r="T192" i="2"/>
  <c r="V192" i="2" s="1"/>
  <c r="T111" i="2"/>
  <c r="V111" i="2" s="1"/>
  <c r="T149" i="2"/>
  <c r="V149" i="2" s="1"/>
  <c r="T221" i="2"/>
  <c r="V221" i="2" s="1"/>
  <c r="T108" i="2"/>
  <c r="V108" i="2" s="1"/>
  <c r="T118" i="2"/>
  <c r="V118" i="2" s="1"/>
  <c r="T270" i="2"/>
  <c r="V270" i="2" s="1"/>
  <c r="T156" i="2"/>
  <c r="V156" i="2" s="1"/>
  <c r="T283" i="2"/>
  <c r="V283" i="2" s="1"/>
  <c r="T41" i="2"/>
  <c r="V41" i="2" s="1"/>
  <c r="T217" i="2"/>
  <c r="V217" i="2" s="1"/>
  <c r="T180" i="2"/>
  <c r="V180" i="2" s="1"/>
  <c r="T258" i="2"/>
  <c r="V258" i="2" s="1"/>
  <c r="T65" i="2"/>
  <c r="V65" i="2" s="1"/>
  <c r="T163" i="2"/>
  <c r="V163" i="2" s="1"/>
  <c r="T114" i="2"/>
  <c r="V114" i="2" s="1"/>
  <c r="T143" i="2"/>
  <c r="V143" i="2" s="1"/>
  <c r="T142" i="2"/>
  <c r="V142" i="2" s="1"/>
  <c r="T80" i="2"/>
  <c r="V80" i="2" s="1"/>
  <c r="T89" i="2"/>
  <c r="V89" i="2" s="1"/>
  <c r="T250" i="2"/>
  <c r="V250" i="2" s="1"/>
  <c r="T107" i="2"/>
  <c r="V107" i="2" s="1"/>
  <c r="T50" i="2"/>
  <c r="V50" i="2" s="1"/>
  <c r="T132" i="2"/>
  <c r="V132" i="2" s="1"/>
  <c r="T14" i="2"/>
  <c r="V14" i="2" s="1"/>
  <c r="T259" i="2"/>
  <c r="V259" i="2" s="1"/>
  <c r="T278" i="2"/>
  <c r="V278" i="2" s="1"/>
  <c r="T12" i="2"/>
  <c r="V12" i="2" s="1"/>
  <c r="T248" i="2"/>
  <c r="V248" i="2" s="1"/>
  <c r="T274" i="2"/>
  <c r="V274" i="2" s="1"/>
  <c r="T104" i="2"/>
  <c r="V104" i="2" s="1"/>
  <c r="T236" i="2"/>
  <c r="V236" i="2" s="1"/>
  <c r="T83" i="2"/>
  <c r="V83" i="2" s="1"/>
  <c r="T305" i="2"/>
  <c r="V305" i="2" s="1"/>
  <c r="T268" i="2"/>
  <c r="V268" i="2" s="1"/>
  <c r="T273" i="2"/>
  <c r="V273" i="2" s="1"/>
  <c r="T135" i="2"/>
  <c r="V135" i="2" s="1"/>
  <c r="T131" i="2"/>
  <c r="V131" i="2" s="1"/>
  <c r="T48" i="2"/>
  <c r="V48" i="2" s="1"/>
  <c r="T255" i="2"/>
  <c r="V255" i="2" s="1"/>
  <c r="T64" i="2"/>
  <c r="V64" i="2" s="1"/>
  <c r="T188" i="2"/>
  <c r="V188" i="2" s="1"/>
  <c r="T60" i="2"/>
  <c r="V60" i="2" s="1"/>
  <c r="T281" i="2"/>
  <c r="V281" i="2" s="1"/>
  <c r="T298" i="2"/>
  <c r="V298" i="2" s="1"/>
  <c r="T243" i="2"/>
  <c r="V243" i="2" s="1"/>
  <c r="T232" i="2"/>
  <c r="V232" i="2" s="1"/>
  <c r="T207" i="2"/>
  <c r="V207" i="2" s="1"/>
  <c r="T119" i="2"/>
  <c r="V119" i="2" s="1"/>
  <c r="T242" i="2"/>
  <c r="V242" i="2" s="1"/>
  <c r="T141" i="2"/>
  <c r="V141" i="2" s="1"/>
  <c r="T139" i="2"/>
  <c r="V139" i="2" s="1"/>
  <c r="T279" i="2"/>
  <c r="V279" i="2" s="1"/>
  <c r="T215" i="2"/>
  <c r="V215" i="2" s="1"/>
  <c r="T158" i="2"/>
  <c r="V158" i="2" s="1"/>
  <c r="T106" i="2"/>
  <c r="V106" i="2" s="1"/>
  <c r="T97" i="2"/>
  <c r="V97" i="2" s="1"/>
  <c r="T264" i="2"/>
  <c r="V264" i="2" s="1"/>
  <c r="T154" i="2"/>
  <c r="V154" i="2" s="1"/>
  <c r="T286" i="2"/>
  <c r="V286" i="2" s="1"/>
  <c r="T88" i="2"/>
  <c r="V88" i="2" s="1"/>
  <c r="T302" i="2"/>
  <c r="V302" i="2" s="1"/>
  <c r="T102" i="2"/>
  <c r="V102" i="2" s="1"/>
  <c r="T101" i="2"/>
  <c r="V101" i="2" s="1"/>
  <c r="T53" i="2"/>
  <c r="V53" i="2" s="1"/>
  <c r="T7" i="2"/>
  <c r="V7" i="2" s="1"/>
  <c r="T225" i="2"/>
  <c r="V225" i="2" s="1"/>
  <c r="T190" i="2"/>
  <c r="V190" i="2" s="1"/>
  <c r="T6" i="2"/>
  <c r="V6" i="2" s="1"/>
  <c r="T73" i="2"/>
  <c r="V73" i="2" s="1"/>
  <c r="T223" i="2"/>
  <c r="V223" i="2" s="1"/>
  <c r="T253" i="2"/>
  <c r="V253" i="2" s="1"/>
  <c r="T134" i="2"/>
  <c r="V134" i="2" s="1"/>
  <c r="T252" i="2"/>
  <c r="V252" i="2" s="1"/>
  <c r="T235" i="2"/>
  <c r="V235" i="2" s="1"/>
  <c r="T70" i="2"/>
  <c r="V70" i="2" s="1"/>
  <c r="T161" i="2"/>
  <c r="V161" i="2" s="1"/>
  <c r="T138" i="2"/>
  <c r="V138" i="2" s="1"/>
  <c r="T213" i="2"/>
  <c r="V213" i="2" s="1"/>
  <c r="T128" i="2"/>
  <c r="V128" i="2" s="1"/>
  <c r="T169" i="2"/>
  <c r="V169" i="2" s="1"/>
  <c r="T296" i="2"/>
  <c r="V296" i="2" s="1"/>
  <c r="T249" i="2"/>
  <c r="V249" i="2" s="1"/>
  <c r="T150" i="2"/>
  <c r="V150" i="2" s="1"/>
  <c r="T239" i="2"/>
  <c r="V239" i="2" s="1"/>
  <c r="T121" i="2"/>
  <c r="V121" i="2" s="1"/>
  <c r="T76" i="2"/>
  <c r="V76" i="2" s="1"/>
  <c r="T78" i="2"/>
  <c r="V78" i="2" s="1"/>
  <c r="T306" i="2"/>
  <c r="V306" i="2" s="1"/>
  <c r="T212" i="2"/>
  <c r="V212" i="2" s="1"/>
  <c r="T155" i="2"/>
  <c r="V155" i="2" s="1"/>
  <c r="T182" i="2"/>
  <c r="V182" i="2" s="1"/>
  <c r="T171" i="2"/>
  <c r="V171" i="2" s="1"/>
  <c r="T237" i="2"/>
  <c r="V237" i="2" s="1"/>
  <c r="T105" i="2"/>
  <c r="V105" i="2" s="1"/>
  <c r="T11" i="2"/>
  <c r="V11" i="2" s="1"/>
  <c r="T146" i="2"/>
  <c r="V146" i="2" s="1"/>
  <c r="T35" i="2"/>
  <c r="V35" i="2" s="1"/>
  <c r="T22" i="2"/>
  <c r="V22" i="2" s="1"/>
  <c r="T23" i="2"/>
  <c r="V23" i="2" s="1"/>
  <c r="S231" i="2"/>
  <c r="T96" i="2"/>
  <c r="V96" i="2" s="1"/>
  <c r="T39" i="2"/>
  <c r="V39" i="2" s="1"/>
  <c r="T47" i="2"/>
  <c r="V47" i="2" s="1"/>
  <c r="T285" i="2"/>
  <c r="V285" i="2" s="1"/>
  <c r="T280" i="2"/>
  <c r="V280" i="2" s="1"/>
  <c r="T94" i="2"/>
  <c r="V94" i="2" s="1"/>
  <c r="T95" i="2"/>
  <c r="V95" i="2" s="1"/>
  <c r="T5" i="2"/>
  <c r="V5" i="2" s="1"/>
  <c r="T19" i="2"/>
  <c r="V19" i="2" s="1"/>
  <c r="T310" i="2"/>
  <c r="V310" i="2" s="1"/>
  <c r="T44" i="2"/>
  <c r="V44" i="2" s="1"/>
  <c r="T151" i="2"/>
  <c r="V151" i="2" s="1"/>
  <c r="T54" i="2"/>
  <c r="V54" i="2" s="1"/>
  <c r="T287" i="2"/>
  <c r="V287" i="2" s="1"/>
  <c r="T195" i="2"/>
  <c r="V195" i="2" s="1"/>
  <c r="T4" i="2"/>
  <c r="V4" i="2" s="1"/>
  <c r="T127" i="2"/>
  <c r="V127" i="2" s="1"/>
  <c r="T116" i="2"/>
  <c r="V116" i="2" s="1"/>
  <c r="T309" i="2"/>
  <c r="V309" i="2" s="1"/>
  <c r="T28" i="2"/>
  <c r="V28" i="2" s="1"/>
  <c r="T164" i="2"/>
  <c r="V164" i="2" s="1"/>
  <c r="T36" i="2"/>
  <c r="V36" i="2" s="1"/>
  <c r="T284" i="2"/>
  <c r="V284" i="2" s="1"/>
  <c r="T256" i="2"/>
  <c r="V256" i="2" s="1"/>
  <c r="T43" i="2"/>
  <c r="V43" i="2" s="1"/>
  <c r="T282" i="2"/>
  <c r="V282" i="2" s="1"/>
  <c r="T92" i="2"/>
  <c r="V92" i="2" s="1"/>
  <c r="T275" i="2"/>
  <c r="V275" i="2" s="1"/>
  <c r="T197" i="2"/>
  <c r="V197" i="2" s="1"/>
  <c r="T110" i="2"/>
  <c r="V110" i="2" s="1"/>
  <c r="T34" i="2"/>
  <c r="V34" i="2" s="1"/>
  <c r="C11" i="4" a="1"/>
  <c r="C11" i="4" s="1"/>
  <c r="B11" i="4" s="1"/>
  <c r="C2" i="4" a="1"/>
  <c r="C2" i="4" s="1"/>
  <c r="B2" i="4" s="1"/>
  <c r="C3" i="4" a="1"/>
  <c r="C3" i="4" s="1"/>
  <c r="B3" i="4" s="1"/>
  <c r="C4" i="4" a="1"/>
  <c r="C4" i="4" s="1"/>
  <c r="B4" i="4" s="1"/>
  <c r="C5" i="4" a="1"/>
  <c r="C5" i="4" s="1"/>
  <c r="B5" i="4" s="1"/>
  <c r="C12" i="4" a="1"/>
  <c r="C12" i="4" s="1"/>
  <c r="B12" i="4" s="1"/>
  <c r="C6" i="4" a="1"/>
  <c r="C6" i="4" s="1"/>
  <c r="B6" i="4" s="1"/>
  <c r="C7" i="4" a="1"/>
  <c r="C7" i="4" s="1"/>
  <c r="B7" i="4" s="1"/>
  <c r="C8" i="4" a="1"/>
  <c r="C8" i="4" s="1"/>
  <c r="B8" i="4" s="1"/>
  <c r="C9" i="4" a="1"/>
  <c r="C9" i="4" s="1"/>
  <c r="B9" i="4" s="1"/>
  <c r="C10" i="4" a="1"/>
  <c r="C10" i="4" s="1"/>
  <c r="B10" i="4" s="1"/>
  <c r="U231" i="2" l="1"/>
  <c r="R205" i="2"/>
  <c r="R294" i="2"/>
  <c r="R121" i="2"/>
  <c r="R160" i="2"/>
  <c r="R61" i="2"/>
  <c r="R260" i="2"/>
  <c r="R235" i="2"/>
  <c r="R286" i="2"/>
  <c r="R88" i="2"/>
  <c r="R31" i="2"/>
  <c r="R278" i="2"/>
  <c r="R191" i="2"/>
  <c r="R187" i="2"/>
  <c r="R190" i="2"/>
  <c r="R13" i="2"/>
  <c r="R137" i="2"/>
  <c r="R177" i="2"/>
  <c r="R20" i="2"/>
  <c r="R63" i="2"/>
  <c r="R150" i="2"/>
  <c r="R280" i="2"/>
  <c r="R114" i="2"/>
  <c r="R151" i="2"/>
  <c r="R305" i="2"/>
  <c r="R3" i="2"/>
  <c r="R140" i="2"/>
  <c r="R10" i="2"/>
  <c r="R263" i="2"/>
  <c r="R49" i="2"/>
  <c r="R45" i="2"/>
  <c r="R216" i="2"/>
  <c r="R32" i="2"/>
  <c r="R62" i="2"/>
  <c r="R275" i="2"/>
  <c r="R304" i="2"/>
  <c r="R178" i="2"/>
  <c r="R94" i="2"/>
  <c r="R169" i="2"/>
  <c r="R9" i="2"/>
  <c r="R136" i="2"/>
  <c r="R258" i="2"/>
  <c r="R257" i="2"/>
  <c r="R112" i="2"/>
  <c r="R41" i="2"/>
  <c r="R93" i="2"/>
  <c r="R309" i="2"/>
  <c r="R42" i="2"/>
  <c r="R194" i="2"/>
  <c r="R66" i="2"/>
  <c r="R230" i="2"/>
  <c r="R43" i="2"/>
  <c r="R82" i="2"/>
  <c r="R166" i="2"/>
  <c r="R196" i="2"/>
  <c r="R138" i="2"/>
  <c r="R164" i="2"/>
  <c r="R92" i="2"/>
  <c r="R132" i="2"/>
  <c r="R29" i="2"/>
  <c r="R186" i="2"/>
  <c r="R248" i="2"/>
  <c r="R97" i="2"/>
  <c r="R46" i="2"/>
  <c r="R100" i="2"/>
  <c r="R149" i="2"/>
  <c r="R207" i="2"/>
  <c r="R101" i="2"/>
  <c r="R298" i="2"/>
  <c r="R120" i="2"/>
  <c r="R79" i="2"/>
  <c r="R73" i="2"/>
  <c r="R71" i="2"/>
  <c r="R283" i="2"/>
  <c r="R184" i="2"/>
  <c r="R197" i="2"/>
  <c r="R68" i="2"/>
  <c r="R308" i="2"/>
  <c r="R15" i="2"/>
  <c r="R276" i="2"/>
  <c r="R131" i="2"/>
  <c r="R91" i="2"/>
  <c r="R236" i="2"/>
  <c r="R119" i="2"/>
  <c r="R290" i="2"/>
  <c r="R310" i="2"/>
  <c r="R172" i="2"/>
  <c r="R141" i="2"/>
  <c r="R242" i="2"/>
  <c r="R24" i="2"/>
  <c r="R98" i="2"/>
  <c r="R26" i="2"/>
  <c r="R222" i="2"/>
  <c r="R219" i="2"/>
  <c r="R127" i="2"/>
  <c r="R209" i="2"/>
  <c r="R17" i="2"/>
  <c r="R102" i="2"/>
  <c r="R128" i="2"/>
  <c r="R171" i="2"/>
  <c r="R221" i="2"/>
  <c r="R269" i="2"/>
  <c r="R34" i="2"/>
  <c r="R162" i="2"/>
  <c r="R306" i="2"/>
  <c r="R8" i="2"/>
  <c r="R311" i="2"/>
  <c r="R86" i="2"/>
  <c r="R289" i="2"/>
  <c r="R251" i="2"/>
  <c r="R27" i="2"/>
  <c r="R33" i="2"/>
  <c r="R285" i="2"/>
  <c r="R23" i="2"/>
  <c r="R292" i="2"/>
  <c r="R47" i="2"/>
  <c r="R176" i="2"/>
  <c r="R72" i="2"/>
  <c r="R282" i="2"/>
  <c r="R99" i="2"/>
  <c r="R103" i="2"/>
  <c r="R271" i="2"/>
  <c r="R215" i="2"/>
  <c r="R25" i="2"/>
  <c r="R252" i="2"/>
  <c r="R83" i="2"/>
  <c r="R291" i="2"/>
  <c r="R107" i="2"/>
  <c r="R193" i="2"/>
  <c r="R85" i="2"/>
  <c r="R245" i="2"/>
  <c r="R124" i="2"/>
  <c r="R220" i="2"/>
  <c r="R67" i="2"/>
  <c r="R267" i="2"/>
  <c r="R5" i="2"/>
  <c r="R123" i="2"/>
  <c r="R14" i="2"/>
  <c r="R44" i="2"/>
  <c r="R109" i="2"/>
  <c r="R145" i="2"/>
  <c r="R203" i="2"/>
  <c r="R250" i="2"/>
  <c r="R22" i="2"/>
  <c r="R133" i="2"/>
  <c r="R201" i="2"/>
  <c r="R273" i="2"/>
  <c r="R30" i="2"/>
</calcChain>
</file>

<file path=xl/sharedStrings.xml><?xml version="1.0" encoding="utf-8"?>
<sst xmlns="http://schemas.openxmlformats.org/spreadsheetml/2006/main" count="2943" uniqueCount="1910">
  <si>
    <t>Program</t>
  </si>
  <si>
    <t>Course Code</t>
  </si>
  <si>
    <t>CLO 01</t>
  </si>
  <si>
    <t>CLO 02</t>
  </si>
  <si>
    <t>CLO 03</t>
  </si>
  <si>
    <t>CLO 04</t>
  </si>
  <si>
    <t>CLO 05</t>
  </si>
  <si>
    <t>CLO 06</t>
  </si>
  <si>
    <t>CLO 07</t>
  </si>
  <si>
    <t>CLO 08</t>
  </si>
  <si>
    <t>CLO 09</t>
  </si>
  <si>
    <t>CLO 10</t>
  </si>
  <si>
    <t>CLO 11</t>
  </si>
  <si>
    <t>CLO 12</t>
  </si>
  <si>
    <t>CLO 13</t>
  </si>
  <si>
    <t>CLO 14</t>
  </si>
  <si>
    <t>CLO 15</t>
  </si>
  <si>
    <t>BMS</t>
  </si>
  <si>
    <t>BIOL 101</t>
  </si>
  <si>
    <t>Learn how evolution works, and the unity and the diversity of life</t>
  </si>
  <si>
    <t>Correlate basic life functions such as photosynthesis in plants to metabolism and respiration in animals</t>
  </si>
  <si>
    <t>Describe the DNA molecule, and describe DNA replication, including the principle steps and enzymes involved</t>
  </si>
  <si>
    <t>Define and be able to use the following terms correctly: genotype, phenotype, homozygous, heterozygous, alleles and genes</t>
  </si>
  <si>
    <t>BIOL 102</t>
  </si>
  <si>
    <t>Determine how cells and systems function in prokaryotes and eukaryotes.</t>
  </si>
  <si>
    <t>Appreciate the diversity of life.</t>
  </si>
  <si>
    <t>Understand the cell cycle and how cells divide in multicellular organisms.</t>
  </si>
  <si>
    <t>Understand meiosis and its underlying processes.</t>
  </si>
  <si>
    <t>Ability to apply their knowledge of the central dogma of biology in the fields of science</t>
  </si>
  <si>
    <t>Understand the Mendelian model of inheritance.</t>
  </si>
  <si>
    <t>Ability to determine how cells and systems function in both plants and animals</t>
  </si>
  <si>
    <t>Ability to analyse the role of nutritional intake to health outcome, and the role of the</t>
  </si>
  <si>
    <t>Ability to describe the different components of the immune system and their role in</t>
  </si>
  <si>
    <t>BIOL 111</t>
  </si>
  <si>
    <t>Apply lecture concepts in a laboratory setting (LAB)</t>
  </si>
  <si>
    <t>Ability to work in a team to solve real-life problems. (LAB)</t>
  </si>
  <si>
    <t>Gain basic laboratory skills, such as micropipetting, isolating DNA from bacterial sample, etc. (LAB+Q)</t>
  </si>
  <si>
    <t>Employment of standard observational strategies (LAB+Q)</t>
  </si>
  <si>
    <t>Understand the components of a scientific lab report (LAB)</t>
  </si>
  <si>
    <t>Ability to write scientific reports including data description, analysis, and drawing conclusions (LAB+Q)</t>
  </si>
  <si>
    <t>BIOL 112</t>
  </si>
  <si>
    <t>Apply lecture concepts in a laboratory setting</t>
  </si>
  <si>
    <t>Ability to work in a team to solve real-life problems.</t>
  </si>
  <si>
    <t>Understand the components of a scientific lab report</t>
  </si>
  <si>
    <t>BMS 201</t>
  </si>
  <si>
    <t>Ability to distinguish the basic groups of bacteria</t>
  </si>
  <si>
    <t>Ability to describe the microbial metabolism and understand the reproduction mechanisms of bacteria</t>
  </si>
  <si>
    <t>Ability to identify the principles of disease and the microbial mechanisms of pathogenicity</t>
  </si>
  <si>
    <t>Ability to work in teamwork to solve real life problems</t>
  </si>
  <si>
    <t>BMS 202</t>
  </si>
  <si>
    <t>BMS 203</t>
  </si>
  <si>
    <t>Ability to explain how chromosomes move through mitosis and meiosis</t>
  </si>
  <si>
    <t>Ability to demonstrate chromosome mutations and Linkage and chromosome mapping</t>
  </si>
  <si>
    <t>Discuss the role of gene expression on the development of organisms</t>
  </si>
  <si>
    <t>Learn how cancer developed due to multistep mutations</t>
  </si>
  <si>
    <t>BMS 204</t>
  </si>
  <si>
    <t>Recognize the physicochemical properties of biological monomers and polymers (amino acids, sugars, fatty acids and other lipid monomers, and nucleotides proteins, lipids, carbohydrates and nucleic acids)</t>
  </si>
  <si>
    <t>Identify the roles of biopolymer molecules in living cells.</t>
  </si>
  <si>
    <t>Explain how enzymes function as catalysts and understand the enzyme kinetics rules governing their action.</t>
  </si>
  <si>
    <t>Recognize the different ways that enzymes can be inhibited and predict if and how that inhibition can be reversed</t>
  </si>
  <si>
    <t>Recognize the reactions of major metabolic pathways: Central Metabolism (Glycolysis-Gluconeogenesis, Pentose-phosphate Pathway, Citric Acid Cycle) and Respiratory Electron Transport System, Glyoxylate Cycle; Beta-oxidation of fatty acids and the regulatory steps thereof</t>
  </si>
  <si>
    <t>Work in a team to solve real life problems</t>
  </si>
  <si>
    <t>BMS 205</t>
  </si>
  <si>
    <t>Understand the different types and examples of transport across a cell membrane.</t>
  </si>
  <si>
    <t>Understand the mechanisms of the action potential in axons and skeletal muscle.</t>
  </si>
  <si>
    <t>Know the organization of the autonomic nervous system (ANS).</t>
  </si>
  <si>
    <t>Understand the mechanisms of cardiac action potentials and pacemaking</t>
  </si>
  <si>
    <t>Describe factors regulating the force of myocardial contractions and cardiac cycle</t>
  </si>
  <si>
    <t>Discuss the relative roles of the muscles involved in breathing</t>
  </si>
  <si>
    <t>Understand the function of the renal tubule and Know the basics of the glomerular filtration rate (GFR).</t>
  </si>
  <si>
    <t>Understand Erythropoiesis and hemostasis</t>
  </si>
  <si>
    <t>Understand the metabolic function of the liver</t>
  </si>
  <si>
    <t>BMS 211</t>
  </si>
  <si>
    <t>Ability to point out the microbial metabolism</t>
  </si>
  <si>
    <t>Ability to predict the effect of physical and chemical treatments on the microbial growth</t>
  </si>
  <si>
    <t>Ability to demonstrate the mechanism of antimicrobial resistance</t>
  </si>
  <si>
    <t>BMS 212</t>
  </si>
  <si>
    <t>BMS 213</t>
  </si>
  <si>
    <t>Ability to demonstrate the mechanism of cytogenetics</t>
  </si>
  <si>
    <t>Ability to distinguish the Mating and Mutants of D. melanogaster</t>
  </si>
  <si>
    <t>Ability to distinguish Blood Typing and Clotting.</t>
  </si>
  <si>
    <t>Ability to demonstrate Chromosome Staining.</t>
  </si>
  <si>
    <t>Ability to distinguish the cell cycle stages in yeast.</t>
  </si>
  <si>
    <t>Ability to design a protocol to study Plant Tissue Culture.</t>
  </si>
  <si>
    <t>Ability to design a protocol to study DNA Isolation from Cheek Cells and VNTR Polymorphism</t>
  </si>
  <si>
    <t>Ability to point out DNA Polyacrylamide/Agarose Gel Electrophoresis.</t>
  </si>
  <si>
    <t>BMS 214</t>
  </si>
  <si>
    <t>Use current biochemical and molecular techniques to plan and carry out experiments.</t>
  </si>
  <si>
    <t>Analyze data using statistical methods where appropriate, and comprehend the limitations of</t>
  </si>
  <si>
    <t>Generate and test hypotheses related to a specific scientific problem.</t>
  </si>
  <si>
    <t>BMS 215</t>
  </si>
  <si>
    <t>Calculate nerve velocity impulse and record and know the importance of electromyography(EMG)</t>
  </si>
  <si>
    <t>understand the principal of reflex arc and Assess autonomic nervous system</t>
  </si>
  <si>
    <t>conclusions drawn from experimental data.</t>
  </si>
  <si>
    <t>Describe the importance of insuline, thyroid and glucocorticoid hormones &amp; discuss different cases senario</t>
  </si>
  <si>
    <t>measure BMI &amp; Calculate and balance the number of calories consumed in the diet and calories expended</t>
  </si>
  <si>
    <t>Design an experiment, defining the dependent variable, independent variable and the gold standard test.</t>
  </si>
  <si>
    <t>BMS 301</t>
  </si>
  <si>
    <t>BMS 303</t>
  </si>
  <si>
    <t>Learn how exploratory research design helps the researcher gain a feel for the</t>
  </si>
  <si>
    <t>Develop a hypothesis, a research problem and related questions</t>
  </si>
  <si>
    <t>Construct an appropriate design for a specific research question</t>
  </si>
  <si>
    <t>Interpret study results by considering bias, confounding, chance, and causality</t>
  </si>
  <si>
    <t>Understand the strengths and limitations of each type of study design, as</t>
  </si>
  <si>
    <t>Appreciate areas of ethical sensitivity in research design</t>
  </si>
  <si>
    <t>BMS 304</t>
  </si>
  <si>
    <t>Ability to predict the reasons of science corruption and recognize the research misconduct and data fabrication</t>
  </si>
  <si>
    <t>Ability to identify the different sources of disease and understand the biosafety levels</t>
  </si>
  <si>
    <t>Ability to understand how humans became research subjects and why science involve animals</t>
  </si>
  <si>
    <t>Ability to discuss the relationship between science and politics</t>
  </si>
  <si>
    <t>BMS 311</t>
  </si>
  <si>
    <t>BMS 320</t>
  </si>
  <si>
    <t>Manage and analyze biological datasets.</t>
  </si>
  <si>
    <t>Use the biological databases and analyze gene or protein sequences</t>
  </si>
  <si>
    <t>Analyze DNA and protein sequences, and perform multiple sequence</t>
  </si>
  <si>
    <t>Construct the phylogenetic trees</t>
  </si>
  <si>
    <t>Manipulate the protein 3-D structures</t>
  </si>
  <si>
    <t>Apply bioinformatics tools in RNA biology</t>
  </si>
  <si>
    <t>Uses of the biostatics in biology</t>
  </si>
  <si>
    <t>Manipulate the gene features and genomics data</t>
  </si>
  <si>
    <t>Use of tools to predict the gene function and gene ontology</t>
  </si>
  <si>
    <t>Learn how to use bash programming in bioinformatics</t>
  </si>
  <si>
    <t>BMS 321</t>
  </si>
  <si>
    <t>Identify why Python is a useful scripting language for Computational Biology applications</t>
  </si>
  <si>
    <t>Distinguish Python different object types</t>
  </si>
  <si>
    <t>Recognize lists, tuples, and dictionaries in Python programs</t>
  </si>
  <si>
    <t>Manipulate different packages of Python (NumPy, re, BioPython)</t>
  </si>
  <si>
    <t>Operate relational databases using Python</t>
  </si>
  <si>
    <t>BMS 322</t>
  </si>
  <si>
    <t>objectives</t>
  </si>
  <si>
    <t>Analyze 3 dimensional coordinate sets for biomolecules in terms of structure-function and evolutionary relationships, and illustrate these interpretations</t>
  </si>
  <si>
    <t>alignments</t>
  </si>
  <si>
    <t>Identify common folding motifs in RNA and proteins and from 3 dimensional coordinate sets and, where possible,</t>
  </si>
  <si>
    <t>Analyze 3 dimensional coordinate sets for biomolecules in terms of structure-function and evolutionary</t>
  </si>
  <si>
    <t>Implement and evaluate a number of practical approaches for predicting protein and RNA folding from sequence,</t>
  </si>
  <si>
    <t>Utilize basic biophysical concepts such as Entropy, Partition function, and protein/nucleic acid folding principles</t>
  </si>
  <si>
    <t>With help, solve a protein or RNA structure from biophysical data</t>
  </si>
  <si>
    <t>BMS 323</t>
  </si>
  <si>
    <t>BMS 324</t>
  </si>
  <si>
    <t>Explain how proteins are transported between the nucleus and the cytosol</t>
  </si>
  <si>
    <t>Learn the function and the origin of the cytoskeleton</t>
  </si>
  <si>
    <t>Learn how cell cycle control system works</t>
  </si>
  <si>
    <t>from secondary structure sequences</t>
  </si>
  <si>
    <t>relationships, and illustrate these interpretations</t>
  </si>
  <si>
    <t>phylogenetic and experimental data</t>
  </si>
  <si>
    <t>to hypothesize alternative functional outcomes from a given set of primary structure and epigenetic data</t>
  </si>
  <si>
    <t>BMS 327</t>
  </si>
  <si>
    <t>BMS 328</t>
  </si>
  <si>
    <t>Distinguish between different data structures and select the best to fit a certain data representation and operations.</t>
  </si>
  <si>
    <t>Analyze the efficiency in terms of cost and performance of given operations</t>
  </si>
  <si>
    <t>Write a program using C++ to implement different data structures then store, retrieve and manipulate data using them.</t>
  </si>
  <si>
    <t>Implement a project using C++ to address a real life problem.</t>
  </si>
  <si>
    <t>Illustrate and explain a real life case study for data structure usage in field of bioinformatics.</t>
  </si>
  <si>
    <t>BMS 331</t>
  </si>
  <si>
    <t>BMS 332</t>
  </si>
  <si>
    <t>Describe the principles and strategies used for drug design in the drug discovery and development process.</t>
  </si>
  <si>
    <t>Explain the principles of drug-target binding, recognize and predict the possible different types of binding interactions and sort them by strength.</t>
  </si>
  <si>
    <t>Identify and evaluate the use of enzymes, receptors, and nucleic acids as drug targets.</t>
  </si>
  <si>
    <t>Predict the possible Phase I and II metabolic products of a bioactive molecule based on studied rules.</t>
  </si>
  <si>
    <t>Work effectively in a team and effectively present research findings both orally and in writing</t>
  </si>
  <si>
    <t>BMS 333</t>
  </si>
  <si>
    <t>Identify the basic concepts of computational chemistry</t>
  </si>
  <si>
    <t>Describe the essential components of molecular force fields</t>
  </si>
  <si>
    <t>Apply molecular mechanics and quantum mechanics for conformational search</t>
  </si>
  <si>
    <t>Develop and validate 3D pharmacophore models</t>
  </si>
  <si>
    <t>Derive 2D and 3D QSAR models for a series of active compounds</t>
  </si>
  <si>
    <t>Perform ligand-based virtual screening and data mining and evaluate the results</t>
  </si>
  <si>
    <t>BMS 333L</t>
  </si>
  <si>
    <t>BMS 334</t>
  </si>
  <si>
    <t>Ability to differentiate between PK and PD</t>
  </si>
  <si>
    <t>Ability to evaluate PK properties using in vitro tools</t>
  </si>
  <si>
    <t>Ability to interpret PK results</t>
  </si>
  <si>
    <t>Ability to analyze structure-pharmacokinetics relationships</t>
  </si>
  <si>
    <t>Ability to select the proper drug candidate for pre-clinical and clinical phases</t>
  </si>
  <si>
    <t>Ability to predict the pharmacokinetic behavior qualitatively</t>
  </si>
  <si>
    <t>Ability to prepare a report and use PowerPoint to present my work</t>
  </si>
  <si>
    <t>Ability to search the internet to collect PK and PD data</t>
  </si>
  <si>
    <t>BMS 335</t>
  </si>
  <si>
    <t>Ability to predict Bacterial Diseases in Water and Food</t>
  </si>
  <si>
    <t>Ability to apply different lab techniques related to bacterial and viral identification and amplification</t>
  </si>
  <si>
    <t>Ability to practice different teaching skills in key topics</t>
  </si>
  <si>
    <t>BMS 337</t>
  </si>
  <si>
    <t>To explain the nature of cancer</t>
  </si>
  <si>
    <t>To evaluate the importance of tumor viruses</t>
  </si>
  <si>
    <t>To define and describe cellular oncogenes</t>
  </si>
  <si>
    <t>To assess the importance of growth factors, receptors, and cancer</t>
  </si>
  <si>
    <t>To describe and obtain knowledge and understanding about tumor suppressor gene</t>
  </si>
  <si>
    <t>To discuss moving out: invasion and metastasis</t>
  </si>
  <si>
    <t>BMS 340</t>
  </si>
  <si>
    <t>Ability to experiment scaffold engineering using amniotic membrane.</t>
  </si>
  <si>
    <t>Ability to experiment animal cell culture</t>
  </si>
  <si>
    <t>Ability to relate stem cell labelling and tracking</t>
  </si>
  <si>
    <t>BMS 344</t>
  </si>
  <si>
    <t>Describe key developmental processes that lead to the formation of the embryo, starting from gametogenesis until all body organs and systems are formed.</t>
  </si>
  <si>
    <t>Identify different stages of embryological development in order to explain key developmental processes occurring within each stage.</t>
  </si>
  <si>
    <t>Integrate the acquired knowledge to be able to outline the temporal sequence of developmental events.</t>
  </si>
  <si>
    <t>Compare between normal development and abnormal development.</t>
  </si>
  <si>
    <t>Hypothesize mechanisms by which we can target developmental anomalies.</t>
  </si>
  <si>
    <t>Assess embryological research available in the literature.</t>
  </si>
  <si>
    <t>Discuss some of the recent ART techniques used in infertility clinics &amp; propose an improvement to these ART techniques for better applicability.</t>
  </si>
  <si>
    <t>BMS 400</t>
  </si>
  <si>
    <t>BMS 401</t>
  </si>
  <si>
    <t>BMS 404</t>
  </si>
  <si>
    <t>An ability to calculate and interpret summary statistics and graphical displays for data sets.</t>
  </si>
  <si>
    <t>Compute probability of events and interpret the probability in real life situations.</t>
  </si>
  <si>
    <t>Recognize and understand the relevance of probability distributions such as the binomial &amp; normal.</t>
  </si>
  <si>
    <t>An ability to use sampling distributions and label t, χ2 and F distributions and perform confidence intervals for means and proportions and interpret the results.</t>
  </si>
  <si>
    <t>An ability to perform one and two-sample tests for means and proportions and the paired comparisons and interpret the results.</t>
  </si>
  <si>
    <t>Perform the appropriate Analysis of Variance (ANOVA) and interpret the results.</t>
  </si>
  <si>
    <t>1. Construct a contingency table and interpret its entries.</t>
  </si>
  <si>
    <t>Compute the correlation coefficient and interpret the results and identify the basic characteristics of a linear regression models and estimate the unknown parameters</t>
  </si>
  <si>
    <t>An ability to use a statistical software such as SPSS to describe biomedical data and to test specific biomedicine hypotheses.</t>
  </si>
  <si>
    <t>BMS 405</t>
  </si>
  <si>
    <t>BMS 409</t>
  </si>
  <si>
    <t>BMS 422</t>
  </si>
  <si>
    <t>Understand how computer science algorithms are used in computational biology</t>
  </si>
  <si>
    <t>Understand exact matching algorithms for computational biology</t>
  </si>
  <si>
    <t>Understand algorithms for searching regularity Motifs</t>
  </si>
  <si>
    <t>Apply principles of linear algebra in network analysis</t>
  </si>
  <si>
    <t>Understand graph theory algorithms in computational biology</t>
  </si>
  <si>
    <t>Implement computational algorithms efficiently</t>
  </si>
  <si>
    <t>BMS 426</t>
  </si>
  <si>
    <t>Identify and define the sequence of events directing various stages of animal</t>
  </si>
  <si>
    <t>Distinguish between germ layers and explain what tissues/organs develop from each</t>
  </si>
  <si>
    <t>Describe the different approaches and techniques that are currently applied in studying</t>
  </si>
  <si>
    <t>Know the major model organisms used in developmental biology experiments.</t>
  </si>
  <si>
    <t>Explain the use of stem cells in regenerative medicine.</t>
  </si>
  <si>
    <t>Assess research available in the literature in the field of developmental biology.</t>
  </si>
  <si>
    <t>Design novel approaches to target certain developmental processes.</t>
  </si>
  <si>
    <t>Relate growth, aging and cancer to development.</t>
  </si>
  <si>
    <t>Discuss how the microbiome can affect development.</t>
  </si>
  <si>
    <t>Explain the role of genes and genetics in development.</t>
  </si>
  <si>
    <t>BMS 428</t>
  </si>
  <si>
    <t>development including gametogenesis, fertilization, cleavage, gastrulation,</t>
  </si>
  <si>
    <t>germ layer.</t>
  </si>
  <si>
    <t>the process of development.</t>
  </si>
  <si>
    <t>Analyze and Solve pathological &amp; clinical problems</t>
  </si>
  <si>
    <t>Apply the basic and clinically supportive sciences appropriate to pathology (such as anatomy, biochemistry,</t>
  </si>
  <si>
    <t>Examine the macroscopic and microscopic criteria of the altered structure (Pathology) of the body and its major organs that are seen in various diseases and conditions.</t>
  </si>
  <si>
    <t>Examine macroscopically and microscopically various causes (genetic, developmental, metabolic, toxic, microbiologic, autoimmune, neoplastic, degenerative, and traumatic) and mechanisms of diseases and the way through</t>
  </si>
  <si>
    <t>Elicit a description based on gross or microscopic morphology.</t>
  </si>
  <si>
    <t>BMS 428L</t>
  </si>
  <si>
    <t>organogenesis, and maturity</t>
  </si>
  <si>
    <t>underlying these disorders (etiology, pathology and natural history).</t>
  </si>
  <si>
    <t>processes covered in the course.</t>
  </si>
  <si>
    <t>BMS 429</t>
  </si>
  <si>
    <t>Understand the physiologic function of the immune system.</t>
  </si>
  <si>
    <t>Learn the classification and function of different immune tissues, cells and molecules.</t>
  </si>
  <si>
    <t>Have a good understanding of both the innate and adaptive immune responses and be</t>
  </si>
  <si>
    <t>Understand and analyze the molecular structure of immune cell receptors.</t>
  </si>
  <si>
    <t>Understand the process of immune tolerance towards self antigens and how the failure</t>
  </si>
  <si>
    <t>Have an overview of the timeline of discoveries made in immunology research.</t>
  </si>
  <si>
    <t>Have an overview of the key primary literature published in the field of immunology.</t>
  </si>
  <si>
    <t>Allow the students to apply their understanding of immunology to think of the</t>
  </si>
  <si>
    <t>BMS 430</t>
  </si>
  <si>
    <t>Plan reaction schemes with controlled products</t>
  </si>
  <si>
    <t>Depict sound retrosynthetic analysis techniques for multifunctional organic molecules synthesis</t>
  </si>
  <si>
    <t>Apply advanced chemical reaction strategies for right functional groups interconversions for the synthesis of specific drug-like compounds.</t>
  </si>
  <si>
    <t>Depict sound retrosynthetic analysis techniques for complex organic molecules synthesis.</t>
  </si>
  <si>
    <t>of this mechanism can lead to autoimmune diseases.</t>
  </si>
  <si>
    <t>BMS 432</t>
  </si>
  <si>
    <t>Recognize the different techniques used for chemical structure elucidation</t>
  </si>
  <si>
    <t>Interpret different spectroscopic data including IR, UV, and Mass spectroscopy.</t>
  </si>
  <si>
    <t>Explain the principal of the NMR spectroscopy.</t>
  </si>
  <si>
    <t>Analyze NMR data to elucidate atom connectivity.</t>
  </si>
  <si>
    <t>Work effectively in a team and meet tasks' deadline</t>
  </si>
  <si>
    <t>BMS 434</t>
  </si>
  <si>
    <t>BMS 435</t>
  </si>
  <si>
    <t>apply the rules for drug nomenclature.</t>
  </si>
  <si>
    <t>describe the process of introduction of new drugs.</t>
  </si>
  <si>
    <t>recognize the regulatory aspects in drug development.</t>
  </si>
  <si>
    <t>identify the main concepts in drug patents.</t>
  </si>
  <si>
    <t>analyze the impact of Intellectual Property Rights and stipulations on pharmacoeconomics, access to &amp; affordability of health care products.</t>
  </si>
  <si>
    <t>BMS 459</t>
  </si>
  <si>
    <t>Describe the major strategies and molecular mechanisms by which different bacterial species have evolved to invade host cells and tissues, establish infection, and cause disease.</t>
  </si>
  <si>
    <t>Explain the concepts of bacterial evolution and gene regulation and relate them to the bacterial ability to survive and/or cause disease.</t>
  </si>
  <si>
    <t>Describe different experimental approaches/techniques for studying microbial pathogenesis.</t>
  </si>
  <si>
    <t>Discuss different selected pathogens of medical importance with emphasis on diversity of pathogenic mechanisms and life styles.</t>
  </si>
  <si>
    <t>Critically interpret primary scientific literature in the field of bacterial pathogenesis</t>
  </si>
  <si>
    <t>BMS 473</t>
  </si>
  <si>
    <t>Understand the interactions between Biology and quantitative fields</t>
  </si>
  <si>
    <t>Analyze metabolic and protein-protein interaction experiments using networks</t>
  </si>
  <si>
    <t>Derive and use scripts to solve the resulting set of equations and produce visualizations</t>
  </si>
  <si>
    <t>Interpret visual representations of network simulations</t>
  </si>
  <si>
    <t>Describe biological networks as graph models and identify its functional properties</t>
  </si>
  <si>
    <t>Solve problems using the R programming language</t>
  </si>
  <si>
    <t>Understand, interpret and evaluate computational biology literature</t>
  </si>
  <si>
    <t>BMS 474</t>
  </si>
  <si>
    <t>Recognize the different fields of machine learning, such as supervised and unsupervised learning, and identifying scenarios where it makes sense to apply machine learning for real-world problem-solving.</t>
  </si>
  <si>
    <t>Compute data as features required for machine learning models.</t>
  </si>
  <si>
    <t>Identify different classification techniques.</t>
  </si>
  <si>
    <t>Assess the machine learning model quality</t>
  </si>
  <si>
    <t>Collect a repertoire of different algorithms and approaches to machine learning and understanding their various strengths and weaknesses</t>
  </si>
  <si>
    <t>Design an approach to leverage data using the steps in the machine learning process</t>
  </si>
  <si>
    <t>BMS 475</t>
  </si>
  <si>
    <t>BMS 477</t>
  </si>
  <si>
    <t>Recognizing the different types of defects affecting the human genome</t>
  </si>
  <si>
    <t>Identifying potential therapeutic strategies for different genetic disease</t>
  </si>
  <si>
    <t>BMS 500</t>
  </si>
  <si>
    <t>BMS 501</t>
  </si>
  <si>
    <t>BMS 506</t>
  </si>
  <si>
    <t>Recognize the different classes of enzymes such as proteases and kinases and the molecular basis of their action</t>
  </si>
  <si>
    <t>BMS 506L</t>
  </si>
  <si>
    <t>Recognize the basic functions of Pymol and MOE graphical software.</t>
  </si>
  <si>
    <t>evelop and validate homology models for drug targets with unknown 3D structures</t>
  </si>
  <si>
    <t>Perform flexible docking using the MOE and Autodock software</t>
  </si>
  <si>
    <t>Perform molecular dynamics simulation for protein-ligand complexe</t>
  </si>
  <si>
    <t>CIE</t>
  </si>
  <si>
    <t>CIE 202</t>
  </si>
  <si>
    <t>Describe basic programming concepts, constructs and techniques.</t>
  </si>
  <si>
    <t>Distinguish between procedure-oriented and object-oriented programming models.</t>
  </si>
  <si>
    <t>Develop computer programs to solve real life problems using procedure-oriented programming approach.</t>
  </si>
  <si>
    <t>Develop computer programs to solve real life problems using object-oriented programming approach.</t>
  </si>
  <si>
    <t>Apply programming concepts and techniques using popular programming languages such as C and C++.</t>
  </si>
  <si>
    <t>Act in teamwork to solve real life problems.</t>
  </si>
  <si>
    <t>CIE 205</t>
  </si>
  <si>
    <t>Understand the concept of ADT (Abstract Data Types).</t>
  </si>
  <si>
    <t>Declare, implement and apply linear lists and the related operations of insertion, deletion and traversal using arrays and linked lists</t>
  </si>
  <si>
    <t>Declare, implement and apply special linear lists such as: the stack data structure and the related basic operations of push and pop; and the queue data structure and the related basic operations of enque nd dequeue.</t>
  </si>
  <si>
    <t>Understand, write and apply the steps of simple sorting algorithms:</t>
  </si>
  <si>
    <t>Understand list and apply steps of searching algorithms including sequential search, binary search and hashing techniques.</t>
  </si>
  <si>
    <t>Understand and apply steps of different String Matching algorithms.</t>
  </si>
  <si>
    <t>Understand, declare and apply the graph data structure and some common graph algorithms</t>
  </si>
  <si>
    <t>Declare, implement and use the non-linear list TREE data structure and the different types: Binary trees, Binary Search Trees and the related operations of insertion, deletion and traversal</t>
  </si>
  <si>
    <t>Analyze a problem, select and write a corresponding algorithm for solving it based on analytical thinking.</t>
  </si>
  <si>
    <t>Apply principles to estimate Big 'O' complexity for studied algorithm and some simple algorithms. Compare and accordingly select the most appropriate solution to problem or improve the design of a program</t>
  </si>
  <si>
    <t>Develop the sense of teamwork discipline through working in groups of multiple students</t>
  </si>
  <si>
    <t>CIE 206</t>
  </si>
  <si>
    <t>Identify and Describe the concept of database system and its advantages over traditional file-based systems</t>
  </si>
  <si>
    <t>Identify and classify the different DB architectures, data models &amp; different types of users.</t>
  </si>
  <si>
    <t>Be able to gather and analyze DB system requirements, Map requirements into a DB system design and draw the corresponding Entity Relationship Diagram</t>
  </si>
  <si>
    <t>Apply ER to Relational mapping rules to generate an efficient relational DB design.</t>
  </si>
  <si>
    <t>Determine the DB functional dependencies and be able to decompose bad relations into their 1st, 2nd, 3rd normal forms.</t>
  </si>
  <si>
    <t>Translate various textual queries on a DB into relational algebra expressions for query retrieval and query optimization.</t>
  </si>
  <si>
    <t>Translate various textual queries on a DB into SQL statements for schema definition, query retrieval and data updates as well as creating views and triggers</t>
  </si>
  <si>
    <t>Develop a hands-on experience by constructing a full database system using a DBMS through</t>
  </si>
  <si>
    <t>Presentation and Communication skills</t>
  </si>
  <si>
    <t>CIE 212</t>
  </si>
  <si>
    <t>CIE 227</t>
  </si>
  <si>
    <t>CIE 239</t>
  </si>
  <si>
    <t>CIE 301</t>
  </si>
  <si>
    <t>Analyze linear electrical circuits using the modified nodal analysis, mesh analysis</t>
  </si>
  <si>
    <t>Use the Laplace transform to analyze linear electrical circuits, to evaluate their transfer functions/impedances</t>
  </si>
  <si>
    <t>Explain transients in reactive circuits (inductive and capacitive) and describe the Response of RL and RC Circuits</t>
  </si>
  <si>
    <t>Define and analyze the mutual and self-inductance for coupled circuits</t>
  </si>
  <si>
    <t>Understand the operation of electronic filters (passive and active) and describe them in the frequency domain from their magnitude characteristics</t>
  </si>
  <si>
    <t>Design lowpass, high pass, bandpass and band reject passive and active‐RC filters with all‐pole and rational approximations using the appropriate mathematics or filter tables</t>
  </si>
  <si>
    <t>Analyze Butterworth filters and perform frequency transformation as well as low-pass/high-pass/bandpass/band-reject transformation</t>
  </si>
  <si>
    <t>Use software system simulation tools to verify filter specifications in the frequency domain</t>
  </si>
  <si>
    <t>Use software tools to design frequency selective electronic circuits (passive and active)</t>
  </si>
  <si>
    <t>Collaborate with fellow students in a team, in order to solve complex filter design and implementation problems</t>
  </si>
  <si>
    <t>CIE 302</t>
  </si>
  <si>
    <t>Explain what operating systems are and illustrate their core functionalities.</t>
  </si>
  <si>
    <t>Understand the concept of an operating system process and how processes are managed and coordinated in modern operating systems.</t>
  </si>
  <si>
    <t>Describe methods and techniques for process scheduling, interprocess communication, and process synchronization.</t>
  </si>
  <si>
    <t>Analyze different approaches to memory and process management and characterize their performance.</t>
  </si>
  <si>
    <t>Outline some of the techniques used to handle I/O devices in modern operating systems.</t>
  </si>
  <si>
    <t>Design and implement simple file system mechanisms.</t>
  </si>
  <si>
    <t>Design and implement simple memory management mechanisms.</t>
  </si>
  <si>
    <t>CIE 318</t>
  </si>
  <si>
    <t>Analyze the transient response, steady state response, and stability of 1st and 2nd order continuous-time feedback control systems</t>
  </si>
  <si>
    <t>Analyze the transient response, steady state response, and stability of 1st and 2nd order discrete-time feedback control systems</t>
  </si>
  <si>
    <t>Develop MATLAB programs that can analyze 1st and 2nd order feedback control systems</t>
  </si>
  <si>
    <t>Understand the basic concept behind the root locus and frequency response methods using MATLAB</t>
  </si>
  <si>
    <t>Design and examine the performance of PID and digital PID controllers</t>
  </si>
  <si>
    <t>Analyze digital control systems using the state space representation</t>
  </si>
  <si>
    <t>Understand the concepts of controllability and observability</t>
  </si>
  <si>
    <t>Design a digital controller using the pole placement method</t>
  </si>
  <si>
    <t>Develop software simulations to analyze and design feedback control systems</t>
  </si>
  <si>
    <t>CIE 320</t>
  </si>
  <si>
    <t>Understand the current sources and current mirror circuits utilizing CMOS.</t>
  </si>
  <si>
    <t>Understand the differential amplifier circuits utilizing CMOS.</t>
  </si>
  <si>
    <t>Understand the multistage amplifier circuits utilizing CMOS.</t>
  </si>
  <si>
    <t>Analyze the frequency response of different analog circuits.</t>
  </si>
  <si>
    <t>Understand the concept of feedback in analog circuits.</t>
  </si>
  <si>
    <t>Enable students to design, simulate, and verify commonly used analog circuits, using MOSFETs.</t>
  </si>
  <si>
    <t>Gain familiarity with circuit construction and testing techniques.</t>
  </si>
  <si>
    <t>Use software system simulation tools to verify different electronic designs.</t>
  </si>
  <si>
    <t>Use software tools to design different analog electronic circuits.</t>
  </si>
  <si>
    <t>Collaborate with fellow students in a team, in order to solve complex design and implementation problems.</t>
  </si>
  <si>
    <t>CIE 327</t>
  </si>
  <si>
    <t>Understand the meaning of probability, sample space and repeated trials.</t>
  </si>
  <si>
    <t>Apply the axioms of probability and Bayes’ rule for conditional probability.</t>
  </si>
  <si>
    <t>Describe single random variables using probability distributions.</t>
  </si>
  <si>
    <t>Calculate the expectations and variances of random variables.</t>
  </si>
  <si>
    <t>Describe joint random variables and their statistics.</t>
  </si>
  <si>
    <t>Evaluate the autocorrelation function and the power spectral density of stochastic processes.</t>
  </si>
  <si>
    <t>Apply the concepts of stochastic process on problems in communications engineering.</t>
  </si>
  <si>
    <t>CIE 328</t>
  </si>
  <si>
    <t>Understand and directly apply the electrostatic model to solve electrostatic problems in vacuum, inside conductors/dielectric materials, and at the materials boundaries.</t>
  </si>
  <si>
    <t>Understand and directly apply the magnetostatic model to solve magnetostatic problems in vacuum, inside magnetic materials, and at the material boundaries.</t>
  </si>
  <si>
    <t>Use Maxwell’s equations to analyze and predict the electromagnetic waves behavior in vacuum, inside materials, and at the material boundaries.</t>
  </si>
  <si>
    <t>Model and analyze electromagneic fields and waves using full wave simulators</t>
  </si>
  <si>
    <t>CIE 338</t>
  </si>
  <si>
    <t>Analyze and predict plane electromagnetic waves behavior at the interface between different media</t>
  </si>
  <si>
    <t>Characterize transmission lines systems using the electromagnetic waves and the current/potential waves model</t>
  </si>
  <si>
    <t>Characterize wave propagation in guiding structures and select between several waveguide designs</t>
  </si>
  <si>
    <t>Understand the principle and characteristics of antennas, and their different types</t>
  </si>
  <si>
    <t>Work in a team to solve real life problems related to Engineering Electromagnetics</t>
  </si>
  <si>
    <t>CIE 405</t>
  </si>
  <si>
    <t>Knowledge and understanding of principles of operation and performance specifications of DC and AC machines.</t>
  </si>
  <si>
    <t>Knowledge and understanding of basics of steady state behavior of single and three phase rectifiers.</t>
  </si>
  <si>
    <t>Knowledge and understanding of basics of steady state behavior of single and three phase Inverters.</t>
  </si>
  <si>
    <t>Knowledge and understanding of basics of steady state behavior of DC to Dc converters.</t>
  </si>
  <si>
    <t>Ability to identify and formulate engineering problems to solve problems in the field of electrical machines engineering.</t>
  </si>
  <si>
    <t>Ability to analyze the performance of electric machines and drives.</t>
  </si>
  <si>
    <t>Ability to specify and evaluate components and equipment related to AC and DC machines.</t>
  </si>
  <si>
    <t>Ability to specify and evaluate components and equipment related to Rectifiers, DC to DC converters and Inverters.</t>
  </si>
  <si>
    <t>CIE 406</t>
  </si>
  <si>
    <t>Differentiate between types of networks and their performance metrics</t>
  </si>
  <si>
    <t>Explain the services and functions of the data link layer</t>
  </si>
  <si>
    <t>Differentiate between the various classes of routing</t>
  </si>
  <si>
    <t>Design appropriate IP addressing and masking scheme</t>
  </si>
  <si>
    <t>Differentiate the TCP and UDP transport-layer service models</t>
  </si>
  <si>
    <t>Utilize common network simulation software to configure network nodes and test their operation.</t>
  </si>
  <si>
    <t>CIE 408</t>
  </si>
  <si>
    <t>Describe and differentiate between CISC and RISC processors, and the main features of HARVARD Architecture.</t>
  </si>
  <si>
    <t>State the main structure features and applications of embedded controllers.</t>
  </si>
  <si>
    <t>Ability to state the features, strength and weakness of Raspberry Pi 3 board.</t>
  </si>
  <si>
    <t>State the ARM architecture family and their characteristic features</t>
  </si>
  <si>
    <t>Ability to use ARM instruction set for building assembly programs.</t>
  </si>
  <si>
    <t>Ability to configure I/O ports and use them for digital interfacing.</t>
  </si>
  <si>
    <t>Ability to configure USART for asynchronous serial communication, and select I2C or SPI for specific application.</t>
  </si>
  <si>
    <t>Ability to configure and use Timer/counter units, compare/capture, and PWM in applications.</t>
  </si>
  <si>
    <t>Ability to configure and program A/D converter and the analog channels multiplexer.</t>
  </si>
  <si>
    <t>Identify the types of interrupts and how to enable/disable them</t>
  </si>
  <si>
    <t>State the main features of wireless Wi-Fi and wireless sensor networks.</t>
  </si>
  <si>
    <t>State the main components and features of RTOS.</t>
  </si>
  <si>
    <t>Ability to design and build embedded applications, and to program microcontrollers using a high level language to build robotic applications</t>
  </si>
  <si>
    <t>CIE 417</t>
  </si>
  <si>
    <t>Understand the basic principles underlying machine learning algorithms and their applications in data processing and analysis.</t>
  </si>
  <si>
    <t>Evaluate different learning algorithms and understand their weaknesses and strengths.</t>
  </si>
  <si>
    <t>Apply a variety of machine learning algorithms in a range of practical applications.</t>
  </si>
  <si>
    <t>Distinguish between supervised and unsupervised learning methods and understand their limitations.</t>
  </si>
  <si>
    <t>Develop machine learning models and use them to make classifications, clustering and predictions.</t>
  </si>
  <si>
    <t>CIE 425</t>
  </si>
  <si>
    <t>Understand the concept of entropy in information theory.</t>
  </si>
  <si>
    <t>Measure the amount of information in a discrete memoryless source.</t>
  </si>
  <si>
    <t>Design efficient source codes for discrete memoryless sources.</t>
  </si>
  <si>
    <t>Implement different source coding algorithms using CAD tools and appraise the associated trade-offs.</t>
  </si>
  <si>
    <t>Evaluate the performance of different source coding algorithms in terms of the code efficiency.</t>
  </si>
  <si>
    <t>Understand the concept of channel capacity in information theory.</t>
  </si>
  <si>
    <t>Analyze the capacity of a binary symmetric channel starting from the conditional entropy and mutual information concepts.</t>
  </si>
  <si>
    <t>Design and implement linear block codes and the syndrome decoder.</t>
  </si>
  <si>
    <t>Determine the state diagram and trellis diagram of a convolutional encoder.</t>
  </si>
  <si>
    <t>Design and implement efficient convolutional encoders and decoders.</t>
  </si>
  <si>
    <t>Appraise the information rate versus error rate trade-off in the design of channel codes.</t>
  </si>
  <si>
    <t>Evaluate the complexity of different coding techniques and appraise the associated trade-offs.</t>
  </si>
  <si>
    <t>CIE 427</t>
  </si>
  <si>
    <t>Describe fundamental components such as MapReduce, HDFS, Spark, and YARN</t>
  </si>
  <si>
    <t>Describe the fundamentals of HBase distributed database.</t>
  </si>
  <si>
    <t>Analyze big data sets using MapReduce, Hive and Pig</t>
  </si>
  <si>
    <t>Analyze big data sets using Spark</t>
  </si>
  <si>
    <t>Use data ingestion tools such as Flume (for streaming data) and Sqoop (for bulk data transfer)</t>
  </si>
  <si>
    <t>Set up and maintain a Hadoop cluster running HDFS and MapReduce on YARN</t>
  </si>
  <si>
    <t>CIE 428</t>
  </si>
  <si>
    <t>Ability to apply the Gram-Schmidt Orthogonalization procedure to obtain signal-space representation.</t>
  </si>
  <si>
    <t>Ability to appraise the Maximum A posteriori Probability (MAP) and the Maximum Likelihood (ML) decision rules for optimal reception.</t>
  </si>
  <si>
    <t>Ability to compare between different types of pass-band digital modulation schemes, namely ASK, PSK and FSK from the point of view of performance and bandwidth efficiency.</t>
  </si>
  <si>
    <t>Ability to analyze and differentiate propagation characteristics of channels including free space path loss, short- and long-term fading, multi-path fading, selective frequency fading, and Doppler spread in order to investigate their effects on the link performance of wireless communication systems.</t>
  </si>
  <si>
    <t>Ability to examine possible solutions to the problem of signal fading in wireless communication links and to propose solutions for protecting wireless communication from the jamming and different interference sources</t>
  </si>
  <si>
    <t>Ability to investigate the performance of mobile radio communications using diversity and equalization techniques to solve the impairments of wireless communication channels</t>
  </si>
  <si>
    <t>Ability to integrate knowledge and understanding of other related topics to develop computer models of communication systems and compare the simulation results with experimental results.</t>
  </si>
  <si>
    <t>CIE 431</t>
  </si>
  <si>
    <t>Identify the components of a communication system and their functions.</t>
  </si>
  <si>
    <t>Identify the various modulation and demodulation techniques.</t>
  </si>
  <si>
    <t>Analyze communication systems and set their design parameters.</t>
  </si>
  <si>
    <t>Illustrate the sampling theorem and the Nyquist rate.</t>
  </si>
  <si>
    <t>Identify the kinds of quantization and the kinds of line cods.</t>
  </si>
  <si>
    <t>Calculate the probability of error for digital communications receivers.</t>
  </si>
  <si>
    <t>Design matched filters for optimum ISI-free communication.</t>
  </si>
  <si>
    <t>Integrate knowledge and understanding of other related topics to develop computer models of communication systems.</t>
  </si>
  <si>
    <t>CIE 442</t>
  </si>
  <si>
    <t>Distinguish between different implementations of discrete time systems and evaluate their efficiency.</t>
  </si>
  <si>
    <t>Investigate the difference between recursive IIR and non-recursive FIR digital filters.</t>
  </si>
  <si>
    <t>Categorize and analyze different techniques and realizations used in the design of IIR and FIR digital filters.</t>
  </si>
  <si>
    <t>Appraise the trade-offs associated with spectral estimation and filter design.</t>
  </si>
  <si>
    <t>Design efficient digital filter structures for sample rate conversion, i.e., interpolation and decimation.</t>
  </si>
  <si>
    <t>Develop software simulations to analyze and design various applications of discrete time systems, and evaluate the performance to meet the expected system specifications.</t>
  </si>
  <si>
    <t>Design and examine digital signal processing algorithms for applications related to digital communications, data acquisition, spectrum analysis, etc.</t>
  </si>
  <si>
    <t>CIE 458</t>
  </si>
  <si>
    <t>Understand the foundational principles of artificial intelligence and how to distinguish systems with artificial-intelligence capabilities.</t>
  </si>
  <si>
    <t>Explain common AI general-purpose search techniques and how they are applied to solve practical problems.</t>
  </si>
  <si>
    <t>Apply a variety of artificial intelligence techniques to build autonomous agents.</t>
  </si>
  <si>
    <t>Describe the operation of knowledge-based agents and the foundations of knowledge representation and logical inference.</t>
  </si>
  <si>
    <t>Recognize some of the techniques that agents can use to handle uncertainty and apply these techniques in practical scenarios.</t>
  </si>
  <si>
    <t>CIE 464</t>
  </si>
  <si>
    <t>CIE 508</t>
  </si>
  <si>
    <t>CIE 510</t>
  </si>
  <si>
    <t>Define what makes wireless sensor networks different from computer networks.</t>
  </si>
  <si>
    <t>Identify the various WSN and IoT applications and the requirements of each.</t>
  </si>
  <si>
    <t>Analyze the structure of wireless sensor nodes.</t>
  </si>
  <si>
    <t>Argue and select from among various wireless MAC protocols for WSN/IoT applications.</t>
  </si>
  <si>
    <t>Integrate knowledge and understanding of WSN/IoT to develop computer simulations for existing and novel WSN-based applications.</t>
  </si>
  <si>
    <t>CIE 551</t>
  </si>
  <si>
    <t>State and Describe examples of the swarms from biological creatures behavior.</t>
  </si>
  <si>
    <t>Describe application examples of swarm robotics.</t>
  </si>
  <si>
    <t>Derive mathematical models for leader-follower robots formations</t>
  </si>
  <si>
    <t>Describe the key features of swarm intelligence algorithms.</t>
  </si>
  <si>
    <t>Ability to write algorithms based on Particle Swarm Optimization for various applications.</t>
  </si>
  <si>
    <t>Ability to use Swarm Intelligence Algorithms to solve robotics navigation problems.</t>
  </si>
  <si>
    <t>Ability to formulate swarm robotics applications using cluster space approach.</t>
  </si>
  <si>
    <t>Ability to solve swarm formations, robot cooperation, and robots coordination using Null space approach.</t>
  </si>
  <si>
    <t>Ability to use Matlab, ROS-Gazebo, and ARGOS robotic simulation environments.</t>
  </si>
  <si>
    <t>Ability to use robotic simulation environments for solving swarm robotics applications.</t>
  </si>
  <si>
    <t>CIE 552</t>
  </si>
  <si>
    <t>Explain, implement and test fundamental computer vision techniques, e.g., image filtering, enhancement, and manipulation</t>
  </si>
  <si>
    <t>Explain, implement and test object recognition techniques</t>
  </si>
  <si>
    <t>Explain, implement and test the geometric relationships between 2D images and the 3D world.</t>
  </si>
  <si>
    <t>Explain, implement and test fundamental deep learning techniques used in computer vision</t>
  </si>
  <si>
    <t>Analyze and evaluate critically computer vision algorithms and systems.</t>
  </si>
  <si>
    <t>Critically review and assess scientific literature and apply the knowledge and skills gained from the course in developing innovative applications.</t>
  </si>
  <si>
    <t>CIE 553</t>
  </si>
  <si>
    <t>Understand the field of natural language processing in terms of techniques, applications and challenges.</t>
  </si>
  <si>
    <t>Analyze the theoretical underpinnings of natural language processing in linguistics and formal language theory.</t>
  </si>
  <si>
    <t>Implement a working NLP application to address a real life problem.</t>
  </si>
  <si>
    <t>Evaluate the capabilities and limitations of current natural language technologies, and some of the baseline algorithms and techniques that underlie these technologies.</t>
  </si>
  <si>
    <t>Retrieve information from a variety of sources that fit the field of NLP.</t>
  </si>
  <si>
    <t>CIE 555</t>
  </si>
  <si>
    <t>Understand the fundamentals of neural networks and how they are used to solve machine learning problems.</t>
  </si>
  <si>
    <t>Identify key deep learning models and their applications in areas such as computer vision, speech recognition, robotics and natural language processing.</t>
  </si>
  <si>
    <t>Describe common optimization strategies in training deep architectures.</t>
  </si>
  <si>
    <t>Design from scratch and train deep convolutional and recurrent neural networks models.</t>
  </si>
  <si>
    <t>Understand selected deep unsupervised learning techniques and outline some of their applications</t>
  </si>
  <si>
    <t>Discuss some of the ongoing deep learning research efforts and recognize some of the open problems</t>
  </si>
  <si>
    <t>CIE 556</t>
  </si>
  <si>
    <t>CIE 564</t>
  </si>
  <si>
    <t>identify the differences between serial computing and parallel computing paradigms.</t>
  </si>
  <si>
    <t>describe the Mapreduce programming model.</t>
  </si>
  <si>
    <t>CIE 598</t>
  </si>
  <si>
    <t>CIE 602</t>
  </si>
  <si>
    <t>CIE 631</t>
  </si>
  <si>
    <t>CIE 690</t>
  </si>
  <si>
    <t>CSCI 101</t>
  </si>
  <si>
    <t>Ability to evaluate the results of programming work</t>
  </si>
  <si>
    <t>Ability to describe the algorithm of solving any problem using flowchart. Use the algorithm in preparing to write MATLAB programs.</t>
  </si>
  <si>
    <t>Ability to observe and state each step in the Problem Solving Method (input, output, solve by hand, scientific principles, convert to code, test code).</t>
  </si>
  <si>
    <t>Ability to use the programming language MATLAB to write computer programs that solve scientific problems.</t>
  </si>
  <si>
    <t>Ability to use data types, input/output commands, loops, control structures, functions, arrays, and other programming language constructs in MATLAB computer programs.</t>
  </si>
  <si>
    <t>Ability to identify basic sorting and searching algorithms and their complexities</t>
  </si>
  <si>
    <t>Ability to understand the role of creativity and innovation in developing computer algorithms</t>
  </si>
  <si>
    <t>Ability to work in teamwork to solve real life problems.</t>
  </si>
  <si>
    <t>ENGR 210</t>
  </si>
  <si>
    <t>Analyze DC Electric Circuits voltages and currents, using Node and Mesh methods, source transformation techniques and the principle of superposition</t>
  </si>
  <si>
    <t>Explain transients in reactive circuits (inductive and capacitive)</t>
  </si>
  <si>
    <t>Describe the Response of RL and RC Circuits</t>
  </si>
  <si>
    <t>Analyze simple circuits containing op amps and recognize the basic op amp applications</t>
  </si>
  <si>
    <t>Analyze steady state AC circuits in the frequency domain using the phasor form</t>
  </si>
  <si>
    <t>Understand, analyze, and calculate instantaneous, average power and maximum average power transfer</t>
  </si>
  <si>
    <t>Calculate any set of two-port parameters using circuit analysis methods and converting from another set of two-port parameters</t>
  </si>
  <si>
    <t>Analyze the input-output properties of interconnected two-port networks</t>
  </si>
  <si>
    <t>SPC 418</t>
  </si>
  <si>
    <t>Give examples of autonomous mobile robots features and applications</t>
  </si>
  <si>
    <t>Ability to model and control differential wheel Mobile Robots.</t>
  </si>
  <si>
    <t>State the capabilities and limitations of various robotics measurement devices</t>
  </si>
  <si>
    <t>Apply the probabilistic frame work for robot pose/motion estimation.</t>
  </si>
  <si>
    <t>Ability to use KF/EKF and Bayes filter for Robot Pose estimation.</t>
  </si>
  <si>
    <t>Ability to Solve Robots Localization using Particle filter</t>
  </si>
  <si>
    <t>Use Grid mapping and land marks for solving SLAM problems.</t>
  </si>
  <si>
    <t>Use ROS frame work for robot application simulation and navigation.</t>
  </si>
  <si>
    <t>Ability to use Potential field for collision avoidance and A* algorithm for path planning</t>
  </si>
  <si>
    <t>Ability to use ROS for building autonomous robot applications.</t>
  </si>
  <si>
    <t>ENV</t>
  </si>
  <si>
    <t>ENGR 102</t>
  </si>
  <si>
    <t>Design a system, component, or process to meet desired needs.</t>
  </si>
  <si>
    <t>Function on multidisciplinary teams and use project management skills.</t>
  </si>
  <si>
    <t>Identify basic and derived dimensions and units, and apply conversion of units</t>
  </si>
  <si>
    <t>Use a graph of dimensionless groups, extract information from the plot about the physical system.</t>
  </si>
  <si>
    <t>Identify process variability and measurement uncertainty associated with an experimental procedure, and interpret the validity of experimental results</t>
  </si>
  <si>
    <t>Use “practical” skills, such as visualizing common units and conducting simple measurements, calculations, and comparisons to make estimations.</t>
  </si>
  <si>
    <t>Identify the type of trendline for a given graph and interpret the physical parameters of the experimental system.</t>
  </si>
  <si>
    <t>Select the best mathematical model to describe a data set, then apply the model to form graphical solutions to engineering problems</t>
  </si>
  <si>
    <t>ENGR 207</t>
  </si>
  <si>
    <t>Identify and calculate key fluid properties used in analysis of fluid behavior</t>
  </si>
  <si>
    <t>Apply principles of fluid statics to determine pressure in fluids at rest and fluids in rigid-body motion, calculate hydrostatic and buoyancy forces, and assess stability of floating objects</t>
  </si>
  <si>
    <t>Apply the Bernoulli equation to solve flow problems</t>
  </si>
  <si>
    <t>Determine various kinematic elements of flow</t>
  </si>
  <si>
    <t>Apply conservation of mass, energy, and momentum to fluid control volumes to determine velocity changes, energy transfers, forces, and torques</t>
  </si>
  <si>
    <t>Apply CFD software to simulate simple flow fields</t>
  </si>
  <si>
    <t>Apply the Buckingham pi theorem and develop sets of dimensionless variables for various flow situations</t>
  </si>
  <si>
    <t>Analyze flow in pipes and pipe system components</t>
  </si>
  <si>
    <t>Calculate lift and drag forces for various objects</t>
  </si>
  <si>
    <t>ENGR 346</t>
  </si>
  <si>
    <t>Understand the basic mechanisms of heat transfer</t>
  </si>
  <si>
    <t>Solve one-dimensional heat conduction in solids and obtain the temperature distribution within a medium and the heat flux</t>
  </si>
  <si>
    <t>Understand and use the concept of thermal resistance to solve steady conduction problems and analyze finned surfaces</t>
  </si>
  <si>
    <t>Understand the fundamentals of convective heat transfer process</t>
  </si>
  <si>
    <t>Analyze heating and cooling of a fluid flowing under internal and external forced convection conditions</t>
  </si>
  <si>
    <t>Derive the governing equations of natural convection and use it to analyze natural convection cases</t>
  </si>
  <si>
    <t>Perform energy analysis on heat exchangers</t>
  </si>
  <si>
    <t>Understand the concepts of thermal radiation and its properties</t>
  </si>
  <si>
    <t>ENV 203</t>
  </si>
  <si>
    <t>Know how to select the most suitable method for chemical analysis based on the sensitivity and selectivity of these methods.</t>
  </si>
  <si>
    <t>Apply the advanced instrumental methods of analysis for determination of the water quality.</t>
  </si>
  <si>
    <t>Apply chemistry in environmental research and relate the subject to environmental engineering practices.</t>
  </si>
  <si>
    <t>Discern the importance of water quality parameters and understand the significance of these parameters to water treatment.</t>
  </si>
  <si>
    <t>ENV 207</t>
  </si>
  <si>
    <t>Perform unit conversion and dimensional consistency</t>
  </si>
  <si>
    <t>Perform degree of freedom analysis for single and multiple unit processes</t>
  </si>
  <si>
    <t>Calculate material balance for non-reacting and reacting systems.</t>
  </si>
  <si>
    <t>Perform calculations using Ideal Gas Law, Dalton’s law, Raoult’s law and Henry’s law</t>
  </si>
  <si>
    <t>Perform energy balances for non-reacting and reacting systems</t>
  </si>
  <si>
    <t>ENV 213</t>
  </si>
  <si>
    <t>Measure physical water parameters such as pH, conductivity and turbidity, and chemical parameters such as hardness, alkalinity and acidity.</t>
  </si>
  <si>
    <t>Quantify total solids and suspended solids in water samples.</t>
  </si>
  <si>
    <t>Obtain good handling of titration method and evaluate chemical oxygen demand of water by titration, as well as by spectrometric method.</t>
  </si>
  <si>
    <t>Evaluate the biological oxygen demand of water by the 5 days practice.</t>
  </si>
  <si>
    <t>Analyze common wastewater contents including chloride anions, chlorine, phosphorus, phosphate, iron, sulphates, sulphites, ammonia and oil and grease.</t>
  </si>
  <si>
    <t>Develop practical experience through bench scale jar test for coagulation and flocculation (physicochemical treatment practice).</t>
  </si>
  <si>
    <t>Obtain practical experience of gravimetric, titrimetric, spectrometric and chromatographic techniques of analysis.</t>
  </si>
  <si>
    <t>ENV 220</t>
  </si>
  <si>
    <t>Ability to demonstrate the use of microorganisms in fermentation technology</t>
  </si>
  <si>
    <t>ENV 221</t>
  </si>
  <si>
    <t>ENV 319</t>
  </si>
  <si>
    <t>Know the basics of hazards, climate change, global and environmental change and identify and apply SDGs concepts.</t>
  </si>
  <si>
    <t>Know the components and processes of the geological, energy, and hydrological cycles.</t>
  </si>
  <si>
    <t>Understand the potential causes of global climate warming and know how it relates to natural hazards.</t>
  </si>
  <si>
    <t>Recognize the different types of natural hazards that cause disasters are generally high- energy events, caused by natural earth processes and tied to cycles and know the underlying concept that the magnitude of a hazardous event is inversely related to its frequency.</t>
  </si>
  <si>
    <t>Understand how natural hazards may be linked to one another, to the physical environment, and the accelerating climate and global changes.</t>
  </si>
  <si>
    <t>Understand the difference between climate and weather, and how their variability is related to natural hazards.</t>
  </si>
  <si>
    <t>Know the basic concepts of earth system science such as atmospheric science, structure, composition, and dynamics of the atmosphere.</t>
  </si>
  <si>
    <t>Understand the earth’s energy balance, energy exchanges and hydrological cycle that produce climate and weather.</t>
  </si>
  <si>
    <t>Understand how climate has changed during the last million years, through glacial and interglacial periods, and how human activity may be altering our current climate.</t>
  </si>
  <si>
    <t>Recognize that increasing human population and poor land-use changes compound the effects of natural hazards and can turn disasters into large catastrophes.</t>
  </si>
  <si>
    <t>Be informed on the topical issues of climate change and how hazards may be connected to global warming and address ways we may mitigate global warming and associated hazards.</t>
  </si>
  <si>
    <t>Understand different remote sensing components and different satellite characteristics.</t>
  </si>
  <si>
    <t>Recognize different satellite orbits and how they can be used to track and monitor different environmental related hazards and understand the different spatial, spectral and temporal characteristics of urban and suburban phenomena.</t>
  </si>
  <si>
    <t>Know how vegetation interacts with different regions of the electromagnetic radiation and recognize the numerous vegetation indices derived from satellite data.</t>
  </si>
  <si>
    <t>Know how energy interacts with water surface, subsurface and bottom as a function of wavelength.</t>
  </si>
  <si>
    <t>ENV 324</t>
  </si>
  <si>
    <t>know and respect the environmental issues and elements</t>
  </si>
  <si>
    <t>know the related national/ international laws, legislations and conventions.</t>
  </si>
  <si>
    <t>describe, understand the Nature of Ecology and Terrestrial Environment</t>
  </si>
  <si>
    <t>understand the relationship between the organism and its environment, and the adaptation mechanisms.</t>
  </si>
  <si>
    <t>distinguish the keystone species and determine its zonation</t>
  </si>
  <si>
    <t>know the features and potentialities of the Egyptian desert.</t>
  </si>
  <si>
    <t>predict the dynamic of landscape.</t>
  </si>
  <si>
    <t>describe the ecosystem and the influence of climate change.</t>
  </si>
  <si>
    <t>use the sustainable management approach.</t>
  </si>
  <si>
    <t>demonstrate Remote Sensing applications.</t>
  </si>
  <si>
    <t>apply Data Modelling in environment.</t>
  </si>
  <si>
    <t>work in teamwork to solve real environmental problems.</t>
  </si>
  <si>
    <t>ENV 330</t>
  </si>
  <si>
    <t>Recognize ideal thermodynamic models, equations of state, activity coefficient models, vapor-</t>
  </si>
  <si>
    <t>Analyze the conditions associated with ideal and non-ideal syatems at equilibrium through the construction and interpretation of phase diagrams for idea and non-ideal binary mixtures.</t>
  </si>
  <si>
    <t>Determine the equilibrium conditions for multiple chemical reactions.</t>
  </si>
  <si>
    <t>Compute phase and chemical equilibrium calculations using programming and computer software.</t>
  </si>
  <si>
    <t>Apply the concepts if phase and chemical equilibria in environmental engineering context.</t>
  </si>
  <si>
    <t>ENV 348</t>
  </si>
  <si>
    <t>liquid equlibria, and chemical reaction equilibrium.</t>
  </si>
  <si>
    <t>Use the basic sampling devices of marine samples; sediments, plankton, water, and physical parameters.</t>
  </si>
  <si>
    <t>Monitor coastal and marine changes by observation and analysis.</t>
  </si>
  <si>
    <t>Correlate aquatic ecosystem with other related engineering disciplines and applications.</t>
  </si>
  <si>
    <t>Explain the concept of the blue economy and the role of the engineers in the sustainable use of marine resources.</t>
  </si>
  <si>
    <t>Identify the major coastal hazards and its mitigation and adaptation strategies.</t>
  </si>
  <si>
    <t>Understanding the different methods and techniques of aquatic management including EIA, ICZM, and MSP.</t>
  </si>
  <si>
    <t>Identify the different aquatic habitats in Egypt, such as: coral reefs, mangroves,...</t>
  </si>
  <si>
    <t>Use the basic features of GIS mapping software.</t>
  </si>
  <si>
    <t>ENV 350</t>
  </si>
  <si>
    <t>Determine flow rate, pressure, and energy head loss for pipes in series, parallel pipes, branched pipelines between multiple reservoirs, and pipe networks.</t>
  </si>
  <si>
    <t>Design and analyze operating conditions of pipelines with pumping systems.</t>
  </si>
  <si>
    <t>Analyze uniform flows in open channels and design channel cross-sections.</t>
  </si>
  <si>
    <t>Perform hydraulic analysis of steady, rapidly and gradually varied flows in open channels.</t>
  </si>
  <si>
    <t>Perform hydraulic analysis and design for culverts.</t>
  </si>
  <si>
    <t>Perform hydraulic analysis for simple cases of quasi-steady and transient flow in pressurized pipes.</t>
  </si>
  <si>
    <t>Apply computer spreadsheet programs and commercial hydraulic models to analyze pressurized flow in pipes and gravity-driven flow in open channels.</t>
  </si>
  <si>
    <t>ENV 357</t>
  </si>
  <si>
    <t>Classify the main types of reactors for different operations</t>
  </si>
  <si>
    <t>Apply material (mole) balances for different reactors</t>
  </si>
  <si>
    <t>Calculate the expected conversion from a given reactor</t>
  </si>
  <si>
    <t>Determine the reactor volume under isothermal conditions</t>
  </si>
  <si>
    <t>Estimate the reactor volume and heating (cooling) load under non-isothermal conditions</t>
  </si>
  <si>
    <t>Use a computer program (Polymath, Excel, Matlab,….etc) to solve reactor systems and design equations</t>
  </si>
  <si>
    <t>ENV 359</t>
  </si>
  <si>
    <t>Identify, formulate, and solve bioprocess engineering problems by applying principles of microbiology, reaction engineering and mathematics</t>
  </si>
  <si>
    <t>Apply and conduct an analysis on bio kinetic, and thermodynamics to design bio reactors that meet specified needs with consideration for environment and economic</t>
  </si>
  <si>
    <t>Develop and conduct appropriate experimentation, analyze the effect of operating parameters on the cell growth rate, and stoichiometric calculations used in bioprocess engineering</t>
  </si>
  <si>
    <t>Communicate bioprocess engineering concepts through the use of engineering media, verbally, and in writing</t>
  </si>
  <si>
    <t>Function effectively in work group to solve bioprocess engineering problems</t>
  </si>
  <si>
    <t>ENV 406</t>
  </si>
  <si>
    <t>Perform water and constituent balance for watersheds and lakes.</t>
  </si>
  <si>
    <t>Estimate rainfall rates and depths for hydrologic analysis and design.</t>
  </si>
  <si>
    <t>Estimate evaporation and infiltration rates.</t>
  </si>
  <si>
    <t>Estimate peak surface runoff and hydrographs.</t>
  </si>
  <si>
    <t>Route flow in rivers and streams using hydrologic methods.</t>
  </si>
  <si>
    <t>Predict groundwater flow and perform hydraulic analysis for wells.</t>
  </si>
  <si>
    <t>Apply computer models for hydrologic analysis.</t>
  </si>
  <si>
    <t>ENV 415</t>
  </si>
  <si>
    <t>‎Practice the coagulation and flocculation process.</t>
  </si>
  <si>
    <t>Practice the sedimentation process.</t>
  </si>
  <si>
    <t>Practice the filtration process.</t>
  </si>
  <si>
    <t>Practice the ion exchange process.</t>
  </si>
  <si>
    <t>Practice the adsorption process.</t>
  </si>
  <si>
    <t>Practice the activated sludge process.</t>
  </si>
  <si>
    <t>ENV 420</t>
  </si>
  <si>
    <t>Examine the quality of the raw and drinking water for design requirements and Select the suitable water treatment system based on the raw water quality.</t>
  </si>
  <si>
    <t>Design and plan the raw water abstraction systems for water works design.</t>
  </si>
  <si>
    <t>Design and plan the sedimentation process for surface water treatment</t>
  </si>
  <si>
    <t>Design and plan the filtration and disinfection processes for surface water treatment</t>
  </si>
  <si>
    <t>Design and plan the ground water treatment systems for drinking water production.</t>
  </si>
  <si>
    <t>ENV 422</t>
  </si>
  <si>
    <t>Understand the water uses, water quality and water pollution within urban water cycle</t>
  </si>
  <si>
    <t>Analyze the quantity and quality of wastewater originating from different sources and its impact of discharges to water bodies</t>
  </si>
  <si>
    <t>Appraise and Compare wastewater treatment systems &amp; treatment options for removal of different pollutant, including system’s layouts, characteristics, pro’s and con’s and criteria for their application</t>
  </si>
  <si>
    <t>Design and plan activated sludge wastewater treatment plants including preliminary, primary, secondary &amp; tertiary treatment stages</t>
  </si>
  <si>
    <t>ENV 423</t>
  </si>
  <si>
    <t>Analyze and compare solid waste generation &amp; characterization in urban</t>
  </si>
  <si>
    <t>Design and plan Integrated solid waste management system to achieve sustainability</t>
  </si>
  <si>
    <t>Analyze and compare solid waste problems of rural area regarding animal waste</t>
  </si>
  <si>
    <t>Develop innovative and appropriate sustainable Solid Waste Management</t>
  </si>
  <si>
    <t>ENV 425</t>
  </si>
  <si>
    <t>Solve engineering problems related to diffusion in gas, liquid and solid as well as related to convective mass transfer</t>
  </si>
  <si>
    <t>Design absorption/stripping separation equipment</t>
  </si>
  <si>
    <t>Design distillation separation equipment</t>
  </si>
  <si>
    <t>Use the techniques, skills, and modern engineering tools necessary for engineering practice related to mass transfer and separation processes</t>
  </si>
  <si>
    <t>ENV 427</t>
  </si>
  <si>
    <t>Ability to analyze the two-different approach to deal with hazardous waste (Before &amp; After the fact);</t>
  </si>
  <si>
    <t>Ability to analysis and assess the hazardous waste management system includes generation, storage, transportation, treatment and disposal;</t>
  </si>
  <si>
    <t>Ability to classify the type of hazardous waste and its characteristics;</t>
  </si>
  <si>
    <t>Ability to identify and select the hazardous wastes treatment methods and processes;</t>
  </si>
  <si>
    <t>Ability to analyze and assess the disposal facilities of hazardous waste;</t>
  </si>
  <si>
    <t>Be familiar with national regulation frame work of hazardous waste and the international conventions involved;</t>
  </si>
  <si>
    <t>Ability to apply pollution Prevention, Waste Minimization, reuse, and recycling approach (Before the fact) to achieve sustainable development;</t>
  </si>
  <si>
    <t>Ability to assess and analyses different Industrial sectors (at International &amp; national level) includes, process involved, waste generated (Hazardous &amp; Non-Hazardous), conventional waste management. And ability to promote sustainable approach of sector development via cleaner production &amp; waste minimization approach.</t>
  </si>
  <si>
    <t>ENV 434</t>
  </si>
  <si>
    <t>Demonstrate appreciation of the importance of safety on-the-job</t>
  </si>
  <si>
    <t>Understand process safety engineering and loss prevention through the history</t>
  </si>
  <si>
    <t>Evaluate hazards associated with a process facility</t>
  </si>
  <si>
    <t>Apply process-associated hazards’ identification, evaluation &amp; analysis, and control procedures.</t>
  </si>
  <si>
    <t>ENV 457</t>
  </si>
  <si>
    <t>Understand the different steps involved within environmental impact assessment.</t>
  </si>
  <si>
    <t>Participate in a team for preparation EIA studies for newly developed projects.</t>
  </si>
  <si>
    <t>Analyse the different impacts, suggest mitigations and prepare environmental management plans for new projects.</t>
  </si>
  <si>
    <t>Understand how to liaise with and the importance of stakeholders in the EIA process.</t>
  </si>
  <si>
    <t>ENV 465</t>
  </si>
  <si>
    <t>Differentiate between green projects, and the environmental Projects.</t>
  </si>
  <si>
    <t>Understand the different types of organizations, organization strategies, selecting and defining project .</t>
  </si>
  <si>
    <t>Differentiate and understand project life cycle, and project management processes.</t>
  </si>
  <si>
    <t>Prepare Project plans,.e.g..., Time, cost, quality, safety, and Environmental</t>
  </si>
  <si>
    <t>Use different methods of Project control, and project risks</t>
  </si>
  <si>
    <t>Allocate resources for project activities, and prepare project Budget.</t>
  </si>
  <si>
    <t>ENV 470</t>
  </si>
  <si>
    <t>Explain the main causes of air pollution</t>
  </si>
  <si>
    <t>Specify the right equipment for air pollution control</t>
  </si>
  <si>
    <t>Design different air pollution control equipment</t>
  </si>
  <si>
    <t>Analyze how pollutants disperse in air under various source and meteorological conditions</t>
  </si>
  <si>
    <t>ENV 480</t>
  </si>
  <si>
    <t>‎plan, model, design water transmission pipelines</t>
  </si>
  <si>
    <t>plan, model and design storm sewer system</t>
  </si>
  <si>
    <t>plan, model and design combined sewer system</t>
  </si>
  <si>
    <t>‎design lift station</t>
  </si>
  <si>
    <t>ENV 506</t>
  </si>
  <si>
    <t>‎ ‎design the desalination plant intakes</t>
  </si>
  <si>
    <t>design the ‎ RO desalination pretreatment processes</t>
  </si>
  <si>
    <t>design the ‎ RO systems</t>
  </si>
  <si>
    <t>ENV 510</t>
  </si>
  <si>
    <t>model material and energy flows around reacting chemical systems using an appropriate modelling software package</t>
  </si>
  <si>
    <t>Define and scope engineering problems and formulate suitable strategies for problem solution</t>
  </si>
  <si>
    <t>develop and interpret process flow diagrams, process and instrumentation diagrams</t>
  </si>
  <si>
    <t>apply basic thermodynamic relationships to real problems</t>
  </si>
  <si>
    <t>discuss the principles of sustainable design and development</t>
  </si>
  <si>
    <t>use the techniques, skills, and modern engineering tools necessary for engineering practice</t>
  </si>
  <si>
    <t>Enhance team work skills and communications skills</t>
  </si>
  <si>
    <t>ENV 512</t>
  </si>
  <si>
    <t>Understanding the basic literature regarding Green Economy</t>
  </si>
  <si>
    <t>Ability to analyze and compare between the way environmental problems and solutions are approached in standard economics and Green Economy</t>
  </si>
  <si>
    <t>Ability to identify the best practices of transiting to Green Economy in developing countries</t>
  </si>
  <si>
    <t>Recognizing the Green Economy scientific and conceptual developments</t>
  </si>
  <si>
    <t>Ability to develop innovative and appropriate sustainable solutions to support transition to green economy</t>
  </si>
  <si>
    <t>ENV 523</t>
  </si>
  <si>
    <t>Understand the fundamentals of fate and transport</t>
  </si>
  <si>
    <t>Produce numerical solution of the advection-diffusion equation</t>
  </si>
  <si>
    <t>Predict fate and transport of contaminants in rivers and streams</t>
  </si>
  <si>
    <t>Predict fate and transport of contaminants in lakes and reservoirs</t>
  </si>
  <si>
    <t>Predict fate and transport of contaminants in groundwater</t>
  </si>
  <si>
    <t>Apply trajectory and dispersion models</t>
  </si>
  <si>
    <t>Understand the concept of climate change and global warming</t>
  </si>
  <si>
    <t>Using climate models to study the present climate and future projections</t>
  </si>
  <si>
    <t>ENV 527</t>
  </si>
  <si>
    <t>Identify, formulate and analyze critical environmental problems</t>
  </si>
  <si>
    <t>Indicate the needed solutions for local environmental problems.</t>
  </si>
  <si>
    <t>Examine the appropriateness and applicability of the identified technology.</t>
  </si>
  <si>
    <t>Plan for initiating and managing a project</t>
  </si>
  <si>
    <t>ENV 528</t>
  </si>
  <si>
    <t>Know how to select the most suitable method for sample collection, preservation and treatment for correct chemical analysis.</t>
  </si>
  <si>
    <t>Apply the advanced instrumental methods of analysis for determination of the different types of pollutants in air, water and soil samples.</t>
  </si>
  <si>
    <t>Apply the quality control and quality assurance in sample collection.</t>
  </si>
  <si>
    <t>ENV 530</t>
  </si>
  <si>
    <t>understand the definition of Urban development within the Egyptian context</t>
  </si>
  <si>
    <t>understand the dimentions of Informal urban development</t>
  </si>
  <si>
    <t>investigate various worldwide patterns of Urbanization : Developed countries</t>
  </si>
  <si>
    <t>investigate various worldwide patterns of Urbanization : Developing countries</t>
  </si>
  <si>
    <t>understand the Elements of Urban Form as a Dimension of the Sustainable City</t>
  </si>
  <si>
    <t>understand Travel and Mobility, and Energy Use as Dimensions of the Sustainable City</t>
  </si>
  <si>
    <t>understand Social Acceptability, and Economic Viability as Dimensions of the Sustainable City</t>
  </si>
  <si>
    <t>identify Neighborhood Design and Sustainable Lifestyles of Sustainable City</t>
  </si>
  <si>
    <t>understand the dimentions of Quality of Urban Life concept</t>
  </si>
  <si>
    <t>identify the indicators of Quality of Urban Life concept worldwide</t>
  </si>
  <si>
    <t>identify the indicators of Quality of Urban Life concept in the Egyptian context</t>
  </si>
  <si>
    <t>discuss the Spatial Tools for Natural Resources Governance</t>
  </si>
  <si>
    <t>discuss the Urban Environmental Management Systems in the Egyptian context</t>
  </si>
  <si>
    <t>ENV 598</t>
  </si>
  <si>
    <t>ENV 599</t>
  </si>
  <si>
    <t>GenEd</t>
  </si>
  <si>
    <t>ENG 151</t>
  </si>
  <si>
    <t>understand, analyze and synthesize information from various sections in scientific journal articles</t>
  </si>
  <si>
    <t>implement the various characteristics of formal scientific writing</t>
  </si>
  <si>
    <t>identify the differences between an informative and descriptive/theoretical abstracts</t>
  </si>
  <si>
    <t>narrow down a general topic to reach a focused statement of a research problem, research question(s), and a hypothesis</t>
  </si>
  <si>
    <t>review and analyze various types of theoretical and empirical research papers in order to write a synthesis matrix that enables me to write a literature review</t>
  </si>
  <si>
    <t>design a methodology section for a research grant proposal</t>
  </si>
  <si>
    <t>outline, write, and format a full-fledged research grant proposal</t>
  </si>
  <si>
    <t>make a compelling poster presentation</t>
  </si>
  <si>
    <t>ENG 152</t>
  </si>
  <si>
    <t>Critically and rhetorical analyze written and spoken texts/arguments.</t>
  </si>
  <si>
    <t>Identify one-sided, multi-sided, and dialogic arguments</t>
  </si>
  <si>
    <t>Develop a delayed-thesis argumentative essay by presenting verified counter views.</t>
  </si>
  <si>
    <t>Improve integrating valid and reliable sources using APA documentation style.</t>
  </si>
  <si>
    <t>Detect illogical reasoning in spoken and written arguments.</t>
  </si>
  <si>
    <t>Respectfully refute counter views.</t>
  </si>
  <si>
    <t>Understand the different types of public speeches</t>
  </si>
  <si>
    <t>Select and refine speech topics and theses</t>
  </si>
  <si>
    <t>Integrate credible sources to organize ideas coherently before conducting a speech</t>
  </si>
  <si>
    <t>Evaluate and implement organizational strategies and craft transitions that guide audience understanding</t>
  </si>
  <si>
    <t>Practice delivery that aids in audience understanding and elicits and maintains audience interest</t>
  </si>
  <si>
    <t>Evaluate other public speakers using the criteria studied in the course</t>
  </si>
  <si>
    <t>Use clear, concise, accurate, and interesting wording to reate, prepare, and deliver public speeches.</t>
  </si>
  <si>
    <t>Display ethics of public speaking</t>
  </si>
  <si>
    <t>ENG 601</t>
  </si>
  <si>
    <t>NOT offered during Fall 2019</t>
  </si>
  <si>
    <t>ENGL 003</t>
  </si>
  <si>
    <t>Understand and implement the rules of phonetics and speaking skills in oral presentations</t>
  </si>
  <si>
    <t>Avoid common problems in pronunciation</t>
  </si>
  <si>
    <t>Understand a variety of texts and acquire new vocabulary and collocations</t>
  </si>
  <si>
    <t>Formulate and improve topic sentences of paragraphs</t>
  </si>
  <si>
    <t>Develop paragraphs with supporting information and ideas</t>
  </si>
  <si>
    <t>Revise paragraphs to increase unity and coherence</t>
  </si>
  <si>
    <t>Plan, organize and write a Comparison and Contrast Essay</t>
  </si>
  <si>
    <t>Be familiar with common errors in writing</t>
  </si>
  <si>
    <t>Avoid Plagiarism and to be aware of its consequences</t>
  </si>
  <si>
    <t>ENGL 004</t>
  </si>
  <si>
    <t>Generate ideas using prewriting techniques</t>
  </si>
  <si>
    <t>Organize their ideas into a structured (keyword-based) outline</t>
  </si>
  <si>
    <t>Find and evaluate sources to distinguish between reliable and unreliable ones and between main and minor ideas</t>
  </si>
  <si>
    <t>Use complex sentence structure and appropriate collocations in writing</t>
  </si>
  <si>
    <t>Skim and scan texts to draw inferences and distinguish between facts and opinions</t>
  </si>
  <si>
    <t>Apply different listening strategies to identify main and minor ideas</t>
  </si>
  <si>
    <t>Identify and apply connected speech rules (sentence stress and intonation)</t>
  </si>
  <si>
    <t>Brainstorm, select and refine information relevant to the Impromptu Speech</t>
  </si>
  <si>
    <t>Use effective and accurate pronunciation stress, intonation, voice level, and pacing</t>
  </si>
  <si>
    <t>Demonstrate appropriate time management skills</t>
  </si>
  <si>
    <t>ENGL 202</t>
  </si>
  <si>
    <t>Identify different types of research paradigms/designs in various research disciplines</t>
  </si>
  <si>
    <t>demonstrate a full understanding and application of the concept of academic honesty and integrity by documenting information from sources using IEEE documentation style.</t>
  </si>
  <si>
    <t>ENGR/SCI 304</t>
  </si>
  <si>
    <t>Define rules, issues, options relevant to ethical concepts</t>
  </si>
  <si>
    <t>Identify and analyze an ethical issue in the context of science or technology.</t>
  </si>
  <si>
    <t>Identify the various ethical interests in a real-world situation and value of ethical decision-making.</t>
  </si>
  <si>
    <t>Identify ethical concerns in research, including academic integrity, use and citation of sources, the objective presentation of data, and the treatment of human subjects.</t>
  </si>
  <si>
    <t>Understand different types of applied ethics such as engineering, environmental and health care ethics.</t>
  </si>
  <si>
    <t>Analyze the main arguments, pro and con, for contract and procurement.</t>
  </si>
  <si>
    <t>Integrate, synthesize, and apply knowledge of ethical dilemmas and resolutions to real world issues.</t>
  </si>
  <si>
    <t>Integrate ethical and professional behavior in biological and chemical waste, pharmaceutical or other work based learning environment.</t>
  </si>
  <si>
    <t>Safely apply techniques and instrumentation in biosafety monitoring, biohazardous waste disposal and risk management.</t>
  </si>
  <si>
    <t>To have a positive disposition toward continued learning about ethics</t>
  </si>
  <si>
    <t>PHIL 101</t>
  </si>
  <si>
    <t>Understand what philosophy is and its importance</t>
  </si>
  <si>
    <t>Identify errors of reasoning and explain what the error is</t>
  </si>
  <si>
    <t>Compare and contrast Scientific Realism and Instrumentalism</t>
  </si>
  <si>
    <t>Evaluate the different philosophical schools that try to define the self, and understand the implications for the field of Artificial Intelligence.</t>
  </si>
  <si>
    <t>Analyze and classify the key philosophical concepts of determinism and free will, the existence of God, personal identity, social justice, and ethics.</t>
  </si>
  <si>
    <t>PHIL 301</t>
  </si>
  <si>
    <t>Acquire a holistic view of Science, as a system defined by logic and methodology, and as an essential human endeavor that shaped history and civilization.</t>
  </si>
  <si>
    <t>Understand the different epistemological foundations of science such as: empiricism, induction, deduction, falsifiability, hypothesis, theory.... etc.</t>
  </si>
  <si>
    <t>Develop an understanding of the essence and nature of mathematics, its deductive method, and its status and role in the system of science.</t>
  </si>
  <si>
    <t>Understand the concept of the “Paradigm” which deals with science as a human practice that has its cultural and social dimensions</t>
  </si>
  <si>
    <t>Learn about the developments in modern science and the great impact of the revolutions of relativity and quantum in the 20th century.</t>
  </si>
  <si>
    <t>Gain deep insight to the nature of “progress” as a distinctive feature of scientific knowledge.</t>
  </si>
  <si>
    <t>SCH 201</t>
  </si>
  <si>
    <t>SCH 202</t>
  </si>
  <si>
    <t>Understand and explain the elements of Music: melody, time, form, structure, texture, and tone color.</t>
  </si>
  <si>
    <t>Identify and recognize the types and ranges of the human voice and orchestra and Egyptian ensemble instruments</t>
  </si>
  <si>
    <t>Recognize different musical types and genres</t>
  </si>
  <si>
    <t>Identify western music eras (Baroque, Classical, Romantic and Twentieth Century), identify some representative composers of each period and learn something about their lives, their historical and cultural context.</t>
  </si>
  <si>
    <t>Define beats, dotted beats, rests, time signatures, speed terms.</t>
  </si>
  <si>
    <t>Read some simple music scores</t>
  </si>
  <si>
    <t>Analyze some instrumental and vocal compositions.</t>
  </si>
  <si>
    <t>Acquire a basic understanding of musical genres, composers, and styles.</t>
  </si>
  <si>
    <t>Gain tools and skills to corelate music with their area of major</t>
  </si>
  <si>
    <t>SCH 203</t>
  </si>
  <si>
    <t>SCH 206</t>
  </si>
  <si>
    <t>Define facts, conditions and circumstances connected with an art piece</t>
  </si>
  <si>
    <t>Identify sources of inspiration of the artist</t>
  </si>
  <si>
    <t>Discuss the historical context in which a work of art is made</t>
  </si>
  <si>
    <t>Locate world masterpieces from different cultures according to its distinctive characteristics</t>
  </si>
  <si>
    <t>Outline the visual elements in a work of art</t>
  </si>
  <si>
    <t>Interpret the content of a good number of the world masterpieces</t>
  </si>
  <si>
    <t>SCH 208</t>
  </si>
  <si>
    <t>Identify the main steps towards making economics decisions</t>
  </si>
  <si>
    <t>Understand Different Technologies of Renewable Energy</t>
  </si>
  <si>
    <t>Describe how to compare different alternatives of investment</t>
  </si>
  <si>
    <t>Compare between Microeconomics and Macroeconomics</t>
  </si>
  <si>
    <t>SCH 232</t>
  </si>
  <si>
    <t>Dfine psychologyand descripe the major subfields within it</t>
  </si>
  <si>
    <t>Distingyish between sensation and perception, explain Gestalt principles of perceptual organization and describe several perceptual constancies.</t>
  </si>
  <si>
    <t>Describe the different states of consciousness, including sleep and its different types and hypnosis.</t>
  </si>
  <si>
    <t>Define motivation, identify different needs, and smmerize Maslow's hierarchy.</t>
  </si>
  <si>
    <t>Define personality and understand the the underlying causes of it.</t>
  </si>
  <si>
    <t>Distinguish between stressors and stress. Identify the major sources of stress and introduce ways to reduce stress.</t>
  </si>
  <si>
    <t>Present the differnt classification of diorders, symptoms and causes. Compare and contrast differnt therapies.</t>
  </si>
  <si>
    <t>SCH 233</t>
  </si>
  <si>
    <t>Introducing the concept of interest and providing examples</t>
  </si>
  <si>
    <t>Understand the different economic analysis methods, such as: Present worth analysis, annual equivalent cash benefit (or cost) analysis, rate of return analysis.</t>
  </si>
  <si>
    <t>Apply the appropriate engineering economics analysis method(s) for problem solving: present worth, annual cost, rate-of-return, payback, break-even, benefit-cost ratio.</t>
  </si>
  <si>
    <t>Apply all mathematical approach models covered in solving engineering economics problems: mathematical formulas, interest factors from tables, Excel functions and graphs.</t>
  </si>
  <si>
    <t>Understand the inflation concept, reasons, and its effect on investment plans.</t>
  </si>
  <si>
    <t>SCH 234</t>
  </si>
  <si>
    <t>SCH 235</t>
  </si>
  <si>
    <t>SCH 244</t>
  </si>
  <si>
    <t>SCH 258</t>
  </si>
  <si>
    <t>SCH 260</t>
  </si>
  <si>
    <t>Become a critical thinker; acquire an ability to challenge one’s own ideas</t>
  </si>
  <si>
    <t>Debate the aim of science, whether it is epistemological or pragmatic.</t>
  </si>
  <si>
    <t>Understand the implications of metaphysical questions on defining the self, consider the implications for Artificial Intelligence.</t>
  </si>
  <si>
    <t>Question the existence or non-existence of free will, and understand the ethical implications for such question</t>
  </si>
  <si>
    <t>Gain a view of the different schools of Ethics and the potential implications of each for real life ethical dilemmas</t>
  </si>
  <si>
    <t>Reflect on the problem of creating a just state; understand the ethical foundations of politics</t>
  </si>
  <si>
    <t>Explore thoughtfully deep questions in religion</t>
  </si>
  <si>
    <t>SCH 262</t>
  </si>
  <si>
    <t>SCH 263</t>
  </si>
  <si>
    <t>Understand how one may reach a decision in a situation regardless its rightness or wrongness.</t>
  </si>
  <si>
    <t>Identify ethical concerns in research such as integrity, citation of sources, and authorship</t>
  </si>
  <si>
    <t>Understand different types of applied ethics in research, engineering, and business.</t>
  </si>
  <si>
    <t>Identify and analyze ethical issues in the context of different professions.</t>
  </si>
  <si>
    <t>Integrate, synthesize, and apply knowledge of resolving ethical dilemmas to real-world cases.</t>
  </si>
  <si>
    <t>Integrate ethical and professional behavior in performing experimental work, managing biological and chemical wastes or any other work that may affect the environment</t>
  </si>
  <si>
    <t>Identify and analyze surrounding hazards and evaluate and control their risk.</t>
  </si>
  <si>
    <t>SCH 264</t>
  </si>
  <si>
    <t>SCH 273</t>
  </si>
  <si>
    <t>SCH 274</t>
  </si>
  <si>
    <t>Approach the analytic philosophy within the framework of history of philosophy.</t>
  </si>
  <si>
    <t>Compare Analytic metaphysics to Modern one, and evaluate its possible limitations.</t>
  </si>
  <si>
    <t>Differentiate between the empiricism of Logical positivism and Quine’s empiricism.</t>
  </si>
  <si>
    <t>Debate the failure of the justified true belief theory of knowledge, and analyze its contemporary alternatives.</t>
  </si>
  <si>
    <t>Assess the successes and failures of the analytic approach to philosophy as compared to other approaches (e.g. the continental approach)</t>
  </si>
  <si>
    <t>MATH</t>
  </si>
  <si>
    <t>MATH 100</t>
  </si>
  <si>
    <t>MATH 101</t>
  </si>
  <si>
    <t>The ability to identify the geometrical meaning of the definite integral and its relation to area between curves.</t>
  </si>
  <si>
    <t>The ability to evaluate integrals by different techniques: substitutions, by parts and partial fractions.</t>
  </si>
  <si>
    <t>The ability to evaluate arc length, volume and surface of revolutions.</t>
  </si>
  <si>
    <t>The ability to find inverse function of basic functions and identify their properties.</t>
  </si>
  <si>
    <t>The ability to identify properties and find derivatives and integrals of basic transcendental functions.</t>
  </si>
  <si>
    <t>The ability to find limits using L’Hôpital’s rule.</t>
  </si>
  <si>
    <t>The ability to evaluate integrals numerically.</t>
  </si>
  <si>
    <t>The ability to evaluate improper integrals.</t>
  </si>
  <si>
    <t>The ability to solve first order linear differential equations.</t>
  </si>
  <si>
    <t>MATH 102</t>
  </si>
  <si>
    <t>Ability to identify convergence and divergence of sequences and series.</t>
  </si>
  <si>
    <t>Ability to represent a function using Taylor series.</t>
  </si>
  <si>
    <t>Ability to perform differentiation and integration in parametric and polar forms.</t>
  </si>
  <si>
    <t>Ability to identify different conic sections analytically.</t>
  </si>
  <si>
    <t>Ability to represent straight lines, planes and quadratic surfaces in space analytically.</t>
  </si>
  <si>
    <t>Ability to obtain the maximum and minimum a function of two variables with and without constraints.</t>
  </si>
  <si>
    <t>Ability to perform multiple integrals in different coordinates.</t>
  </si>
  <si>
    <t>Ability to perform line integral and evaluate the work and integrals on vector fields.</t>
  </si>
  <si>
    <t>MATH 201</t>
  </si>
  <si>
    <t>solve linear systems of equations using Gauss elimination and Gauss-Jordan methods.</t>
  </si>
  <si>
    <t>perform the basic operations on matrices (addition, multiplication, inverse).</t>
  </si>
  <si>
    <t>identify linear independence of vectors and find a basis for a vector space.</t>
  </si>
  <si>
    <t>apply matrix operations in computer graphics.</t>
  </si>
  <si>
    <t>determine the eigenvalues and eigenvectors of a matrix and perform matrix diagonalization.</t>
  </si>
  <si>
    <t>solve a system of linear differential equations.</t>
  </si>
  <si>
    <t>develop linear regression models.</t>
  </si>
  <si>
    <t>perform matrix factorization (LU, QR, SVD).</t>
  </si>
  <si>
    <t>MATH 202</t>
  </si>
  <si>
    <t>classify differential equations by order, linearity, and homogeneity</t>
  </si>
  <si>
    <t>solve first and second order ordinary differential equations using various techniques</t>
  </si>
  <si>
    <t>use Laplace transforms and their inverses to solve initial value problems (IVPs).</t>
  </si>
  <si>
    <t>solve ordinary differential equations numerically</t>
  </si>
  <si>
    <t>approximate a function using Fourier series</t>
  </si>
  <si>
    <t>solve partial differential equations using the method of separation of variables</t>
  </si>
  <si>
    <t>MATH 203</t>
  </si>
  <si>
    <t>The ability to demonstrate theoretical knowledge and have practical skills in different areas of mathematics that are applicable in computer science such as logic, graph theory, etc.</t>
  </si>
  <si>
    <t>The ability to identify the steps required to carry out a piece of research on a topic within applications of mathematics in computer science.</t>
  </si>
  <si>
    <t>The ability to understand and Implement applications of number theory to cryptography.</t>
  </si>
  <si>
    <t>The ability to gain the required skills for the proof methods and techniques</t>
  </si>
  <si>
    <t>The ability to understand the applications of the graph theory, Euler graph and Hamiltonian graph,</t>
  </si>
  <si>
    <t>The ability to understand the basic concepts of the trees and their applications in computer science</t>
  </si>
  <si>
    <t>MATH 301</t>
  </si>
  <si>
    <t>An ability to compute probability of events and interpret the probability in real life situations.</t>
  </si>
  <si>
    <t>An ability to recognize and understand the relevance of probability distributions such as the normal &amp; binomial.</t>
  </si>
  <si>
    <t>An ability to calculate probability, expectations, mean and variance of discrete and continuous random variables.</t>
  </si>
  <si>
    <t>An ability to calculate marginal and conditional distributions, expectations and covariances from discrete and continuous bivariate distributions.</t>
  </si>
  <si>
    <t>An ability to perform one and two-sample tests for means and proportions and interpret the results.</t>
  </si>
  <si>
    <t>An ability to use a statistical software such as MINITAB to describe engineering data and to test specific engineering hypotheses.</t>
  </si>
  <si>
    <t>MATH 302</t>
  </si>
  <si>
    <t>Recognize some special functions that occur frequently in advanced studies in applied mathematics, physics, and engineering such as Bessel, Legendre, Hermite and Laguerre functions.</t>
  </si>
  <si>
    <t>Expand functions using Fourier, Fourier-Bessel and Fourier-Legendre series.</t>
  </si>
  <si>
    <t>Solve linear second order PDEs by separation of variables, with applications to the wave, diffusion and Laplace equations</t>
  </si>
  <si>
    <t>Demonstrate knowledge of Sturm-Liouville theory and the application of generalised Fourier series to solve boundary value problems.</t>
  </si>
  <si>
    <t>Solve nonhomogeneous linear second order PDEs using the method of eigenfunction expansion.</t>
  </si>
  <si>
    <t>Solve boundary value problems using Laplace and Fourier transforms techniques.</t>
  </si>
  <si>
    <t>Use contour integrals to solve real integral and to obtain inverse Laplace transform.</t>
  </si>
  <si>
    <t>MATH 306</t>
  </si>
  <si>
    <t>Identify how to calculate numerical error (absolute error and relative error)</t>
  </si>
  <si>
    <t>Find the roots of algebraic, transcendental equations or system of nonlinear equations numerically</t>
  </si>
  <si>
    <t>Estimate derivatives numerically</t>
  </si>
  <si>
    <t>Analyze the given data for curve fitting either by regression or interpolation</t>
  </si>
  <si>
    <t>Estimate Integrals numerically</t>
  </si>
  <si>
    <t>Solve ordinary/partial differential equations numerically</t>
  </si>
  <si>
    <t>MATH 308</t>
  </si>
  <si>
    <t>Be able to take decision to which counting techniques to be used in different situation.</t>
  </si>
  <si>
    <t>MATH 404</t>
  </si>
  <si>
    <t>Derive the optimality conditions for different types of optimization problems.</t>
  </si>
  <si>
    <t>Solve linear programming (LP) problem using different techniques</t>
  </si>
  <si>
    <t>Solve unconstrained and constrained non-linear programming problems using different techniques</t>
  </si>
  <si>
    <t>Use the ready-made SW packages, such as Matlab, to solve optimization problems</t>
  </si>
  <si>
    <t>Implement optimization algorithms to solve optimization problems.</t>
  </si>
  <si>
    <t>MATSCI</t>
  </si>
  <si>
    <t>CHEM 202</t>
  </si>
  <si>
    <t>Understand the basic principles of the analytical chemistry process.</t>
  </si>
  <si>
    <t>Gain familiarity with fundamental concepts of Analytical and Physical chemistry and</t>
  </si>
  <si>
    <t>Link the taught principles to various disciplines of science.</t>
  </si>
  <si>
    <t>Ability to differentiate between different types of analytical techniques and select the</t>
  </si>
  <si>
    <t>Utilize the scientific &amp; quantitative methods of thinking to solve scientific problems.</t>
  </si>
  <si>
    <t>Understand the fundamentals of electrochemistry and the laws that govern the</t>
  </si>
  <si>
    <t>Understand and differentiate between the different types of batteries and fuel cells.</t>
  </si>
  <si>
    <t>Ability to differentiate between the probertites and behaviour of ideal and real gases.</t>
  </si>
  <si>
    <t>Understand the factors controlling the relative stability of the solid, liquid, and gas</t>
  </si>
  <si>
    <t>Recognize the theoretical bases of the different types of phase diagrams.</t>
  </si>
  <si>
    <t>CHEM 212</t>
  </si>
  <si>
    <t>· Apply some of the principles and phenomena in CHEM 102.</t>
  </si>
  <si>
    <t>Use laboratory notebooks to record all data and observations during the lab session.</t>
  </si>
  <si>
    <t>· Apply fundamentals of gravimetric, Complexometric, conductometric titration and spectrophotometric techniques for quantitative chemical analysis.</t>
  </si>
  <si>
    <t>· Perform experiment to determine the rate, and order of chemical reactions by varying concentrations and/or temperature.</t>
  </si>
  <si>
    <t>Perform experiment to determine Faraday's constant, and heat of dissolution of salts.</t>
  </si>
  <si>
    <t>· Draw a phase diagram for a three component system.</t>
  </si>
  <si>
    <t>· Write clear and concise pre and post lab reports</t>
  </si>
  <si>
    <t>MATSCI 201</t>
  </si>
  <si>
    <t>Ability to understand the atomic structure and differentiate between primary and secondary interatomic bonds</t>
  </si>
  <si>
    <t>Ability to identify different crystal structures and determine crystallographic planes and directions</t>
  </si>
  <si>
    <t>Ability to characterize polymers types and their molecular structures and configurations</t>
  </si>
  <si>
    <t>The ability to determine the type of defects in metals, ceramics and polymers</t>
  </si>
  <si>
    <t>The ability to understand diffusion mechanisms and the factors that influence diffusion</t>
  </si>
  <si>
    <t>Ability to distinguish between different mechanical properties and their effect on materials behaviour</t>
  </si>
  <si>
    <t>Ability to differentiate between fracture mechanisms in ductile and brittle materials</t>
  </si>
  <si>
    <t>Ability to understand phase diagrams especially the Iron-Iron Carbide phase diagram</t>
  </si>
  <si>
    <t>MATSCI 204</t>
  </si>
  <si>
    <t>The ability to describe the general trends in the periodic table of elements</t>
  </si>
  <si>
    <t>The ability to explain methods for the synthesis of the s &amp; p block elements.</t>
  </si>
  <si>
    <t>The ability to understand the structures, the properties, applications, and the chemical reactivity of the s &amp; p block elements</t>
  </si>
  <si>
    <t>The ability to describe relevant oxidation states for the s &amp; p block elements.</t>
  </si>
  <si>
    <t>Differentiate the different allotropes of the s &amp; p block elements</t>
  </si>
  <si>
    <t>Appreciate the anomalous properties of some elements</t>
  </si>
  <si>
    <t>MATSCI 214</t>
  </si>
  <si>
    <t>To become familiar with safe and efficient laboratory practice of inorganic</t>
  </si>
  <si>
    <t>To be able to enumerate several distinguishing properties for S and P block</t>
  </si>
  <si>
    <t>To gain familiarity with different applications of main group elements in daily life</t>
  </si>
  <si>
    <t>The course should provide the students with basic skills needed to design lab</t>
  </si>
  <si>
    <t>Gain familiarity and understand the basics of electrochemistry and related</t>
  </si>
  <si>
    <t>To be able to enumerate several examples of unique applications of</t>
  </si>
  <si>
    <t>To gain good understanding of the difference between main group elements and</t>
  </si>
  <si>
    <t>Ability to assess the composition of alloys and fertilizers based on lab</t>
  </si>
  <si>
    <t>MATSCI 255</t>
  </si>
  <si>
    <t>Name the nanoscience, nanotechnologies, nanoscale, intentionally and non-intentionally-made nanomaterials</t>
  </si>
  <si>
    <t>Analyze biomimicry and biomimetic materials</t>
  </si>
  <si>
    <t>Interpret absorbance scanning and SEM results based on surface plasmon, particles size and shape</t>
  </si>
  <si>
    <t>Demonstrate nanoscience in nature including montmorillonite, natural colloids, Mineralised natural materials, spider silk and insect wings and opals</t>
  </si>
  <si>
    <t>Prepare nanomaterials and characterize them using zeta sizer and absorbance scanning</t>
  </si>
  <si>
    <t>Research methods of nano materials synthesis processes and applications</t>
  </si>
  <si>
    <t>MATSCI 301</t>
  </si>
  <si>
    <t>Ability to identify necessary aspects of catalyzed reactions.</t>
  </si>
  <si>
    <t>Ability to derive kinetic expressions for various reactions.</t>
  </si>
  <si>
    <t>Ability to select optimal analytical and characterization techniques to probe certain materials for their catalytic performance</t>
  </si>
  <si>
    <t>Ability to develop skills of linking basic concepts of molecular interactions towards analyzing observed catalytic activity of certain catalysts</t>
  </si>
  <si>
    <t>MATSCI 302</t>
  </si>
  <si>
    <t>Students will learn the basics of heat capacity of solids and</t>
  </si>
  <si>
    <t>Students will become familiar with the Drude theory, the</t>
  </si>
  <si>
    <t>Students will learn the different types of bonds, materials,</t>
  </si>
  <si>
    <t>Students will develop understanding to the concept of band</t>
  </si>
  <si>
    <t>Students will be familiar with semiconductors, magnetic</t>
  </si>
  <si>
    <t>MATSCI 303</t>
  </si>
  <si>
    <t>Being able to differentiate between several types of macromolecules.</t>
  </si>
  <si>
    <t>Show ability to describe several pathways to construct and characterize macromolecules.</t>
  </si>
  <si>
    <t>Show ability to select proper technique to characterize certain macromolecules</t>
  </si>
  <si>
    <t>Demonstrate understanding of the basic concepts behind polymer property and how a rational approach can be outlined to improve certain properties of a polymer</t>
  </si>
  <si>
    <t>Gain familiarity with quantitative methods used in characterization of macromolecules</t>
  </si>
  <si>
    <t>MATSCI 318</t>
  </si>
  <si>
    <t>Ability to Work with the High-performance Computer facilities using Linux command.</t>
  </si>
  <si>
    <t>Ability to Modeling the chemical structures and performing single point energy calculations</t>
  </si>
  <si>
    <t>Ability to perform Ground state geometry optimization</t>
  </si>
  <si>
    <t>Ability to perform frequency calculations and visualize IR spectrum of organic molecules</t>
  </si>
  <si>
    <t>Ability to perform Transition states and reaction paths calculations.</t>
  </si>
  <si>
    <t>Ability to perform Conformational energy analysis</t>
  </si>
  <si>
    <t>Ability to calculate Electronic Band Structure and Density of States for systems.</t>
  </si>
  <si>
    <t>MATSCI 405</t>
  </si>
  <si>
    <t>Identify different types of ligands</t>
  </si>
  <si>
    <t>Extract Symmetry Elements and predict the point group due to group therory</t>
  </si>
  <si>
    <t>Select the most stable coordinate compounds among others.</t>
  </si>
  <si>
    <t>Sketch the geometry of different coordination compounds.</t>
  </si>
  <si>
    <t>Verify the arrangement of transition elements according to size, acidic, basic and metallic character.</t>
  </si>
  <si>
    <t>Conclude the magnetic properties of a complex and classify to which group does it belongs</t>
  </si>
  <si>
    <t>MATSCI 411</t>
  </si>
  <si>
    <t>lattice vibrations.</t>
  </si>
  <si>
    <t>free-electron model of metals, the Fermi energy and</t>
  </si>
  <si>
    <t>crystal structures and wave scattering by crystals.</t>
  </si>
  <si>
    <t>theory and how to use it to classify different materials.</t>
  </si>
  <si>
    <t>materials, superconductors and their optical properties.</t>
  </si>
  <si>
    <t>Participate in class discussion and think critically</t>
  </si>
  <si>
    <t>CHEM 101</t>
  </si>
  <si>
    <t>Act responsibly and ethically in carrying out individual as well as group projects</t>
  </si>
  <si>
    <t>Seek learning opportunities outside the classroom environment</t>
  </si>
  <si>
    <t>MATSCI 463</t>
  </si>
  <si>
    <t>MATSCI 465</t>
  </si>
  <si>
    <t>Describe fundamentals of electrochemistry</t>
  </si>
  <si>
    <t>Sommerfeld expansion.</t>
  </si>
  <si>
    <t>Demonstrate the corrosion rate including activation and concentration polarization</t>
  </si>
  <si>
    <t>Interpret the passivation behavior and Pourbaix diagram</t>
  </si>
  <si>
    <t>Illustrate the corrosion forms and control</t>
  </si>
  <si>
    <t>Compare ferrous and nonferrous alloys</t>
  </si>
  <si>
    <t>MATSCI 480</t>
  </si>
  <si>
    <t>Demonstrate understanding of the principles of molecular self-assembly in general.</t>
  </si>
  <si>
    <t>Identify fundamental interactions governing molecular interactions.</t>
  </si>
  <si>
    <t>Select optimal analytical and characterization techniques to probe self-assembled systems.</t>
  </si>
  <si>
    <t>Develop skills of linking basic concepts of molecular interactions towards analyzing observed packing patterns in self-assembled molecules.</t>
  </si>
  <si>
    <t>Enumerate and assess relative significance of different intermolecular forces governing self-assembled systems.</t>
  </si>
  <si>
    <t>understand the role of polymer materials as stabilizer and reducing agent for the synthesis of various oxide and metals nanoparticles.</t>
  </si>
  <si>
    <t>MATSCI 481</t>
  </si>
  <si>
    <t>Define nanoscience and nanotechnologies</t>
  </si>
  <si>
    <t>Recognize nanoscience in nature</t>
  </si>
  <si>
    <t>Explain effect of nano-scale on mechanical, physical and chemical properties of materials</t>
  </si>
  <si>
    <t>characterize nanomaterials</t>
  </si>
  <si>
    <t>Demonstrate and interpret tested nanomaterials</t>
  </si>
  <si>
    <t>summerize nanomaterials synthesis processes</t>
  </si>
  <si>
    <t>research nanocomposites applications</t>
  </si>
  <si>
    <t>MATSCI 490</t>
  </si>
  <si>
    <t>Being able to differentiate between several types of polymerization pathways.</t>
  </si>
  <si>
    <t>Show ability to select proper technique to characterize different properties of polymers.</t>
  </si>
  <si>
    <t>Demonstrate understanding of the basic concepts behind mechanical properties and reactions of polymers</t>
  </si>
  <si>
    <t>Gain familiarity with different applications of polymers</t>
  </si>
  <si>
    <t>MATSCI 494</t>
  </si>
  <si>
    <t>Define mechanical and physical properties of polymers</t>
  </si>
  <si>
    <t>Work and communicate effectively in a team for a project (oral and writing).</t>
  </si>
  <si>
    <t>MATSCI 499</t>
  </si>
  <si>
    <t>An ability to design and conduct experiments, as well as to analyze and interpret data</t>
  </si>
  <si>
    <t>CHEM 102</t>
  </si>
  <si>
    <t>an ability to design a system, component, or process to meet desired needs within realistic constraints such as economic, environmental, social, political, ethical, health and safety, manufacturability and sustainability</t>
  </si>
  <si>
    <t>an understanding of professional and ethical responsibility</t>
  </si>
  <si>
    <t>an ability to communicate effectively</t>
  </si>
  <si>
    <t>a recognition of the need for, and an ability to engage in life-long learning</t>
  </si>
  <si>
    <t>NANENG</t>
  </si>
  <si>
    <t>ENGR 347N</t>
  </si>
  <si>
    <t>NANENG 203</t>
  </si>
  <si>
    <t>NANENG 204</t>
  </si>
  <si>
    <t>Able to perform the conversion among different number systems; Familiar with baisc logic gates -- AND, OR &amp; NOT, XOR, XNOR; Independently or work in team to build simple logic circuits using basic. (LEC, Lab)</t>
  </si>
  <si>
    <t>Understand Boolean algebra and basic properties of Boolean algebra; able to simplify simple Boolean functions by using the basic Boolean properties. (LEC, Lab)</t>
  </si>
  <si>
    <t>Understand finite state machines (FSM) concepte and work in team to do sequence circuit design based FSM and state table using D-FFs. (LEC, Lab)</t>
  </si>
  <si>
    <t>Able to understand and use Veriliog to design combinational or sequential circuits. (lab, project)</t>
  </si>
  <si>
    <t>Understand that the design process for today's billion-transistor digital systems becomes a more programming based process than before and programming skills are important. (Lec, Project)</t>
  </si>
  <si>
    <t>NANENG 301</t>
  </si>
  <si>
    <t>NANENG 302L</t>
  </si>
  <si>
    <t>NANENG 305</t>
  </si>
  <si>
    <t>Describe the different solid-state crystal structures and space lattices, find different crystal planes and miller indices, calculate the density of atoms and density of mass per unit volume or unit area in crystal structure.</t>
  </si>
  <si>
    <t>Calculate carrier concentrations for intrinsic and doped semiconductor and positions of Fermi level in intrinsic and extrinsic semiconductors</t>
  </si>
  <si>
    <t>Define the Drift-Diffusion carrier transport concepts and calculate Mobility, Conductivity, Velocity Saturation, and drift/diffusion current density in semiconductors (under different temperatures and doping).</t>
  </si>
  <si>
    <t>Describe generation-recombination of excess carriers, continuity equation, and time-dependent diffusion equations. Derive and apply ambipolar transport equation. Calculate minority lifetime in ideal (trap –free) and non-ideal semiconductors</t>
  </si>
  <si>
    <t>NANENG 307</t>
  </si>
  <si>
    <t>To account for the Electrical conduction in different types of solids in term of Classical Drude Theory</t>
  </si>
  <si>
    <t>To describe the electrical conductivity of non-metals and thin film solids.</t>
  </si>
  <si>
    <t>I understand the Hydrogen Atom Model and the Multi Electron System based on Quantum Mechanics.</t>
  </si>
  <si>
    <t>Describe the phonon mechanisms.</t>
  </si>
  <si>
    <t>To distinguish between Piezoelectric ferroelectric, and pyroelectric materials</t>
  </si>
  <si>
    <t>To understand the principal of Superconductivity</t>
  </si>
  <si>
    <t>NANENG 308</t>
  </si>
  <si>
    <t>CHEM 111</t>
  </si>
  <si>
    <t>NANENG 312</t>
  </si>
  <si>
    <t>Have the ability to Program rapidly using structured programming C++ concepts</t>
  </si>
  <si>
    <t>Display theoretical knowledge of both structured programming and Object Oriented C++ concepts</t>
  </si>
  <si>
    <t>Can discuss standard coding conventions --- indentation, naming conventions, etc.</t>
  </si>
  <si>
    <t>Can make balanced programming and policy decisions</t>
  </si>
  <si>
    <t>Possess practical programming in C++</t>
  </si>
  <si>
    <t>intelligently present technical solutions in both written and verbal formats</t>
  </si>
  <si>
    <t>The ability to design projects in an object-oriented language in a teamwork environment</t>
  </si>
  <si>
    <t>NANENG 322</t>
  </si>
  <si>
    <t>acquire basic knowledge of electronic circuits including semiconductor devices</t>
  </si>
  <si>
    <t>become familiar with different electronic circuit techniques and design of electronic circuits with nonlinear elements such as transistors</t>
  </si>
  <si>
    <t>learn the basic techniques to solve electronic circuit problems</t>
  </si>
  <si>
    <t>improve the students’ solving skills by practicing different electronic circuit problems</t>
  </si>
  <si>
    <t>be able to handle the solution of multi-stage amplifiers by inspection</t>
  </si>
  <si>
    <t>understand the frequency selective filters, types, transfer function, and parameters.</t>
  </si>
  <si>
    <t>develop formulas for the high frequency parameters of transistor-based amplifiers.</t>
  </si>
  <si>
    <t>analyze and design basic electronic circuits, particularly with application to diodes, MOS field-effect transistors, bipolar junction transistors</t>
  </si>
  <si>
    <t>become proficient with computer skills (e.g., CADENCE) for the analysis and design of circuits</t>
  </si>
  <si>
    <t>develop technical writing skills important for effective communication</t>
  </si>
  <si>
    <t>acquire teamwork skills for working effectively in groups</t>
  </si>
  <si>
    <t>NANENG 331</t>
  </si>
  <si>
    <t>Recall the basics of vector analysis.</t>
  </si>
  <si>
    <t>Identify the basic concepts of electric and magnetic fields.</t>
  </si>
  <si>
    <t>Calculate electric and magnetic fields from stationary and dynamic charge and current distributions</t>
  </si>
  <si>
    <t>Apply theoretical models to solve simple electrostatic boundary problems.</t>
  </si>
  <si>
    <t>Solve electromagnetic problems analytically and numerically</t>
  </si>
  <si>
    <t>Understand the time varying electric and magnetic fields.</t>
  </si>
  <si>
    <t>Define the relationship between electric and magnetic fields through Maxwell equations</t>
  </si>
  <si>
    <t>Relate the previous background to the modern electromagnetics’ applications.</t>
  </si>
  <si>
    <t>NANENG 335</t>
  </si>
  <si>
    <t>Recall the basic electromagnetic interaction with matter</t>
  </si>
  <si>
    <t>Apply theoretical models to calculate the transmission and reflection coefficients at different interfaces between media.</t>
  </si>
  <si>
    <t>Distinguish the basic construction and working mechanisms of important optical waveguides</t>
  </si>
  <si>
    <t>Identify different types of dispersion in optical waveguides</t>
  </si>
  <si>
    <t>Distinguish between the different types of polarization and its based applications</t>
  </si>
  <si>
    <t>Apply different techniques for light polarization control</t>
  </si>
  <si>
    <t>Relate the previous background to the modern photonics’ applications</t>
  </si>
  <si>
    <t>Understand a related scientific topic, in which they combine their basic understanding and the feasibility for photonics related resear</t>
  </si>
  <si>
    <t>NANENG 401</t>
  </si>
  <si>
    <t>Ability to design electrostatic actuators and sensors</t>
  </si>
  <si>
    <t>Ability to design thermal actuators and sensors</t>
  </si>
  <si>
    <t>Ability to work in teamwork to solve real life problems relatted to MEMS</t>
  </si>
  <si>
    <t>NANENG 401L</t>
  </si>
  <si>
    <t>Be familiar of the silicon-based MEMS processes and devices</t>
  </si>
  <si>
    <t>Be familiar with the entire developing cycle of MEMS devices</t>
  </si>
  <si>
    <t>Ability to design mask layouts for MEMS devices</t>
  </si>
  <si>
    <t>Ability to characterize MEMS devices</t>
  </si>
  <si>
    <t>NANENG 404</t>
  </si>
  <si>
    <t>Provide a thorough introduction to the principles and practice of studies techniques.</t>
  </si>
  <si>
    <t>Provide practical experience in laboratory methods and reporting.</t>
  </si>
  <si>
    <t>Provide basic descriptions of a range of common characterization methods for the determination of the structure and composition of solids.</t>
  </si>
  <si>
    <t>Discuss the relative advantages and disadvantages for the techniques covered in class</t>
  </si>
  <si>
    <t>Be able to identify and justify the selection of at least one techniques to evaluate a particular sample</t>
  </si>
  <si>
    <t>Be given an unknown sample (or have one from own research) and collect a targeted dataset on it using an instrument available on campus</t>
  </si>
  <si>
    <t>NANENG 410</t>
  </si>
  <si>
    <t> To explain design challenges,  hardware software co-design issues and different hardware platforms available in embedded systems</t>
  </si>
  <si>
    <t>To analyze communication protocols  and demonstrate use of peripheral devices like interrupts, timers, sensors, actuators and converters</t>
  </si>
  <si>
    <t>To examine role of software components like libraries, device drivers and real time operating systems (RTOS) in embedded system design</t>
  </si>
  <si>
    <t>To develop schedules for concurrent process execution using preemptive and non-preemptive scheduling algorithms </t>
  </si>
  <si>
    <t>To describe microcontroller architecture and I/O operations</t>
  </si>
  <si>
    <t>To describe hardware timing and conduct real time programming.</t>
  </si>
  <si>
    <t>To describe and implement operating systems development cycle.</t>
  </si>
  <si>
    <t>To design and implement embedded systems.</t>
  </si>
  <si>
    <t>To implement project development cycle: analysis, specification definition, implementation, testing, and requirements verification.</t>
  </si>
  <si>
    <t>To search through internet to collect data.</t>
  </si>
  <si>
    <t>NANENG 421</t>
  </si>
  <si>
    <t>Understand MOSFET modes of operations</t>
  </si>
  <si>
    <t>Analyze and design differential amplifier circuits</t>
  </si>
  <si>
    <t>Analyze, design and build oscillators</t>
  </si>
  <si>
    <t>Simulate and verify commonly used analog circuits.</t>
  </si>
  <si>
    <t>CHEM 112</t>
  </si>
  <si>
    <t>NANENG 422</t>
  </si>
  <si>
    <t>NANENG 424</t>
  </si>
  <si>
    <t>Understand different kinds of semiconductor materials used in photonic devices</t>
  </si>
  <si>
    <t>To be able to understand the mechanisms of light absorption and emission in p-n junctions</t>
  </si>
  <si>
    <t>Understand the operation principal of photovoltaic device with there different generation, device building concepts and parameters limiting the efficiencies</t>
  </si>
  <si>
    <t>Understand the basic operation of light emitting diodes, describe the basic and double heterojunction device, output light characteristics and different efficiencies and efficacy parameters</t>
  </si>
  <si>
    <t>Understand the most common specifications of photodiodes, LEDs, and laser diodes and their basic designs, application and condition to get light amplification and lasing.</t>
  </si>
  <si>
    <t>NANENG 430</t>
  </si>
  <si>
    <t>To gain an appreciation of the microwave engineering field</t>
  </si>
  <si>
    <t>To understand the wave equation and basic plane wave solutions in different media</t>
  </si>
  <si>
    <t>To solve Maxwell’s equations in uniform waveguides to determine the mode structure in uniform waveguides and to model uniform waveguides using transmission line equations. Specific application will be to find the cutoff frequency of TE and TM modes in rectangular waveguides</t>
  </si>
  <si>
    <t>To describe transmission line theory using distributed element model</t>
  </si>
  <si>
    <t>To use frequency domain transmission line theory and the Smith Chart to solve waveguide problems</t>
  </si>
  <si>
    <t>To use scattering parameters to analyze and predict the behavior of linear microwave passive networks</t>
  </si>
  <si>
    <t>To implement matching techniques for microwave components and devices using quarter wave transformers and single stub tuning networks</t>
  </si>
  <si>
    <t>NANENG 433</t>
  </si>
  <si>
    <t>Describe designs using a hardware description language.</t>
  </si>
  <si>
    <t>Perform performance evaluation for different microprocessors.</t>
  </si>
  <si>
    <t>Write Assembly code based on the ARM processor instruction set.</t>
  </si>
  <si>
    <t>Ability to use Arm Processors in designed architectures.</t>
  </si>
  <si>
    <t>Design a simple microprocessor.</t>
  </si>
  <si>
    <t>Verify the correct functionality of digital circuits using simulation.</t>
  </si>
  <si>
    <t>NANENG 500</t>
  </si>
  <si>
    <t>To design different digital applications using the HDL language (Verilog and VHDL) and to know the main differences between both languages</t>
  </si>
  <si>
    <t>To use ModelSim to simulate the HDL codes and make behavioral verifications.</t>
  </si>
  <si>
    <t>to write synthesizable HDL code and compare it with high level programming languages such as Matlab &lt;bit-bit comparison&gt;</t>
  </si>
  <si>
    <t>to program an FPGA (Xilinx) using ISE and Vivado and do all the required hardware setups</t>
  </si>
  <si>
    <t>to practice the ASIC design flow steps from HDL to chip tape-out</t>
  </si>
  <si>
    <t>to examine the main differences between the FPGA and the ASIC flows for different practical digital applications such as WiFi processing and security algorithms.</t>
  </si>
  <si>
    <t>to be able to design a complete digital project and program the FPGA with it to verify the functionality and also perform the ASIC steps till the tape-out final step</t>
  </si>
  <si>
    <t>Optimize digital circuits using pipelines.</t>
  </si>
  <si>
    <t>Work in teams to solve real life problems.</t>
  </si>
  <si>
    <t>NANENG 503</t>
  </si>
  <si>
    <t>Have a general knowledge about VLSI design cycle, physical design cycle, design styles and packaging styles.</t>
  </si>
  <si>
    <t>Have a good knowledge of algorithms, complexity and graph theory terminology</t>
  </si>
  <si>
    <t>Discuss chip partitioning including netlist partitioning, problem formulations, classic algorithms for balanced graph and hypergraph partitioning.</t>
  </si>
  <si>
    <t>Know more about floorplanning, power/ground planning and I/O assignment.</t>
  </si>
  <si>
    <t>To be able to distinguish between global and detailed placement, and other several algorithmic frameworks.</t>
  </si>
  <si>
    <t>Discuss global and detailed routing.</t>
  </si>
  <si>
    <t>representing layout with graph models</t>
  </si>
  <si>
    <t>Investigate the timing closure, and to get comprehensive coverage of timing analysis and relevant optimizations in placement, routing and netlist restructuring</t>
  </si>
  <si>
    <t>investigate state of the art global routers and yield optimizations performed in detailed routing.</t>
  </si>
  <si>
    <t>NANENG 511</t>
  </si>
  <si>
    <t>Design some coupled mode devices such as multimode interference coupler, lined up filter and dielectric coupler switch.</t>
  </si>
  <si>
    <t>Describe the polarization in polar/nonpolar bulky materials using Debye, Lorentz and Drude models</t>
  </si>
  <si>
    <t>Identify the physical electromagnetics (EM) properties (dielectric constants, refractive index, conductivity reflection and absorption) of bulky metals and dielectrics.</t>
  </si>
  <si>
    <t>Analyze the EM wave propagation in isotropic and anisotropic materials</t>
  </si>
  <si>
    <t>Derive the field distributions and transmission spectra for 1D array of dielectric materials (Grating)</t>
  </si>
  <si>
    <t>Identify different types of nonlinear materials and grating structure (sub-wavelength, diffraction, Bragg) and their applications.</t>
  </si>
  <si>
    <t>Derive mathematically the recurrent formulas for 1D linearly polarized FDTD based Maxwell's equations.</t>
  </si>
  <si>
    <t>Identify the properties of photonic crystal structures.</t>
  </si>
  <si>
    <t>Understand the properties of plasmonic structures and different related applications.</t>
  </si>
  <si>
    <t>NANENG 512</t>
  </si>
  <si>
    <t>Describe designs using a hardware description language. (LEC, Lab)</t>
  </si>
  <si>
    <t>Perform performance evaluation for different microprocessors. (LEC, Lab)</t>
  </si>
  <si>
    <t>Write Assembly code based on the ARM processor instruction set. (LEC, Lab)</t>
  </si>
  <si>
    <t>Ability to use Arm Processors in designed architectures. (LEC, Lab)</t>
  </si>
  <si>
    <t>Design a simple microprocessor. (LEC, Lab, Project)</t>
  </si>
  <si>
    <t>Verify the correct functionality of digital circuits using simulation. (LEC, Lab, Project)</t>
  </si>
  <si>
    <t>Optimize digital circuits using pipelines. (LEC, Project)</t>
  </si>
  <si>
    <t>Work in teams to solve real life problems. (Project)</t>
  </si>
  <si>
    <t>NANENG 513</t>
  </si>
  <si>
    <t>Ability to analyze modern FinFET process integration steps with High-k/Metal gates</t>
  </si>
  <si>
    <t>Apply TCAD tools in nanofabrication to model processing steps, and link them to device electrical properties</t>
  </si>
  <si>
    <t>Ability to understand the basics of Atomic Layer Deposition concepts, and its use in nanoelectronics.</t>
  </si>
  <si>
    <t>Ability to analyze the factors affecting optical lithography resolution, and methods to improve it, and make first order calculations for resolution in proximity and projection systems.</t>
  </si>
  <si>
    <t>Ability to calculate ion density, ion currents in the cathode sheets, and understand basic concepts of combining RF/Microwave electrical &amp; magnetic fields to get high density plasmas.</t>
  </si>
  <si>
    <t>Understand the use of Chemical Mechanical Planarization (CMP) in modern device processing, including damascene metallization and patterning.</t>
  </si>
  <si>
    <t>Understand the basics of vacuum pumps and gas systems</t>
  </si>
  <si>
    <t>NANENG 514</t>
  </si>
  <si>
    <t>CHEM 201</t>
  </si>
  <si>
    <t>To understand the origin of conductivity in organic material, the advantage of these technologies over inorganic based technology.</t>
  </si>
  <si>
    <t>To distinguish between the “inverted” and “regular” architecture of the organic solar cells and understand the potential advantages of using inverted structure</t>
  </si>
  <si>
    <t>To understand the concept of the tandem or multi-junction solar cell and why these solar cells have very high power conversion efficiencies</t>
  </si>
  <si>
    <t>To understand the operating mechanism, different device configuration of the organic field-effect transistor during p-type and n-type transport testing</t>
  </si>
  <si>
    <t>NANENG 515</t>
  </si>
  <si>
    <t>Ability to apply the micro/nano fabrication techniques for developing MEMS systems on-chip</t>
  </si>
  <si>
    <t>Ability to use FEM packages for designing MEMS devices</t>
  </si>
  <si>
    <t>Ability to design pressure sensors with various mechanisms</t>
  </si>
  <si>
    <t>Ability to design infra red imaging sensors</t>
  </si>
  <si>
    <t>Ability to design inirtial sensors</t>
  </si>
  <si>
    <t>Ability to design microfluidic devices</t>
  </si>
  <si>
    <t>NANENG 520</t>
  </si>
  <si>
    <t>Become familiar with bulk MOSFET limitations (such as Short Channel Effects)</t>
  </si>
  <si>
    <t>Ability to analyze the classical physics for SOI and Multi-gate MOSFET devices.</t>
  </si>
  <si>
    <t>Apply quantum mechanics to analyze nm-scale device physics, and calculate energy levels and electron charge.</t>
  </si>
  <si>
    <t>Ability to understand electron transport in novel devices such nanowires and tunnel FETs, as well as ballistic transport basics.</t>
  </si>
  <si>
    <t>Develop compact models using Verilog-A for nm-scale Multi-gate MOSFET devices, and implement into SPICE simulations.</t>
  </si>
  <si>
    <t>Apply TCAD device modeling tools (Synopsys Sentaurus Sdevice) in order to simulate advanced device structures</t>
  </si>
  <si>
    <t>NANENG 522</t>
  </si>
  <si>
    <t>NANENG 524</t>
  </si>
  <si>
    <t>NANENG 530</t>
  </si>
  <si>
    <t>NANENG 598</t>
  </si>
  <si>
    <t>NANOSC</t>
  </si>
  <si>
    <t>Ability to recognize the basic and structure of the matter and relations of structure to function</t>
  </si>
  <si>
    <t>Ability to describe the different Concepts of Chemical Bonding and the Molecular Geometry and Bonding Theories</t>
  </si>
  <si>
    <t>Ability to describe the relationship between solute concentration and the physical properties of a solution.</t>
  </si>
  <si>
    <t>Ability to understand how to determine reaction rates and to consider the factors that control these rates.</t>
  </si>
  <si>
    <t>Ability to demonstrate the dynamic equilibria in chemical reactions.</t>
  </si>
  <si>
    <t>The ability to understand and manage the environmental chemistry in a beneficial way.</t>
  </si>
  <si>
    <t>The ability to learn the rate of chemical reactions that are controlled by a factor related the activation energy of the reaction.</t>
  </si>
  <si>
    <t>Ability to understand redox reactions that are involved in the operation of batteries as well as in a wide variety of important natural processes.</t>
  </si>
  <si>
    <t>CHEM 203</t>
  </si>
  <si>
    <t>Nomenclate organic compounds systematically</t>
  </si>
  <si>
    <t>Understand different types of organic reactions</t>
  </si>
  <si>
    <t>Understand the concepts of function groups conversions</t>
  </si>
  <si>
    <t>Deduce stepwise reaction of mechanism of chemical conversions</t>
  </si>
  <si>
    <t>Apply stereochemical concepts in chemical reaction</t>
  </si>
  <si>
    <t>Differentiate between thermodynamic and thermokinetic products</t>
  </si>
  <si>
    <t>Predict basic physical properties for organic compounds</t>
  </si>
  <si>
    <t>CHEM 211</t>
  </si>
  <si>
    <t>Work safely in chemistry laboratory</t>
  </si>
  <si>
    <t>Set chemical reactions under different reaction conditions</t>
  </si>
  <si>
    <t>Monitor the progress of chemical reactions</t>
  </si>
  <si>
    <t>Purify the desired product using chromatographic tools</t>
  </si>
  <si>
    <t>Identify chemical compounds using different characterization techniques</t>
  </si>
  <si>
    <t>Write a technical report</t>
  </si>
  <si>
    <t>Understand the basic concepts underneath chemical experiments</t>
  </si>
  <si>
    <t>NANOSC 301</t>
  </si>
  <si>
    <t>Ability to identify fundamental interactions governing</t>
  </si>
  <si>
    <t>Ability to select optimal analytical and characterization</t>
  </si>
  <si>
    <t>Ability to develop skills of linking basic concepts of</t>
  </si>
  <si>
    <t>NANOSC 302</t>
  </si>
  <si>
    <t>To introduce basic techniques for materials characterization</t>
  </si>
  <si>
    <t>To introduce the working principles and instrumentation of main techniques (such as AFM, TEM, SEM, and XRD).</t>
  </si>
  <si>
    <t>To demonstrate the readout of characterization techniques (Data interpretation).</t>
  </si>
  <si>
    <t>To practice microscopic images examinations.</t>
  </si>
  <si>
    <t>To study operations of characterization equipment.</t>
  </si>
  <si>
    <t>NANOSC 303</t>
  </si>
  <si>
    <t>NANOSC 305</t>
  </si>
  <si>
    <t>Understand the principles of Synthesis &amp; Fabrication of Nanomaterials</t>
  </si>
  <si>
    <t>Understand basic concepts and integrating their knowledge in various disciplines of nanomaterials.</t>
  </si>
  <si>
    <t>Develop positive attitudes towards seeking facts and scientific research.</t>
  </si>
  <si>
    <t>Develop learning skills using experimental tools in Synthesis &amp; Fabrication of Nanomaterials lab</t>
  </si>
  <si>
    <t>Gain familiarity with scientific &amp; quantitative methods of thinking</t>
  </si>
  <si>
    <t>NANOSC 306</t>
  </si>
  <si>
    <t>NANOSC 307</t>
  </si>
  <si>
    <t>NANOSC 308</t>
  </si>
  <si>
    <t>NANOSC 312</t>
  </si>
  <si>
    <t>To practice the working principles and instrumentation of main techniques (such as AFM, TEM, SEM, and XRD).</t>
  </si>
  <si>
    <t>To introduce the interpretation of the characterization technique outputs (Data interpretation)</t>
  </si>
  <si>
    <t>To practice the electron microscopic images examinations</t>
  </si>
  <si>
    <t>To study operations of electrochemical characterization equipments</t>
  </si>
  <si>
    <t>NANOSC 315</t>
  </si>
  <si>
    <t>Gain the skills required for Synthesis &amp; Fabrication of Nanomaterials.</t>
  </si>
  <si>
    <t>Understand the basic concepts of nanomaterials fabrication.</t>
  </si>
  <si>
    <t>NANOSC 401</t>
  </si>
  <si>
    <t>NANOSC 403</t>
  </si>
  <si>
    <t>NANOSC 405</t>
  </si>
  <si>
    <t>Define the interactions between the nanoproduct and internal environment of the body</t>
  </si>
  <si>
    <t>Define nanoproduct characteristics, such as the physicochemical parameters and polydispersity of nanoproducts, their disposition within the body, and the penetration barriers set up by the body itself</t>
  </si>
  <si>
    <t>Differentiate between administration and disposition of nanoproducts within the body in comparison to conventional products in terms of kinetic phases (liberation, absorption distribution, metabolism, and excretion) and param¬eters (bioavailability, volume of distribution, and elimination)</t>
  </si>
  <si>
    <t>Discover and Analyze the practical application, disposition, and toxicology of nanoproducts absorbed via the respiratory and olfactory routes</t>
  </si>
  <si>
    <t>Discover and Analyze the practical application, disposition, and tox¬icology of nanoproducts (i.e., nanomedicines, nanofoods, nanonutriceuticals, and nanodevices employed for food packaging) that are administered via the buccal route and by ingestion</t>
  </si>
  <si>
    <t>Discover and Analyze the practical application, disposition, and toxicology of organic and inorganic nanomaterials, nano¬cosmetics, and nanomedicines that are exposed to the body via the integu¬mentary system and the ocular route</t>
  </si>
  <si>
    <t>Discover and Analyze the administration and dis¬tribution of nanoproducts, especially nanomedicines, via the systemic route</t>
  </si>
  <si>
    <t>Define the toxicology of nanotechnology-based products in terms of a specific “nano-unique” concept that encompasses toxicology principles on the nanoscale and descriptive toxicity testing of nanoproducts</t>
  </si>
  <si>
    <t>Be able to Design an effective nanoproduct for different applications</t>
  </si>
  <si>
    <t>NANOSC 406</t>
  </si>
  <si>
    <t>NANOSC 413</t>
  </si>
  <si>
    <t>NANOSC 415</t>
  </si>
  <si>
    <t>NANOSC 416</t>
  </si>
  <si>
    <t>NANOSC 417</t>
  </si>
  <si>
    <t>NANOSC 499</t>
  </si>
  <si>
    <t>PEU</t>
  </si>
  <si>
    <t>PEU 204</t>
  </si>
  <si>
    <t>To know about different oscillation types, and natural frequency and driven oscillations.</t>
  </si>
  <si>
    <t>To apply Newton’s 2nd and 3rd laws and the conservation laws of linear and angular momenta.</t>
  </si>
  <si>
    <t>To calculate potential and energy and their relationship with conservative forces.</t>
  </si>
  <si>
    <t>to interpret different mechanical constraints: Rheonomic, Scleronomic, Holonomic, and Non-Holonomic.</t>
  </si>
  <si>
    <t>to apply the D’Almpert principle and the Lagrangian to write down the equations of motion.</t>
  </si>
  <si>
    <t>to use variational calculus and the Lagrange multiplier to solve some types of non-holonomic constraints.</t>
  </si>
  <si>
    <t>To obtain the response of a mechanical system, under small amplitude oscillation approximation, to different excitations.</t>
  </si>
  <si>
    <t>To reduce motion in a central force to a one-dimensional problem, using constants of motion.</t>
  </si>
  <si>
    <t>To describe mathematically the motion in a non-inertial frame, and use that to study the motion of rigid body.</t>
  </si>
  <si>
    <t>To describe the motion in the Hamiltonian form and find the different constants of motion.</t>
  </si>
  <si>
    <t>to interpret the Lagrange equations as an extremum to the action integral using Euler variational principle.</t>
  </si>
  <si>
    <t>PEU 205</t>
  </si>
  <si>
    <t>Recognize and identify stars, constellations, and planets in the night sky and interpret and visualize observed changes such as the phases of the moon and Venus</t>
  </si>
  <si>
    <t>Compare and contrast the models of the solar system and the observational evidence for or against them</t>
  </si>
  <si>
    <t>Describe planetary orbits and relate them to Kepler’s laws</t>
  </si>
  <si>
    <t>Compare Newton and Einstein views of gravity and support them by observational evidence.</t>
  </si>
  <si>
    <t>Explain the basic function of telescopes and classify the types of optical telescopes</t>
  </si>
  <si>
    <t>Name the major characteristics of the inner and outer solar system planets</t>
  </si>
  <si>
    <t>Describe stellar formation and evolution, and relate the various evolutionary paths to the initial stellar mass</t>
  </si>
  <si>
    <t>Identify the effects of tidal forces ion celestial bodies and their observable signatures</t>
  </si>
  <si>
    <t>Define Hubble’s law and Identify the empirical evidence of the theory of the Big bang</t>
  </si>
  <si>
    <t>Explain the challenges of dark matter and dark energy and their observational evidence</t>
  </si>
  <si>
    <t>Identify the criteria that make a celestial body habitable</t>
  </si>
  <si>
    <t>PEU 207</t>
  </si>
  <si>
    <t>To differentiate between the Earth system science and Earth science, and to represent the Earth system and its major reservoirs as a box model, and to determine positive and negative feedbacks.</t>
  </si>
  <si>
    <t>To identify internal structure of the Earth, and to identify minerals using their physical properties, and to differentiate between different rock families, and to differentiate between categories of regolith.</t>
  </si>
  <si>
    <t>To explain the continental drift hypothesis and different observational evidence of drift, and to define magnetic reversal and sea floor spreading, and to identify mechanism and driving force of lithospheric plate motion and recycling of lithosphere, and to differentiate between different types of plate margins and associated Earth’s topographic features.</t>
  </si>
  <si>
    <t>To define earthquakes and their origin, and to differentiate between different types of seismic waves, and to locate the epicenter of an earthquake and its Richter magnitude, and to identify earthquake primary and secondary effects, and to define relationship between earthquakes and plate tectonics.</t>
  </si>
  <si>
    <t>To differentiate between magma and lava and to explain effect of pressure and water on rock melting, and to identify different types of magma and their ability to flow, and to explain different types of volcanic eruption and volcanoes and their hazards, to define connection to plate tectonics.</t>
  </si>
  <si>
    <t>To describe the hydrologic cycle, and to define stream flow and controlling factors, and to define different process and landforms associated with stream meandering and braided channels, and to identify groundwater and aquifers and geologic work of groundwater, and to define sources of water pollution.</t>
  </si>
  <si>
    <t>To differentiate between snow and ice and different types of glaciers, and to describe how glaciers move, and to identify different types of glaciated landscapes and glacial deposition and to identify sea ice and impact of global warming on glaciers, ice sheets and sea ice</t>
  </si>
  <si>
    <t>To identify factors controlling ocean water salinity and vertical stratification of the ocean, and to identify ocean circulation and driving forces for surface currents and deep thermo-haline circulation and the effect of Coriolis force and development of Ekman spiral and Ekman transport, and to identify origin of ocean waves and tides.</t>
  </si>
  <si>
    <t>To identify composition and structure of the atmosphere and its moisture content and different mechanisms for air lifting and cloud formation and to identify global air circulation and severe weather.</t>
  </si>
  <si>
    <t>To identify ecosystems and different types of biomes, and to describe different biogeochemical cycles, and to identify different mineral and energy resources, and to identify anthropogenic impacts on the Earth system.</t>
  </si>
  <si>
    <t>PEU 208</t>
  </si>
  <si>
    <t>PEU 210</t>
  </si>
  <si>
    <t>To make line, surface and volume integrals and to apply that to evaluate gradient, divergence and curl in different coordinate systems</t>
  </si>
  <si>
    <t>To apply the different forms of the fundamental theorem in calculus: i.e. Divergence and Stoke’s theorem.</t>
  </si>
  <si>
    <t>To use Dirac delta “function” to describe concentration at a point, a line or surface.</t>
  </si>
  <si>
    <t>To calculate electric field and force from coulomb’s law for discrete or continuous charge distributions.</t>
  </si>
  <si>
    <t>To apply Gauss’s law to get the electrostatic field for highly symmetric problems and to evaluate it in differential divergence form.</t>
  </si>
  <si>
    <t>To use the electrostatic potential to solve electrostatic problems as either Poisson or Laplace equations.</t>
  </si>
  <si>
    <t>To calculate the work and energy to construct an electrostatic system.</t>
  </si>
  <si>
    <t>To deal with conductors to calculate its surface charge, potential and energy.</t>
  </si>
  <si>
    <t>To apply the method of image to solve electrostatic problems encountering conducting plane(s).</t>
  </si>
  <si>
    <t>To model the polarization of a dielectric material.</t>
  </si>
  <si>
    <t>To calculate Lorentz forces and the magnetic field using Biot-Savart law.</t>
  </si>
  <si>
    <t>To use magnetic vector potential to solve magnetostatic problems and magnetic field in matter.</t>
  </si>
  <si>
    <t>To find the electromotive force either motional or due to variation of the magnetic field.</t>
  </si>
  <si>
    <t>The correction made by Maxwell in Ampere’s law and introducing the displacement current. Finally, The whole coupled Maxwell’s equations are discussed.</t>
  </si>
  <si>
    <t>PEU 228</t>
  </si>
  <si>
    <t>PEU 311</t>
  </si>
  <si>
    <t>PEU 323</t>
  </si>
  <si>
    <t>To Understand the meaning of the wave-function</t>
  </si>
  <si>
    <t>To solve the time independent Schrodinger equation in one and three dimensions</t>
  </si>
  <si>
    <t>To understand basic concepts of quantum mechanics and its formalism</t>
  </si>
  <si>
    <t>To apply approximate methods to solve time-independent Schrodinger equation</t>
  </si>
  <si>
    <t>To gain familiarity with quantum mechanics and ability to read and understand more on advanced texts on the subject.</t>
  </si>
  <si>
    <t>PEU 346</t>
  </si>
  <si>
    <t>Understand the various properties of determinants and matrices and their application in physics</t>
  </si>
  <si>
    <t>Master the technique of vector calculus as applied in various areas of physics.</t>
  </si>
  <si>
    <t>Understand the use of different coordimate systems and the transformation rules of various objects.</t>
  </si>
  <si>
    <t>PEU 348</t>
  </si>
  <si>
    <t>Understanding the quantum mechanical explanation of the spectrum of the Hydrogen atom and the appearence of degeneracy in 3D problems.</t>
  </si>
  <si>
    <t>Understanding the quantum mechanical theory of orbital and sping angular momentum</t>
  </si>
  <si>
    <t>Understanding the concept of identical particles and the Boson-Fermion classification</t>
  </si>
  <si>
    <t>Understanding the role of quantum mechanics in explaning the properties of multi-electron atoms and the band structure of solids</t>
  </si>
  <si>
    <t>Understanding the difference between Fermions and Bosons statistics.</t>
  </si>
  <si>
    <t>PEU 356</t>
  </si>
  <si>
    <t>Understanding the quantum mechanical explanation of the spectrum of the Hydrogen atom and the appearance of degeneracy in 3D problems.</t>
  </si>
  <si>
    <t>Understanding the use of tensors and how they arise in physical problems.</t>
  </si>
  <si>
    <t>Understanding the theory of vector spaces and linear operators and how it's being used in quantum mechanics</t>
  </si>
  <si>
    <t>Know how to solve eigenvalue problems and and appreciate their importance in physics</t>
  </si>
  <si>
    <t>PEU 403</t>
  </si>
  <si>
    <t>PEU 405</t>
  </si>
  <si>
    <t>To understand and explain Kinematics and dynamics of an expanding universe</t>
  </si>
  <si>
    <t>To understand Propagation of light and horizons and to use the conformal diagrams.</t>
  </si>
  <si>
    <t>To use the conformal diagrams.</t>
  </si>
  <si>
    <t>To Understand the basic idea of the theories that explain The very early universe.</t>
  </si>
  <si>
    <t>To understand the concept of Inflation</t>
  </si>
  <si>
    <t>To understand Gravitational instability in Newtonian theory.</t>
  </si>
  <si>
    <t>To understand Gravitational instability in General Relativity.</t>
  </si>
  <si>
    <t>To function in a team and communicate with others.</t>
  </si>
  <si>
    <t>PEU 407</t>
  </si>
  <si>
    <t>PEU 430</t>
  </si>
  <si>
    <t>Understand the necessity of using approximation techniques in quantum mechanics</t>
  </si>
  <si>
    <t>Understand how to use time-independent perturbation theory in various physical problems</t>
  </si>
  <si>
    <t>Understand the use of time-dependent perturbation theory in studying quantum transitions and the importance of selection rules</t>
  </si>
  <si>
    <t>Understand the adiabatic approximation and the emergence of geometric phase</t>
  </si>
  <si>
    <t>PEU 431</t>
  </si>
  <si>
    <t>Relalize the necessity of releativisitc formulation of Quantum Mechanics</t>
  </si>
  <si>
    <t>Understanding the different properties of Dirac equation</t>
  </si>
  <si>
    <t>Understanding the solution of Dirac equation for free particle and the appearence of negative energy solutions.</t>
  </si>
  <si>
    <t>Understanding the physical interepretation of the negative energy solutions as anti-particles.</t>
  </si>
  <si>
    <t>PEU 450</t>
  </si>
  <si>
    <t>PEU 453</t>
  </si>
  <si>
    <t>PEU 455</t>
  </si>
  <si>
    <t>Understand the sturm liouville theory and its use in solving ODEs</t>
  </si>
  <si>
    <t>Understand the use of complex techniques in solving real variable problems;</t>
  </si>
  <si>
    <t>Understand the concept of analytic functions and the various properties they satisfy.</t>
  </si>
  <si>
    <t>PEU 460</t>
  </si>
  <si>
    <t>Demonstrate an understanding of fundamental physical concepts and the ability to apply these concepts to physical situations</t>
  </si>
  <si>
    <t>Understand basic concepts and integrate their knowledge into various disciplines of physics</t>
  </si>
  <si>
    <t>Gain familiarity with scientific &amp; quantitative methods</t>
  </si>
  <si>
    <t>Enhance the research and presentation skills of the students</t>
  </si>
  <si>
    <t>PHYS 101</t>
  </si>
  <si>
    <t>To master and apply the formalism of Newtonian Mechanics, represented in mathematical form.</t>
  </si>
  <si>
    <t>Understand basic concepts and integrate their knowledge into various disciplines of physics.</t>
  </si>
  <si>
    <t>Apply calculus in a real world setting</t>
  </si>
  <si>
    <t>Develop learning skills using experimental tools in physics lab</t>
  </si>
  <si>
    <t>PHYS 102</t>
  </si>
  <si>
    <t>To identify and recognize the principles from the formalism of Classical Electromagnetism in a problem-solving context.</t>
  </si>
  <si>
    <t>To use the basic concepts of Classical Electromagnetic Theory to quantitatively predict the movement of physical objects under the influence of the Electromagnetic Field.</t>
  </si>
  <si>
    <t>To demonstrate the ability to solve problems using Classical Electromagnetic theory</t>
  </si>
  <si>
    <t>To integrate their knowledge into various disciplines of physics.</t>
  </si>
  <si>
    <t>To simplify complex problems by identifying and executing basic Laws.</t>
  </si>
  <si>
    <t>To use experimental tools in physics lab and interpret data.</t>
  </si>
  <si>
    <t>To demonstrate quantitative methods of thinking.</t>
  </si>
  <si>
    <t>PHYS 111</t>
  </si>
  <si>
    <t>PHYS 112</t>
  </si>
  <si>
    <t>PHYS 201</t>
  </si>
  <si>
    <t>Master the mathematical formalism of different types of waves and their associated physical phenomena such as interference and diffraction.</t>
  </si>
  <si>
    <t>Master the laws of geometrical optics and their applications in science and technology.</t>
  </si>
  <si>
    <t>Master the classical theory of Thermodynamics, represented in mathematical form and the real life applications of thermodynamics.</t>
  </si>
  <si>
    <t>Utilize the theory to make testable predictions.</t>
  </si>
  <si>
    <t>The overall goal is to develop a deep understanding of the theory and an ability to apply it to solve real world problems. To this end, we use problem-solving exercises to test and refine our own understanding of the theory as individuals. In addition, we will have the opportunity for hands-on demonstration and testing of the theory. All of these activities are designed to provide exercises in scientific method, critical thinking and problem-solving, as well as understanding of the theory itself.</t>
  </si>
  <si>
    <t>PHYS 202</t>
  </si>
  <si>
    <t>To describe how events are characterized in different inertial reference frames and Lortentz Transformations and To analyze and calculate relativistic time dilation, length contraction, relative simultaneity and their applications in Doppler effect, twin paradox and gravitational red shift.</t>
  </si>
  <si>
    <t>To analyze relativistic mechanics problems, energy momentum transformations, mass energy equivalence and motion of charged particles in Electric and Magnetic fields.</t>
  </si>
  <si>
    <t>To identify the classical physics failure to account for the black body problem and apply the quantum hypothesis to resolve it. To analyze the photoelectric effect, X ray spectrum and Compton effect to measure the Plank’s constant in different methods.</t>
  </si>
  <si>
    <t>To identify composition of atoms through identification of electrons by measuring its charge and mass and to be able to identify the nucleus charge and size by Rutherford’s scattering technique.</t>
  </si>
  <si>
    <t>To obtain and measure the optical spectrum of different elements and to classify the spectrum of Hydrogen into different series. To be able to get a sense of the quantization of energy inside the atom through Bohr model of the Hydrogen like atoms and through Franck Hertz Experiment.</t>
  </si>
  <si>
    <t>To identify the wave particle duality of massive particles and treat them as wave packets.</t>
  </si>
  <si>
    <t>To describe Diffraction and Interference of massive particle beams.</t>
  </si>
  <si>
    <t>To be able to write Shrodinger Equation for particles moving in potentials and to learn how to use the variables separation technique to identify the solution of it.</t>
  </si>
  <si>
    <t>To apply this equation to analyze the motion of partilces in infinite potential well, harmonic oscillator potential and in finite potential well.</t>
  </si>
  <si>
    <t>To identify nuclear radiation decay law and its application in dating.</t>
  </si>
  <si>
    <t>PHYS 211</t>
  </si>
  <si>
    <t>PHYS 212</t>
  </si>
  <si>
    <t>REE</t>
  </si>
  <si>
    <t>ENGR 218</t>
  </si>
  <si>
    <t>ENGR 219</t>
  </si>
  <si>
    <t>ENGR 221</t>
  </si>
  <si>
    <t>REE 201</t>
  </si>
  <si>
    <t>REE 202</t>
  </si>
  <si>
    <t>REE 209</t>
  </si>
  <si>
    <t>REE 222</t>
  </si>
  <si>
    <t>REE 308</t>
  </si>
  <si>
    <t>REE 309</t>
  </si>
  <si>
    <t>REE 310</t>
  </si>
  <si>
    <t>REE 312</t>
  </si>
  <si>
    <t>REE 401</t>
  </si>
  <si>
    <t>REE 405</t>
  </si>
  <si>
    <t>REE 415</t>
  </si>
  <si>
    <t>REE 419</t>
  </si>
  <si>
    <t>REE 421</t>
  </si>
  <si>
    <t>REE 430</t>
  </si>
  <si>
    <t>REE 466</t>
  </si>
  <si>
    <t>REE 503</t>
  </si>
  <si>
    <t>REE 520</t>
  </si>
  <si>
    <t>REE 532</t>
  </si>
  <si>
    <t>REE 534</t>
  </si>
  <si>
    <t>REE 543</t>
  </si>
  <si>
    <t>SPC</t>
  </si>
  <si>
    <t>ENGR 201</t>
  </si>
  <si>
    <t>ENGR 332</t>
  </si>
  <si>
    <t>SPC 201</t>
  </si>
  <si>
    <t>SPC 208</t>
  </si>
  <si>
    <t>SPC 209</t>
  </si>
  <si>
    <t>SPC 408</t>
  </si>
  <si>
    <t>SPC 409</t>
  </si>
  <si>
    <t>SPC 413</t>
  </si>
  <si>
    <t>SPC 491</t>
  </si>
  <si>
    <t>SPC 506</t>
  </si>
  <si>
    <t>SPC 510</t>
  </si>
  <si>
    <t>SPC 527</t>
  </si>
  <si>
    <t>SPC 560</t>
  </si>
  <si>
    <t>Progress</t>
  </si>
  <si>
    <t>Programs</t>
  </si>
  <si>
    <t>Math 101</t>
  </si>
  <si>
    <t>Math 201</t>
  </si>
  <si>
    <t>Math 203</t>
  </si>
  <si>
    <t>Math 302</t>
  </si>
  <si>
    <t>Math 306</t>
  </si>
  <si>
    <t>Math 404</t>
  </si>
  <si>
    <t>CLO 16</t>
  </si>
  <si>
    <t>CLO 17</t>
  </si>
  <si>
    <t>CLO 18</t>
  </si>
  <si>
    <t>CLO 19</t>
  </si>
  <si>
    <t>CLO 20</t>
  </si>
  <si>
    <t>Semestar</t>
  </si>
  <si>
    <t>Year</t>
  </si>
  <si>
    <t>Know these terms: Field, Flux, Curl (Rotation), Gradient, Conservative Field, Solenoidal Field, Irrotational Field.</t>
  </si>
  <si>
    <t>Calculate line, surface, and volume integrals for different problems.</t>
  </si>
  <si>
    <t>Calculate surface integral for parametrized surfaces.</t>
  </si>
  <si>
    <t>Calculate and interpret the gradient, curl and divergence of physical quantities.</t>
  </si>
  <si>
    <t>Apply the suffix and summation convention to prove different vector calculus identities.</t>
  </si>
  <si>
    <t>Apply the divergence and Stoke’s theorems.</t>
  </si>
  <si>
    <t>Prove related theorems linking surface and volume integrals.</t>
  </si>
  <si>
    <t>Know what curvilinear orthogonal coordinates are.</t>
  </si>
  <si>
    <t>Represent grad, div and curl in orthogonal curvilinear coordinate systems.</t>
  </si>
  <si>
    <t>Apply the vector derivatives to cylindrical and spherical polar coordinates.</t>
  </si>
  <si>
    <t>Know the meaning of rotational or orthogonal coordinate transformation.</t>
  </si>
  <si>
    <t>Conceptual and analytical understanding of one of the four major areas of physics (Mechanics, Electricity and Magnetism, Quantum Mechanics, and Statistical physics).</t>
  </si>
  <si>
    <t>Ability to clearly communicate the results of scientific analysis in written and oral form.</t>
  </si>
  <si>
    <t>Demonstration of a working knowledge of laboratory and programming skills as they relate to gathering data and comparing data to the predictions of theoretical models.</t>
  </si>
  <si>
    <t>Understanding of scientific reasoning, i.e., the roles of theory, hypothesis, and experiment in the scientific method.</t>
  </si>
  <si>
    <t>Apply the electromagnetic conservation laws on different electromagnetic problems.</t>
  </si>
  <si>
    <t>Solve electromagnetic waves in vacuum and inside different media.</t>
  </si>
  <si>
    <t>Solve electromagnetic waves in guided structures.</t>
  </si>
  <si>
    <t>Analyze electromagnetic fields in terms of retarded potentials.</t>
  </si>
  <si>
    <t>Solve electromagnetic radiation from oscillating dipole.</t>
  </si>
  <si>
    <t>Solve for the radiation from an accelerating charge.</t>
  </si>
  <si>
    <t>Knowledge of the relation of Maxwell’s equations and the special theory of relativity.</t>
  </si>
  <si>
    <t>Use Mathematica as a programming tool.</t>
  </si>
  <si>
    <t>Learn some basic numerical techniques.</t>
  </si>
  <si>
    <t>Apply numerical techniques to a number of important physics topics.</t>
  </si>
  <si>
    <t>Appreciate the power of numerical computation is solving physics problem.</t>
  </si>
  <si>
    <t>Ability to perform basic experiments in classical mechanics.</t>
  </si>
  <si>
    <t>Ability to analyze experimental data.</t>
  </si>
  <si>
    <t>Understand error propagation and its role in making conclusions.</t>
  </si>
  <si>
    <t>Gain a knowledge and understanding of fundamental classical physical concepts in the areas covered in this class through experiments.</t>
  </si>
  <si>
    <t>Apply an understanding of these concepts to various experimental systems and devises.</t>
  </si>
  <si>
    <t>Develop a clear understanding for the concepts of Waves, Optics and Thermodynamics.</t>
  </si>
  <si>
    <t>Understand error propagation and its role in making conclusions</t>
  </si>
  <si>
    <t>Discuss various applications of the Waves, Optics and Thermodynamics.</t>
  </si>
  <si>
    <t>Develop a clear understanding and skills to deal with different setups (electronic and mechanics).</t>
  </si>
  <si>
    <t>Apply the understanding of these concepts to new various experimental systems and devices.</t>
  </si>
  <si>
    <t>Develop the student skills in using IT and computer skills in conducting experiments.</t>
  </si>
  <si>
    <t>Describe spoken language interface, its architectures and applications.</t>
  </si>
  <si>
    <t>Describe the human sound production system and sound perception</t>
  </si>
  <si>
    <t>Describe the Arabic phonemes,their acoustic classifications, and their manner of articulation</t>
  </si>
  <si>
    <t>Analyse speech signals using spectrograms, and formant formant frequencies</t>
  </si>
  <si>
    <t>Use appropriate tools to produce the mfcc speech feature vectors</t>
  </si>
  <si>
    <t>Describre the HMM model, transition matric, and emission probabilities.</t>
  </si>
  <si>
    <t>Describe Arabic speech recognition system, phone set, phonetic dictionary and language model.</t>
  </si>
  <si>
    <t>Describe Arabic text to speech systems, lettter to phone rules and speech synthesis from the phone models</t>
  </si>
  <si>
    <t>Describe the automatic diacritization of Arabic text, and the HMM-viterbi method.</t>
  </si>
  <si>
    <t>Use state of the art seq2seq and Deepspeech for speech recognition and other Arabic speech applications.</t>
  </si>
  <si>
    <t>Learn the function of different cell organelles</t>
  </si>
  <si>
    <t>Learn how the DNA is replicated and genes are transcribed and translated</t>
  </si>
  <si>
    <t>Explain how gene expression is regulated</t>
  </si>
  <si>
    <t>Learn about common cell biology techniques</t>
  </si>
  <si>
    <t>Perform common Cell Biology techniques</t>
  </si>
  <si>
    <t> Connect theoretical part to the practical part of the Cell Biology field</t>
  </si>
  <si>
    <t>Develop hand-on experience for the common Cell Biology techniques</t>
  </si>
  <si>
    <t>Take part of a real research environment</t>
  </si>
  <si>
    <t>Interpret and analyze your data</t>
  </si>
  <si>
    <t>Report your results in a neat and readable Notebook</t>
  </si>
  <si>
    <t>Link the structure of the chromosome to its function</t>
  </si>
  <si>
    <t>Connect DNA repair to DNA replication</t>
  </si>
  <si>
    <t>Compare different DNA repair machineries</t>
  </si>
  <si>
    <t>Explain how homologous recombination is essential to the cell</t>
  </si>
  <si>
    <t>Identify the connection between replication, transcription and translation</t>
  </si>
  <si>
    <t>Determine how the cell controls gene expression</t>
  </si>
  <si>
    <t>Perform common molecular biology techniques</t>
  </si>
  <si>
    <t>Connect the theoretical concepts to the practical part of the molecular biology field</t>
  </si>
  <si>
    <t>Acquire hands-on experience for the common molecular biology techniques</t>
  </si>
  <si>
    <t>Get involved in a real research environment</t>
  </si>
  <si>
    <t>Learn how to interpret and analyze the data</t>
  </si>
  <si>
    <t>Learn how to prepare a neat and readable Notebook</t>
  </si>
  <si>
    <t>Realize the necessity of considering geometry in physics</t>
  </si>
  <si>
    <t>Understand the details of the special theory of relativity and its supporting evidences</t>
  </si>
  <si>
    <t>Gain familiarity with the 4 vector technique in space time geometry and relativistic mechanics</t>
  </si>
  <si>
    <t>Study the Equivalence principle and its introduction to spacetime curvature</t>
  </si>
  <si>
    <t>Study Tensor Algebra and Tensor calculus needed for the development of the General theory</t>
  </si>
  <si>
    <t>Understand Einstein Equation and get the motivations for it</t>
  </si>
  <si>
    <t>Realize the experimental and observational implications of Schwarzschild metric</t>
  </si>
  <si>
    <t>Understand the principles of Organic Chemistry.</t>
  </si>
  <si>
    <t>Demonstrate an understanding of fundamental concepts of Organic Chemistry and the ability to apply these concepts to everyday life.</t>
  </si>
  <si>
    <t>Understand basic concepts and integrating their knowledge in various disciplines of chemistry.</t>
  </si>
  <si>
    <t>Develop learning skills using experimental tools in Organic chemistry lab.</t>
  </si>
  <si>
    <t>Gain familiarity with scientific &amp;amp; quantitative methods of thinking</t>
  </si>
  <si>
    <t>Ability to interpret scientific inquiry and follow logical reasoning in relation to biology</t>
  </si>
  <si>
    <t>Recognize the basic structure of the cell and relations of structure to function</t>
  </si>
  <si>
    <t>Gain basic laboratory skills, such as Microscopy, bacterial staining, anatomical dissection, ...etc.</t>
  </si>
  <si>
    <t>Employment of standard observational strategies</t>
  </si>
  <si>
    <t>Ability to write scientific reports including data description, analysis, and drawing conclusions</t>
  </si>
  <si>
    <t>Ability to predict the microbial mechanisms of pathogenicity and illustrate the common features of microbial pathogens</t>
  </si>
  <si>
    <t>Ability to explain the relationship between microorganisms and environment</t>
  </si>
  <si>
    <t>Ability to judge beneficial and harmful uses of organism</t>
  </si>
  <si>
    <t>Ability to describe Mendel’s conclusions about how traits are passed from generation to generation</t>
  </si>
  <si>
    <t>Ability to describe Mendelian and non-Mendelian genetics</t>
  </si>
  <si>
    <t>Learn how to make genetically modified organisms</t>
  </si>
  <si>
    <t>Appreciate the role of DNA repair in mutations and their impact on inheritance</t>
  </si>
  <si>
    <t>Discuss the role of hypothalamus and pituitary in homeostasis</t>
  </si>
  <si>
    <t>Understand the difference between the mechanisms of stimulation of hormones (endocrines), paracrines, and neurocrines</t>
  </si>
  <si>
    <t>Ability to understand the reproduction mechanisms of bacteria</t>
  </si>
  <si>
    <t>Ability to design a protocol to differentiate between beneficial and harmful organism</t>
  </si>
  <si>
    <t>Describe the effects of different solution on the human cells</t>
  </si>
  <si>
    <t>Explain the physiological basis of ECG</t>
  </si>
  <si>
    <t>Define CP arrest &amp; Explain the physiological basis of CPR</t>
  </si>
  <si>
    <t>Measure blood pressure and List the physiological variations in blood pressure</t>
  </si>
  <si>
    <t>Measure the breath holding time (BHT) &amp; Diagram lung volumes and capacities.</t>
  </si>
  <si>
    <t>Explain the digestive action of salivary amylase, pepsin, and pancreatic lipase.</t>
  </si>
  <si>
    <t>Ability to explain and describe the reasons of ethical problems and identify the best ethical practices</t>
  </si>
  <si>
    <t>Ability to judge the safety issues related to scientific research</t>
  </si>
  <si>
    <t>Ability to design and program Python applications</t>
  </si>
  <si>
    <t>Discriminate standard programming constructs: repetition, selection, functions, modules.</t>
  </si>
  <si>
    <t>Design object‐oriented programs with Python classes.</t>
  </si>
  <si>
    <t>Identify various machine learning concepts (Linear model, Nearest Neighbors)</t>
  </si>
  <si>
    <t>Learn the intracellular membrane traffic</t>
  </si>
  <si>
    <t>Evaluate different algorithms to solve a specific problem in data storage and manipulation</t>
  </si>
  <si>
    <t>Design efficient algorithms to handle data operations like deletion, insertion, and modification.</t>
  </si>
  <si>
    <t>Demonstrate the relationship between data structures and bioinformatics applications via different case studies.</t>
  </si>
  <si>
    <t>Ability to explain issues related to Viruses, Viroids, and Prions</t>
  </si>
  <si>
    <t>Ability to describe and judge the mechanism of Antibiotic Resistance</t>
  </si>
  <si>
    <t>Ability to predict diseases of the skin and eye</t>
  </si>
  <si>
    <t>Ability to predict diseases of the Digestive System</t>
  </si>
  <si>
    <t>Ability to predict diseases of the Urinary and Reproductive Systems</t>
  </si>
  <si>
    <t>Ability to demonstrate Person-to-Person Bacterial and Viral Diseases</t>
  </si>
  <si>
    <t>To describe the biology and genetic of cells and organisms</t>
  </si>
  <si>
    <t>Ability to experiment pathogenic bacteria in chicken</t>
  </si>
  <si>
    <t>Ability to relate MIC and MBC to antimicrobial drugs</t>
  </si>
  <si>
    <t>Ability to examine plate lysate and standard liquid lysate techniques</t>
  </si>
  <si>
    <t>Ability to examine CRISPR-Cas 9 gene editing</t>
  </si>
  <si>
    <t>Ability to experiment phage infection at different MOIs</t>
  </si>
  <si>
    <t>Ability to differentiate bacterial isolates using Pulsed Field Gel Electrophoresis Technique (PFGE)</t>
  </si>
  <si>
    <t>Ability to examine immune staining and fluorescent microscopy</t>
  </si>
  <si>
    <t>Ability to differentiate stem cells</t>
  </si>
  <si>
    <t>Ability to experiment induced pluripotent stem cells</t>
  </si>
  <si>
    <t>Discuss bacterial virulence factors and their roles in pathogenesis.</t>
  </si>
  <si>
    <t>Explain the molecular and cellular mechanisms on which different vaccination strategies are based and compare their effect in response to bacterial infection.</t>
  </si>
  <si>
    <t>Formulate a mathematical model/simulation for a metabolic or gene expression network. The student should be able to set up the appropriate differential equations, incorporate approximations when appropriate</t>
  </si>
  <si>
    <t>Use the Python programming language and packages for implementing machine learning algorithms.</t>
  </si>
  <si>
    <t>Identifying appropriate molecular techniques for diagnosis of the different genetic diseases</t>
  </si>
  <si>
    <t>Analyzing experimental data including graphs and figures</t>
  </si>
  <si>
    <t>Applying the information learned to a project addressing a certain disease type, its diagnosis and potential treatment</t>
  </si>
  <si>
    <t>Discussing the outcome of the project with other students</t>
  </si>
  <si>
    <t>Analyzing literature and outlining relevant information</t>
  </si>
  <si>
    <t>Applying molecular biology knowledge into real life applications</t>
  </si>
  <si>
    <t>Identify the different classes of GPCRs, and nuclear receptors as well as the various patterns of receptor modulators (agonist/antagonist/partial agonist)</t>
  </si>
  <si>
    <t>Design drug-like compounds with the ability to bind common drug targets such as GPCRs, proteases, and kinases</t>
  </si>
  <si>
    <t>Apply modern molecular modeling techniques to target specific classes of macromolecules</t>
  </si>
  <si>
    <t>Perform both ligand- and structure-based virtual screening and data mining and evaluate the results</t>
  </si>
  <si>
    <t>Plan for a comprehensive drug design project and/or a startup business in the field of drug discovery and development</t>
  </si>
  <si>
    <t>Rationally design novel inhibitors of certain protease and kinase enzymes</t>
  </si>
  <si>
    <t>Plan for a virtual screening and data mining workflow for the discovery of novel drug candidates</t>
  </si>
  <si>
    <t>Understand BJT and MOSFET modes of operations.</t>
  </si>
  <si>
    <t>Understand the use of the Cognitive Radio concept is spectral allocation of WSN applications.</t>
  </si>
  <si>
    <t>Identify the receiver impairments that affect energy-effecient operation of sensor nodes.</t>
  </si>
  <si>
    <t>Discriminate the levels of difficulties and the recent findings in NLP applications.</t>
  </si>
  <si>
    <t>Investigate the hand written rules and machine learning technologies adopted to address different NLP applications.</t>
  </si>
  <si>
    <t>Justify the findings and the outcomes of the NLP research project.</t>
  </si>
  <si>
    <t>Collaborate with project team members to get the term project implemented, documented, and presented.</t>
  </si>
  <si>
    <t>distinguish between the different parallel and distributed computing architectures.</t>
  </si>
  <si>
    <t>analyze the performance of parallel algorithms.</t>
  </si>
  <si>
    <t>develop parallel programs using message passing paradigm.</t>
  </si>
  <si>
    <t>develop parallel programs using shared address space paradigm.</t>
  </si>
  <si>
    <t>Ability to demonstrate the best control methods of microbial growth</t>
  </si>
  <si>
    <t>Ability to distinguish Fungi, Algae and Protozoa</t>
  </si>
  <si>
    <t>Ability to describe the Microbial Ecology</t>
  </si>
  <si>
    <t>Ability to judge the ability of water and food to cause diseases</t>
  </si>
  <si>
    <t>Ability to distinguish soil and water microorganisms</t>
  </si>
  <si>
    <t>Ability to design a protocol to use fermentors</t>
  </si>
  <si>
    <t>Analyze and compare solid waste system in urban areas in term of collection, transfer and transport, separation, processing, transformation and disposal</t>
  </si>
  <si>
    <t>‎plan, model, design and construct water distribution networks‎ and storahe facilities</t>
  </si>
  <si>
    <t>plan, model and design separate foul sewer system</t>
  </si>
  <si>
    <t>‎design the ‎ RO post treatment</t>
  </si>
  <si>
    <t>understand the concept of thermal desalination processes.</t>
  </si>
  <si>
    <t>Understanding the main themes, theories and methods addressed by green economics</t>
  </si>
  <si>
    <t>Identify one idea of a technology and prototype it.</t>
  </si>
  <si>
    <t>Develop a business model for the tested technology.</t>
  </si>
  <si>
    <t>understand the different dimentions of the Gated Housing as a special urban development pattern</t>
  </si>
  <si>
    <t>Distinguish between the types of plagiarism</t>
  </si>
  <si>
    <t>Produce an Expository essay and integrate 3 sources to support their ideas and conform to APA style conventions</t>
  </si>
  <si>
    <t>Organize and deliver their speech using effective and appropriate body language</t>
  </si>
  <si>
    <t>Explore the nature of reality, and the origins of knowledge.</t>
  </si>
  <si>
    <t>Have a clear image of the history and process of science from its inceptions in the ancient oriental civilizations, to the Greek and Alexandrian sciences, followed by Arab Islamic sciences and how they paved the way to the revolution of modern science in the 17th century.</t>
  </si>
  <si>
    <t>Define notes, use of octave higher and lower, enharmonic notes, expression, dynamic and speed/tempo terminology.</t>
  </si>
  <si>
    <t>Describe Basic Economical concept for Renewable Energy</t>
  </si>
  <si>
    <t>Describe the elements of classical, operant conditioning and cognitive learning.</t>
  </si>
  <si>
    <t>Define differnt types of memory and define the factors that faciliate recalling and lead to forgetting.</t>
  </si>
  <si>
    <t>Identify errors of reasoning and explain what the error is.</t>
  </si>
  <si>
    <t>Assess the role of linguistic analysis in solving philosophical problems.</t>
  </si>
  <si>
    <t>Recognize the problems posed by the philosophy of mind to physicalism.</t>
  </si>
  <si>
    <t>Evaluate the Analytic philosophy tackling of ethics &amp; political theory.</t>
  </si>
  <si>
    <t>Demonstrate knowledge of complex differentiation and integrations.</t>
  </si>
  <si>
    <t>Solve a system of simultaneous linear equations numerically</t>
  </si>
  <si>
    <t>Classify the optimization problem.</t>
  </si>
  <si>
    <t>The ability to demonstrate the hybridization of s &amp; p block elements</t>
  </si>
  <si>
    <t>Derive equations for reactions of compounds of the s &amp; p block elements.</t>
  </si>
  <si>
    <t>State the top down, bottom up and self assembly processes.</t>
  </si>
  <si>
    <t>Ability to identify fundamental interactions governing heterogeneous catalysis</t>
  </si>
  <si>
    <t>Getting familiar with the macromolecule theory.</t>
  </si>
  <si>
    <t>Ability to interpret scientific inquiry and follow logical reasoning in relation to polymer science and applications.</t>
  </si>
  <si>
    <t>describe the different types of polymer and the different reaction mechanisms of the polymerization process.</t>
  </si>
  <si>
    <t>recognize the various biomedical and pharmaceutical applications of polymers materials</t>
  </si>
  <si>
    <t>demonstrate and understanding of the role and mechanism of polymer materials for the wastewater treatment application (degradation of dyes and heavy metals removal).</t>
  </si>
  <si>
    <t>Diagram the mixed potential</t>
  </si>
  <si>
    <t>Gain familiarity with techniques used for determination of molecular weight of polymers.</t>
  </si>
  <si>
    <t>Recognize the basic processing of plastics including thermoplastics and thermosets.</t>
  </si>
  <si>
    <t>Analyze polymer composites to meet specific product properties.</t>
  </si>
  <si>
    <t>a knowledge of contemporary issues</t>
  </si>
  <si>
    <t>Able to design simple combinational logics using basic gates. Able to optimize simple logic using Karnaugh maps, understand "don't care". (LEC, Lab)</t>
  </si>
  <si>
    <t>Familiar with basic sequential logic components: SR Latch, D Flip-Flop and their usage and able to analyze sequential logic circuits. (LEC, Lab)</t>
  </si>
  <si>
    <t>Familiar with basic combinational and sequential components used in the typical datapath designs: Register, Adders, Shifters, Comparators; Counters, Multiplier, Arithmetic-Logic Units (ALUs), RAM. Able to do simple register-transfer level (RTL) design. (LEC, Lab)</t>
  </si>
  <si>
    <t>State the basics of quantum mechanics concepts and define the Schrodinger’s wave Equation. Apply Schrodinger’s wave equation for electron in free space, infinite potential well, potential step function, and potential barrier and tunneling.</t>
  </si>
  <si>
    <t>Define the concepts of band theory and forbidden energy bands, derive the Kronig–Penney model, explain the electrical conduction in semiconductor and calculate the effective mass of electrons and holes from E-K diagrams. Describe and state the Fermi–Dirac Probability Function</t>
  </si>
  <si>
    <t>To describe the temperature dependence of resistivity for different materials</t>
  </si>
  <si>
    <t>To explain the electrical and impedance spectroscopic properties of the material</t>
  </si>
  <si>
    <t>To explain the concepts of Dielectric and dipole moments, polarization mechanisms</t>
  </si>
  <si>
    <t>To understand how to design an Efficient Capacitors and Super capacitors</t>
  </si>
  <si>
    <t>To be able to distinguish between different Magnetic Material such as Diamagnetic, Paramagnetic, Ferromagnetic and antiferromagnetic</t>
  </si>
  <si>
    <t>Can design basic algorithms for solving real problems</t>
  </si>
  <si>
    <t>Be familiar with the silicon-based MEMS processes and devices</t>
  </si>
  <si>
    <t>Ability to design piezoresistive sensors</t>
  </si>
  <si>
    <t>Ability to design piezoelectric actuators and sensors</t>
  </si>
  <si>
    <t>Ability to design micro-magnetic actuators</t>
  </si>
  <si>
    <t>Ability to use FEM packages for designing MEMS</t>
  </si>
  <si>
    <t>Analyze and design current mirror circuits</t>
  </si>
  <si>
    <t>Analyze and design multistage amplifier circuits</t>
  </si>
  <si>
    <t>Analyze the frequency response of different analog circuits</t>
  </si>
  <si>
    <t>Understand the concept of feedback in analog circuits</t>
  </si>
  <si>
    <t>to be be able to use the Lumerical software tool to model different photonic devices</t>
  </si>
  <si>
    <t>Analyze and calculate the modes and other related properties of dielectric TE/TM slab, ridge, and rib waveguides.</t>
  </si>
  <si>
    <t>Analyze two coupled dielectric slab waveguides and calculate the coupling ratio and the coupling length.</t>
  </si>
  <si>
    <t>To understand the steps associated with charge generation in organic photovoltaic devices and Justify why organic solar cells are excitonic in nature and how this is different than typical inorganic solar cells.</t>
  </si>
  <si>
    <t>To be able to explain why certain optoelectronic properties are desired for materials used as electrode-modifying layers and the design requirements needed to make effective electron transporting and hole-transporting layers</t>
  </si>
  <si>
    <t>To understand the operating mechanism and design structure of the OLEDs and why it should be designed with the response to the human eye</t>
  </si>
  <si>
    <t>Understand the design consideration of OLED and why the introduction of heavy metal atoms to the molecular structure of organic materials increases OLED device performance</t>
  </si>
  <si>
    <t>Ability to develop the proper fabrication masks</t>
  </si>
  <si>
    <t>Analyze and extract the physical device parameters of compact models from the TCAD physical models.</t>
  </si>
  <si>
    <t>Ability to interpret scientific inquiry and follow logical reasoning in relation to general chemistry</t>
  </si>
  <si>
    <t>Ability to demonstrate an understanding of fundamental chemical concepts and the ability to apply these concepts to everyday life.</t>
  </si>
  <si>
    <t>Ability to explain how stoichiometric calculations, Chemical Formulas and Equations be determined.</t>
  </si>
  <si>
    <t>Ability to understand the  electronic structure of atoms  and the periodic properties of the Elements</t>
  </si>
  <si>
    <t>practice safety rules at all times</t>
  </si>
  <si>
    <t>use of an analytical balance and top loading balance for mass measurement. And a pipette and burette for volume measurement</t>
  </si>
  <si>
    <t>draw Lewis structures, build three-dimensional models of some covalent molecules, and construct models of molecules using a computer program</t>
  </si>
  <si>
    <t>determine the concentration of acid or base using volume analysis technique</t>
  </si>
  <si>
    <t>use oxidation-reduction technique to determine the concentration of an unknown oxalate solution</t>
  </si>
  <si>
    <t>determine the concentration of acetic acid in a commercial vinegar sample</t>
  </si>
  <si>
    <t>determine the concentration of vitamin c in fruit juice and in vitamin c tablets</t>
  </si>
  <si>
    <t>determine the specific heat of a metal and the enthalpy of fusion of ice</t>
  </si>
  <si>
    <t>measure the universal gas constant experimentally</t>
  </si>
  <si>
    <t>perform simple and fractional distillation and separate one liquid from a liquid mixture</t>
  </si>
  <si>
    <t>prepare aspirin experimentally</t>
  </si>
  <si>
    <t>isolate an essential oil from natural source by using steam distillation</t>
  </si>
  <si>
    <t>use laboratory notebooks to record all data and observations during the lab session</t>
  </si>
  <si>
    <t>interpret experimental results and write reasonable conclusions</t>
  </si>
  <si>
    <t>identify of the presence or absence of a number of anions in a solution</t>
  </si>
  <si>
    <t>use paper chromatography technique to separate and / or identify of specific metal ions</t>
  </si>
  <si>
    <t>determine factors affecting reaction rates such as surface area, concentration, temperature and catalyst</t>
  </si>
  <si>
    <t>determine the solubility product of slightly soluble salt and the Ka value of a weak acid</t>
  </si>
  <si>
    <t>purify potable water and monitor the water quality</t>
  </si>
  <si>
    <t>determine an equilibrium constant for a specific reaction</t>
  </si>
  <si>
    <t>isolate of caffeine from beverages</t>
  </si>
  <si>
    <t>qualitative analysis of carbohydrates</t>
  </si>
  <si>
    <t>Formulate and explain fundamental concepts of quantum mechanics; such as Schrodinger equation, the wave function and its statistical interpretation, the uncertainty principle, stationary and non-stationary states</t>
  </si>
  <si>
    <t>Calculate and describe the propagation of a particle in a one dimensional potential</t>
  </si>
  <si>
    <t>Solve Schrodinger`s equation to obtain eigenvectors and energies in one and three dimensions</t>
  </si>
  <si>
    <t>Explain the energy spectrum of both infinite and finite well, the harmonic oscillator, and the Hydrogen atom and know the form of the associated wave function</t>
  </si>
  <si>
    <t>Use the Schrodinger `s equation solutions to calculate associated probabilities, expectation values, and uncertainties, as well as give concise physical interpretations and reasoning underlying the mathematical results</t>
  </si>
  <si>
    <t>Understand how band structure emerges in one-dimensional periodic potentials</t>
  </si>
  <si>
    <t>Solve some quantum-mechanical problems using time independent perturbation theory</t>
  </si>
  <si>
    <t>Appreciate that quantum mechanics is not a collection of postulates and mathematical tricks, but it is actually is a physical theory of great mathematical beauty</t>
  </si>
  <si>
    <t>The student gains general experience with non-relativistic quantum mechanics that is useful for further studies in nanotechnology</t>
  </si>
  <si>
    <t>Demonstrate an understanding of fundamental concepts of nanomaterials and the ability to apply these concepts to everyday life</t>
  </si>
  <si>
    <t>Define and discuss the concepts of microstate and macrostate of a model system</t>
  </si>
  <si>
    <t>Define and discuss the concepts and roles of entropy and free energy from the view point of statistical mechanics</t>
  </si>
  <si>
    <t>Derive and define the Boltzmann distribution and the role of partition function</t>
  </si>
  <si>
    <t>Apply the machinery of statistical mechanics to the calculation of macroscopic properties resulting from microscopic properties models of magnetic and crystalline systems</t>
  </si>
  <si>
    <t>Explain the concept and role of indistinguishability in the theory of gases</t>
  </si>
  <si>
    <t>Derive and discuss the Fermi-Dirac and Bose-Einstein distributions, state when they are applicable and when they reduce to the Boltzmann distribution</t>
  </si>
  <si>
    <t>Apply the Fermi-Dirac distribution to the calculation of thermal properties of electrons in metals</t>
  </si>
  <si>
    <t>Apply the Bose-Einstein distribution to the calculation of properties of black body radiation</t>
  </si>
  <si>
    <t>Use knowledge from probability theory and quantum mechanics to calculate the relevant partition function for a given system model</t>
  </si>
  <si>
    <t>Calculate the contribution of free electrons in metals to the bulk modulus and to the heat capacity</t>
  </si>
  <si>
    <t>Understand the strength and limitations of the models used</t>
  </si>
  <si>
    <t>To identify the core research facilities in Nano science field and the other research centers in Zewail city</t>
  </si>
  <si>
    <t>To understand the integration of science and the collaboration between different research fields in the same project.</t>
  </si>
  <si>
    <t>Having comprehensive tutorials in the core devices and main research protocol in each research center in zewail city.</t>
  </si>
  <si>
    <t>Learning how to link between research and industry by performing and observing certain experiments in the lab.</t>
  </si>
  <si>
    <t>Earning a team work skill.</t>
  </si>
  <si>
    <t>Interacting positively in the course by performing a final presentation and submitting a final report.</t>
  </si>
  <si>
    <t>Not offered this semester</t>
  </si>
  <si>
    <t>Understand the principles of Nanomedicine and the importance of nanomaterials in biomedical applications</t>
  </si>
  <si>
    <t>Understand basic concepts and integrating their knowledge in various disciplines of nanomedicine</t>
  </si>
  <si>
    <t>Develop positive attitudes towards seeking facts and scientific research</t>
  </si>
  <si>
    <t>Recall the basic models to describe the band structure of solids.</t>
  </si>
  <si>
    <t>Classify the different magnetic properties of solids.</t>
  </si>
  <si>
    <t>Apply new theoretical models to evaluate the band structure of Nanomaterials.</t>
  </si>
  <si>
    <t>Distinguish the differences between the various types of Nanomaterials with respect to their confined dimensions.</t>
  </si>
  <si>
    <t>Discuss the role of tunneling and charging phenomena in Nanomaterials.</t>
  </si>
  <si>
    <t>Distinguish the spin transport and spin polarized currents from the normal electronic currents and their possible applications therefor.</t>
  </si>
  <si>
    <t>Determine the role of the Nanomaterials unique properties to the modern research and technology.</t>
  </si>
  <si>
    <t>Write and Present a selected new scientific topic related to the course and defends it using their understanding of the course subjects.</t>
  </si>
  <si>
    <t>Learning how to search for specific research problem, making a literature survey.</t>
  </si>
  <si>
    <t>Introducing a research proposal which contains novel research value.</t>
  </si>
  <si>
    <t>Performing experimental part in the lab</t>
  </si>
  <si>
    <t>Learning the required research soft skills.</t>
  </si>
  <si>
    <t>Learning the research ethics and guidelines</t>
  </si>
  <si>
    <t>Reporting and discussing the project data in a final thesis</t>
  </si>
  <si>
    <t>Presenting and showing the work progress and final results</t>
  </si>
  <si>
    <t>Understanding how</t>
  </si>
  <si>
    <t>SPRING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</si>
</sst>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0"/>
      <color rgb="FF000000"/>
      <name val="Arial"/>
    </font>
    <font>
      <b/>
      <sz val="10"/>
      <color rgb="FFFFFFFF"/>
      <name val="Arial"/>
      <family val="2"/>
    </font>
    <font>
      <b/>
      <sz val="9"/>
      <color rgb="FFFFFFFF"/>
      <name val="Arial"/>
      <family val="2"/>
    </font>
    <font>
      <b/>
      <sz val="10"/>
      <color rgb="FFFFFFFF"/>
      <name val="Arial"/>
      <family val="2"/>
    </font>
    <font>
      <sz val="10"/>
      <name val="Arial"/>
      <family val="2"/>
    </font>
    <font>
      <sz val="10"/>
      <name val="Arial"/>
      <family val="2"/>
    </font>
    <font>
      <sz val="9"/>
      <name val="Arial"/>
      <family val="2"/>
    </font>
    <font>
      <sz val="8"/>
      <name val="Arial"/>
      <family val="2"/>
    </font>
    <font>
      <sz val="12"/>
      <name val="Arial"/>
      <family val="2"/>
    </font>
    <font>
      <sz val="12"/>
      <name val="Times New Roman"/>
      <family val="1"/>
    </font>
    <font>
      <sz val="9"/>
      <color rgb="FF00000A"/>
      <name val="Arial"/>
      <family val="2"/>
    </font>
    <font>
      <sz val="10"/>
      <color rgb="FF222222"/>
      <name val="Arial"/>
      <family val="2"/>
    </font>
    <font>
      <sz val="10"/>
      <color rgb="FF000000"/>
      <name val="Roboto"/>
    </font>
    <font>
      <sz val="11"/>
      <name val="Arial"/>
      <family val="2"/>
    </font>
    <font>
      <b/>
      <sz val="10"/>
      <name val="Arial"/>
      <family val="2"/>
    </font>
    <font>
      <sz val="11"/>
      <color rgb="FF000000"/>
      <name val="Georgia"/>
      <family val="1"/>
    </font>
    <font>
      <sz val="11"/>
      <color rgb="FF000000"/>
      <name val="Overlock"/>
    </font>
    <font>
      <sz val="11"/>
      <color rgb="FF000000"/>
      <name val="Arial"/>
      <family val="2"/>
    </font>
  </fonts>
  <fills count="8">
    <fill>
      <patternFill patternType="none"/>
    </fill>
    <fill>
      <patternFill patternType="gray125"/>
    </fill>
    <fill>
      <patternFill patternType="solid">
        <fgColor rgb="FF666666"/>
        <bgColor rgb="FF666666"/>
      </patternFill>
    </fill>
    <fill>
      <patternFill patternType="solid">
        <fgColor rgb="FF434343"/>
        <bgColor rgb="FF434343"/>
      </patternFill>
    </fill>
    <fill>
      <patternFill patternType="solid">
        <fgColor rgb="FF999999"/>
        <bgColor rgb="FF999999"/>
      </patternFill>
    </fill>
    <fill>
      <patternFill patternType="solid">
        <fgColor rgb="FFF3F3F3"/>
        <bgColor rgb="FFF3F3F3"/>
      </patternFill>
    </fill>
    <fill>
      <patternFill patternType="solid">
        <fgColor rgb="FFFFFFFF"/>
        <bgColor rgb="FFFFFFFF"/>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8">
    <xf numFmtId="0" fontId="0" fillId="0" borderId="0" xfId="0" applyFont="1" applyAlignment="1"/>
    <xf numFmtId="0" fontId="1" fillId="2" borderId="1" xfId="0" applyFont="1" applyFill="1" applyBorder="1" applyAlignment="1"/>
    <xf numFmtId="0" fontId="2" fillId="3" borderId="1" xfId="0" applyFont="1" applyFill="1" applyBorder="1" applyAlignment="1">
      <alignment vertical="center"/>
    </xf>
    <xf numFmtId="0" fontId="1" fillId="2" borderId="1" xfId="0" applyFont="1" applyFill="1" applyBorder="1" applyAlignment="1"/>
    <xf numFmtId="0" fontId="3" fillId="4" borderId="1" xfId="0" applyFont="1" applyFill="1" applyBorder="1" applyAlignment="1">
      <alignment horizontal="left"/>
    </xf>
    <xf numFmtId="0" fontId="2" fillId="3" borderId="1" xfId="0" applyFont="1" applyFill="1" applyBorder="1" applyAlignment="1">
      <alignment horizontal="center" vertical="center"/>
    </xf>
    <xf numFmtId="0" fontId="3" fillId="4" borderId="0" xfId="0" applyFont="1" applyFill="1" applyAlignment="1">
      <alignment horizontal="left"/>
    </xf>
    <xf numFmtId="0" fontId="4" fillId="5" borderId="2" xfId="0" applyFont="1" applyFill="1" applyBorder="1" applyAlignment="1"/>
    <xf numFmtId="0" fontId="2" fillId="3" borderId="3" xfId="0" applyFont="1" applyFill="1" applyBorder="1" applyAlignment="1">
      <alignment horizontal="center" vertical="center"/>
    </xf>
    <xf numFmtId="0" fontId="4" fillId="6" borderId="2" xfId="0" applyFont="1" applyFill="1" applyBorder="1" applyAlignment="1"/>
    <xf numFmtId="0" fontId="5" fillId="0" borderId="2" xfId="0" applyFont="1" applyBorder="1" applyAlignment="1">
      <alignment horizontal="left"/>
    </xf>
    <xf numFmtId="0" fontId="5" fillId="0" borderId="2" xfId="0" applyFont="1" applyBorder="1" applyAlignment="1">
      <alignment horizontal="left"/>
    </xf>
    <xf numFmtId="0" fontId="5" fillId="0" borderId="0" xfId="0" applyFont="1" applyAlignment="1">
      <alignment horizontal="left"/>
    </xf>
    <xf numFmtId="0" fontId="6" fillId="0" borderId="0" xfId="0" applyFont="1" applyAlignment="1">
      <alignment vertical="center"/>
    </xf>
    <xf numFmtId="0" fontId="7" fillId="0" borderId="1" xfId="0" applyFont="1" applyBorder="1" applyAlignment="1">
      <alignment vertical="center"/>
    </xf>
    <xf numFmtId="0" fontId="7" fillId="0" borderId="1" xfId="0" applyFont="1" applyBorder="1" applyAlignment="1">
      <alignment vertical="center"/>
    </xf>
    <xf numFmtId="0" fontId="7" fillId="0" borderId="4" xfId="0" applyFont="1" applyBorder="1" applyAlignment="1">
      <alignment vertical="center"/>
    </xf>
    <xf numFmtId="0" fontId="5" fillId="0" borderId="2" xfId="0" applyFont="1" applyBorder="1" applyAlignment="1">
      <alignment horizontal="left"/>
    </xf>
    <xf numFmtId="0" fontId="7" fillId="0" borderId="0" xfId="0" applyFont="1" applyAlignment="1">
      <alignment vertical="center"/>
    </xf>
    <xf numFmtId="0" fontId="4" fillId="6" borderId="2" xfId="0" applyFont="1" applyFill="1" applyBorder="1" applyAlignment="1"/>
    <xf numFmtId="0" fontId="5" fillId="0" borderId="0" xfId="0" applyFont="1" applyAlignment="1"/>
    <xf numFmtId="0" fontId="8" fillId="0" borderId="0" xfId="0" applyFont="1" applyAlignment="1"/>
    <xf numFmtId="0" fontId="9" fillId="0" borderId="2" xfId="0" applyFont="1" applyBorder="1" applyAlignment="1">
      <alignment horizontal="left"/>
    </xf>
    <xf numFmtId="0" fontId="8" fillId="0" borderId="0" xfId="0" applyFont="1" applyAlignment="1"/>
    <xf numFmtId="0" fontId="5" fillId="0" borderId="0" xfId="0" applyFont="1" applyAlignment="1"/>
    <xf numFmtId="0" fontId="8" fillId="0" borderId="0" xfId="0" applyFont="1" applyAlignment="1"/>
    <xf numFmtId="0" fontId="10" fillId="0" borderId="0" xfId="0" applyFont="1" applyAlignment="1"/>
    <xf numFmtId="0" fontId="11" fillId="6" borderId="2" xfId="0" applyFont="1" applyFill="1" applyBorder="1" applyAlignment="1"/>
    <xf numFmtId="0" fontId="5" fillId="0" borderId="0" xfId="0" applyFont="1" applyAlignment="1">
      <alignment horizontal="left"/>
    </xf>
    <xf numFmtId="0" fontId="11" fillId="6" borderId="0" xfId="0" applyFont="1" applyFill="1" applyAlignment="1"/>
    <xf numFmtId="0" fontId="12" fillId="6" borderId="0" xfId="0" applyFont="1" applyFill="1" applyAlignment="1"/>
    <xf numFmtId="0" fontId="13" fillId="0" borderId="0" xfId="0" applyFont="1" applyAlignment="1"/>
    <xf numFmtId="0" fontId="8" fillId="0" borderId="0" xfId="0" applyFont="1" applyAlignment="1"/>
    <xf numFmtId="0" fontId="12" fillId="6" borderId="0" xfId="0" applyFont="1" applyFill="1" applyAlignment="1"/>
    <xf numFmtId="0" fontId="3" fillId="0" borderId="1" xfId="0" applyFont="1" applyBorder="1" applyAlignment="1"/>
    <xf numFmtId="0" fontId="5" fillId="0" borderId="1" xfId="0" applyFont="1" applyBorder="1"/>
    <xf numFmtId="10" fontId="5" fillId="0" borderId="1" xfId="0" applyNumberFormat="1" applyFont="1" applyBorder="1"/>
    <xf numFmtId="0" fontId="14" fillId="0" borderId="0" xfId="0" applyFont="1" applyAlignment="1"/>
    <xf numFmtId="0" fontId="5" fillId="0" borderId="0" xfId="0" applyFont="1" applyAlignment="1"/>
    <xf numFmtId="0" fontId="7" fillId="0" borderId="1" xfId="0" applyFont="1" applyBorder="1" applyAlignment="1">
      <alignment vertical="center"/>
    </xf>
    <xf numFmtId="0" fontId="5" fillId="0" borderId="0" xfId="0" applyFont="1" applyAlignment="1">
      <alignment horizontal="left"/>
    </xf>
    <xf numFmtId="0" fontId="7" fillId="0" borderId="0" xfId="0" applyFont="1" applyAlignment="1">
      <alignment vertical="center"/>
    </xf>
    <xf numFmtId="0" fontId="7" fillId="0" borderId="0" xfId="0" applyFont="1" applyAlignment="1">
      <alignment vertical="center"/>
    </xf>
    <xf numFmtId="0" fontId="15" fillId="0" borderId="0" xfId="0" applyFont="1" applyAlignment="1"/>
    <xf numFmtId="0" fontId="16" fillId="0" borderId="0" xfId="0" applyFont="1" applyAlignment="1"/>
    <xf numFmtId="0" fontId="17" fillId="0" borderId="0" xfId="0" applyFont="1" applyAlignment="1"/>
    <xf numFmtId="0" fontId="16" fillId="0" borderId="0" xfId="0" applyFont="1"/>
    <xf numFmtId="0" fontId="16" fillId="0" borderId="0" xfId="0" applyFont="1"/>
    <xf numFmtId="0" fontId="8" fillId="0" borderId="0" xfId="0" applyFont="1" applyAlignment="1"/>
    <xf numFmtId="0" fontId="8" fillId="0" borderId="0" xfId="0" applyFont="1" applyAlignment="1"/>
    <xf numFmtId="0" fontId="8" fillId="0" borderId="0" xfId="0" applyFont="1"/>
    <xf numFmtId="0" fontId="10" fillId="0" borderId="0" xfId="0" applyFont="1" applyAlignment="1"/>
    <xf numFmtId="0" fontId="11" fillId="6" borderId="2" xfId="0" applyFont="1" applyFill="1" applyBorder="1" applyAlignment="1"/>
    <xf numFmtId="0" fontId="11" fillId="6" borderId="0" xfId="0" applyFont="1" applyFill="1" applyAlignment="1"/>
    <xf numFmtId="0" fontId="13" fillId="0" borderId="0" xfId="0" applyFont="1" applyAlignment="1"/>
    <xf numFmtId="0" fontId="8" fillId="0" borderId="0" xfId="0" applyFont="1" applyAlignment="1"/>
    <xf numFmtId="0" fontId="1" fillId="4" borderId="1" xfId="0" applyFont="1" applyFill="1" applyBorder="1" applyAlignment="1">
      <alignment horizontal="left"/>
    </xf>
    <xf numFmtId="0" fontId="5" fillId="7" borderId="2" xfId="0" applyFont="1" applyFill="1" applyBorder="1" applyAlignment="1">
      <alignment horizontal="left"/>
    </xf>
  </cellXfs>
  <cellStyles count="1">
    <cellStyle name="Normal" xfId="0" builtinId="0"/>
  </cellStyles>
  <dxfs count="45">
    <dxf>
      <fill>
        <patternFill patternType="solid">
          <fgColor rgb="FFF4C7C3"/>
          <bgColor rgb="FFF4C7C3"/>
        </patternFill>
      </fill>
    </dxf>
    <dxf>
      <fill>
        <patternFill patternType="solid">
          <fgColor rgb="FFD9EAD3"/>
          <bgColor rgb="FFD9EAD3"/>
        </patternFill>
      </fill>
    </dxf>
    <dxf>
      <font>
        <color rgb="FFFF0000"/>
      </font>
      <fill>
        <patternFill patternType="solid">
          <fgColor rgb="FFD9EAD3"/>
          <bgColor rgb="FFD9EAD3"/>
        </patternFill>
      </fill>
    </dxf>
    <dxf>
      <fill>
        <patternFill patternType="solid">
          <fgColor rgb="FFF4C7C3"/>
          <bgColor rgb="FFF4C7C3"/>
        </patternFill>
      </fill>
    </dxf>
    <dxf>
      <fill>
        <patternFill patternType="solid">
          <fgColor rgb="FFD9EAD3"/>
          <bgColor rgb="FFD9EAD3"/>
        </patternFill>
      </fill>
    </dxf>
    <dxf>
      <font>
        <color rgb="FFFF0000"/>
      </font>
      <fill>
        <patternFill patternType="solid">
          <fgColor rgb="FFD9EAD3"/>
          <bgColor rgb="FFD9EAD3"/>
        </patternFill>
      </fill>
    </dxf>
    <dxf>
      <fill>
        <patternFill patternType="solid">
          <fgColor rgb="FFF4C7C3"/>
          <bgColor rgb="FFF4C7C3"/>
        </patternFill>
      </fill>
    </dxf>
    <dxf>
      <fill>
        <patternFill patternType="solid">
          <fgColor rgb="FFD9EAD3"/>
          <bgColor rgb="FFD9EAD3"/>
        </patternFill>
      </fill>
    </dxf>
    <dxf>
      <font>
        <color rgb="FFFF0000"/>
      </font>
      <fill>
        <patternFill patternType="solid">
          <fgColor rgb="FFD9EAD3"/>
          <bgColor rgb="FFD9EAD3"/>
        </patternFill>
      </fill>
    </dxf>
    <dxf>
      <fill>
        <patternFill patternType="solid">
          <fgColor rgb="FFD9D2E9"/>
          <bgColor rgb="FFD9D2E9"/>
        </patternFill>
      </fill>
    </dxf>
    <dxf>
      <fill>
        <patternFill patternType="solid">
          <fgColor rgb="FFF4CCCC"/>
          <bgColor rgb="FFF4CCCC"/>
        </patternFill>
      </fill>
    </dxf>
    <dxf>
      <fill>
        <patternFill patternType="solid">
          <fgColor rgb="FFD0E0E3"/>
          <bgColor rgb="FFD0E0E3"/>
        </patternFill>
      </fill>
    </dxf>
    <dxf>
      <fill>
        <patternFill patternType="solid">
          <fgColor rgb="FFD9EAD3"/>
          <bgColor rgb="FFD9EAD3"/>
        </patternFill>
      </fill>
    </dxf>
    <dxf>
      <fill>
        <patternFill patternType="solid">
          <fgColor rgb="FFC9DAF8"/>
          <bgColor rgb="FFC9DAF8"/>
        </patternFill>
      </fill>
    </dxf>
    <dxf>
      <fill>
        <patternFill patternType="solid">
          <fgColor rgb="FFFFF2CC"/>
          <bgColor rgb="FFFFF2CC"/>
        </patternFill>
      </fill>
    </dxf>
    <dxf>
      <fill>
        <patternFill patternType="solid">
          <fgColor rgb="FFCFE2F3"/>
          <bgColor rgb="FFCFE2F3"/>
        </patternFill>
      </fill>
    </dxf>
    <dxf>
      <fill>
        <patternFill patternType="solid">
          <fgColor rgb="FFFCE5CD"/>
          <bgColor rgb="FFFCE5CD"/>
        </patternFill>
      </fill>
    </dxf>
    <dxf>
      <fill>
        <patternFill patternType="solid">
          <fgColor rgb="FFD9D2E9"/>
          <bgColor rgb="FFD9D2E9"/>
        </patternFill>
      </fill>
    </dxf>
    <dxf>
      <fill>
        <patternFill patternType="solid">
          <fgColor rgb="FFFCE5CD"/>
          <bgColor rgb="FFFCE5CD"/>
        </patternFill>
      </fill>
    </dxf>
    <dxf>
      <fill>
        <patternFill patternType="solid">
          <fgColor rgb="FFF4C7C3"/>
          <bgColor rgb="FFF4C7C3"/>
        </patternFill>
      </fill>
    </dxf>
    <dxf>
      <fill>
        <patternFill patternType="solid">
          <fgColor rgb="FFD9EAD3"/>
          <bgColor rgb="FFD9EAD3"/>
        </patternFill>
      </fill>
    </dxf>
    <dxf>
      <font>
        <color rgb="FFFF0000"/>
      </font>
      <fill>
        <patternFill patternType="solid">
          <fgColor rgb="FFD9EAD3"/>
          <bgColor rgb="FFD9EAD3"/>
        </patternFill>
      </fill>
    </dxf>
    <dxf>
      <font>
        <b val="0"/>
        <i val="0"/>
        <strike val="0"/>
        <condense val="0"/>
        <extend val="0"/>
        <outline val="0"/>
        <shadow val="0"/>
        <u val="none"/>
        <vertAlign val="baseline"/>
        <sz val="10"/>
        <color auto="1"/>
        <name val="Arial"/>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dotted">
          <color rgb="FF000000"/>
        </top>
        <bottom style="dotted">
          <color rgb="FF000000"/>
        </bottom>
        <vertical/>
        <horizontal/>
      </border>
    </dxf>
    <dxf>
      <font>
        <b val="0"/>
        <i val="0"/>
        <strike val="0"/>
        <condense val="0"/>
        <extend val="0"/>
        <outline val="0"/>
        <shadow val="0"/>
        <u val="none"/>
        <vertAlign val="baseline"/>
        <sz val="10"/>
        <color auto="1"/>
        <name val="Arial"/>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dotted">
          <color rgb="FF000000"/>
        </top>
        <bottom style="dotted">
          <color rgb="FF000000"/>
        </bottom>
        <vertical/>
        <horizontal/>
      </border>
    </dxf>
    <dxf>
      <fill>
        <patternFill patternType="solid">
          <fgColor rgb="FFF4C7C3"/>
          <bgColor rgb="FFF4C7C3"/>
        </patternFill>
      </fill>
    </dxf>
    <dxf>
      <fill>
        <patternFill patternType="solid">
          <fgColor rgb="FFD9D2E9"/>
          <bgColor rgb="FFD9D2E9"/>
        </patternFill>
      </fill>
    </dxf>
    <dxf>
      <fill>
        <patternFill patternType="solid">
          <fgColor rgb="FFF4CCCC"/>
          <bgColor rgb="FFF4CCCC"/>
        </patternFill>
      </fill>
    </dxf>
    <dxf>
      <fill>
        <patternFill patternType="solid">
          <fgColor rgb="FFD0E0E3"/>
          <bgColor rgb="FFD0E0E3"/>
        </patternFill>
      </fill>
    </dxf>
    <dxf>
      <fill>
        <patternFill patternType="solid">
          <fgColor rgb="FFD9EAD3"/>
          <bgColor rgb="FFD9EAD3"/>
        </patternFill>
      </fill>
    </dxf>
    <dxf>
      <fill>
        <patternFill patternType="solid">
          <fgColor rgb="FFC9DAF8"/>
          <bgColor rgb="FFC9DAF8"/>
        </patternFill>
      </fill>
    </dxf>
    <dxf>
      <fill>
        <patternFill patternType="solid">
          <fgColor rgb="FFFFF2CC"/>
          <bgColor rgb="FFFFF2CC"/>
        </patternFill>
      </fill>
    </dxf>
    <dxf>
      <fill>
        <patternFill patternType="solid">
          <fgColor rgb="FFCFE2F3"/>
          <bgColor rgb="FFCFE2F3"/>
        </patternFill>
      </fill>
    </dxf>
    <dxf>
      <fill>
        <patternFill patternType="solid">
          <fgColor rgb="FFFCE5CD"/>
          <bgColor rgb="FFFCE5CD"/>
        </patternFill>
      </fill>
    </dxf>
    <dxf>
      <fill>
        <patternFill patternType="solid">
          <fgColor rgb="FFD9D2E9"/>
          <bgColor rgb="FFD9D2E9"/>
        </patternFill>
      </fill>
    </dxf>
    <dxf>
      <fill>
        <patternFill patternType="solid">
          <fgColor rgb="FFFCE5CD"/>
          <bgColor rgb="FFFCE5CD"/>
        </patternFill>
      </fill>
    </dxf>
    <dxf>
      <fill>
        <patternFill patternType="solid">
          <fgColor rgb="FFF4C7C3"/>
          <bgColor rgb="FFF4C7C3"/>
        </patternFill>
      </fill>
    </dxf>
    <dxf>
      <fill>
        <patternFill patternType="solid">
          <fgColor rgb="FFD9EAD3"/>
          <bgColor rgb="FFD9EAD3"/>
        </patternFill>
      </fill>
    </dxf>
    <dxf>
      <font>
        <color rgb="FFFF0000"/>
      </font>
      <fill>
        <patternFill patternType="solid">
          <fgColor rgb="FFD9EAD3"/>
          <bgColor rgb="FFD9EAD3"/>
        </patternFill>
      </fill>
    </dxf>
    <dxf>
      <fill>
        <patternFill patternType="solid">
          <fgColor rgb="FFF3F3F3"/>
          <bgColor rgb="FFF3F3F3"/>
        </patternFill>
      </fill>
    </dxf>
    <dxf>
      <fill>
        <patternFill patternType="solid">
          <fgColor rgb="FFFFFFFF"/>
          <bgColor rgb="FFFFFFFF"/>
        </patternFill>
      </fill>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
      <fill>
        <patternFill patternType="solid">
          <fgColor rgb="FFF3F3F3"/>
          <bgColor rgb="FFF3F3F3"/>
        </patternFill>
      </fill>
    </dxf>
    <dxf>
      <fill>
        <patternFill patternType="solid">
          <fgColor rgb="FFFFFFFF"/>
          <bgColor rgb="FFFFFFFF"/>
        </patternFill>
      </fill>
    </dxf>
  </dxfs>
  <tableStyles count="3">
    <tableStyle name="Database-style" pivot="0" count="2">
      <tableStyleElement type="firstRowStripe" dxfId="44"/>
      <tableStyleElement type="secondRowStripe" dxfId="43"/>
    </tableStyle>
    <tableStyle name="Fl 19 Summary-style" pivot="0" count="3">
      <tableStyleElement type="headerRow" dxfId="42"/>
      <tableStyleElement type="firstRowStripe" dxfId="41"/>
      <tableStyleElement type="secondRowStripe" dxfId="40"/>
    </tableStyle>
    <tableStyle name="Processing Database-style" pivot="0" count="2">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_1" displayName="Table_1" ref="A1:X311" headerRowCount="0">
  <tableColumns count="24">
    <tableColumn id="1" name="Column1"/>
    <tableColumn id="2" name="Column2"/>
    <tableColumn id="24" name="Column24" dataDxfId="23"/>
    <tableColumn id="23" name="Column23" dataDxfId="2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s>
  <tableStyleInfo name="Database-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311"/>
  <sheetViews>
    <sheetView showGridLines="0" tabSelected="1" workbookViewId="0">
      <pane xSplit="2" ySplit="1" topLeftCell="C2" activePane="bottomRight" state="frozen"/>
      <selection activeCell="F5" sqref="F5"/>
      <selection pane="topRight" activeCell="F5" sqref="F5"/>
      <selection pane="bottomLeft" activeCell="F5" sqref="F5"/>
      <selection pane="bottomRight" activeCell="L5" sqref="L5"/>
    </sheetView>
  </sheetViews>
  <sheetFormatPr defaultColWidth="14.42578125" defaultRowHeight="15.75" customHeight="1"/>
  <cols>
    <col min="1" max="1" width="12" customWidth="1"/>
    <col min="2" max="3" width="15.5703125" customWidth="1"/>
    <col min="4" max="4" width="12.5703125" customWidth="1"/>
    <col min="5" max="5" width="11.42578125" customWidth="1"/>
    <col min="6" max="6" width="12" customWidth="1"/>
    <col min="7" max="7" width="11.85546875" customWidth="1"/>
    <col min="8" max="18" width="11.42578125" customWidth="1"/>
  </cols>
  <sheetData>
    <row r="1" spans="1:24" ht="15.75" customHeight="1">
      <c r="A1" s="1" t="s">
        <v>0</v>
      </c>
      <c r="B1" s="3" t="s">
        <v>1</v>
      </c>
      <c r="C1" s="3" t="s">
        <v>1604</v>
      </c>
      <c r="D1" s="3" t="s">
        <v>1603</v>
      </c>
      <c r="E1" s="4" t="s">
        <v>2</v>
      </c>
      <c r="F1" s="4" t="s">
        <v>3</v>
      </c>
      <c r="G1" s="4" t="s">
        <v>4</v>
      </c>
      <c r="H1" s="4" t="s">
        <v>5</v>
      </c>
      <c r="I1" s="4" t="s">
        <v>6</v>
      </c>
      <c r="J1" s="4" t="s">
        <v>7</v>
      </c>
      <c r="K1" s="4" t="s">
        <v>8</v>
      </c>
      <c r="L1" s="4" t="s">
        <v>9</v>
      </c>
      <c r="M1" s="4" t="s">
        <v>10</v>
      </c>
      <c r="N1" s="4" t="s">
        <v>11</v>
      </c>
      <c r="O1" s="4" t="s">
        <v>12</v>
      </c>
      <c r="P1" s="4" t="s">
        <v>13</v>
      </c>
      <c r="Q1" s="4" t="s">
        <v>14</v>
      </c>
      <c r="R1" s="4" t="s">
        <v>15</v>
      </c>
      <c r="S1" s="4" t="s">
        <v>16</v>
      </c>
      <c r="T1" s="56" t="s">
        <v>1598</v>
      </c>
      <c r="U1" s="56" t="s">
        <v>1599</v>
      </c>
      <c r="V1" s="56" t="s">
        <v>1600</v>
      </c>
      <c r="W1" s="56" t="s">
        <v>1601</v>
      </c>
      <c r="X1" s="56" t="s">
        <v>1602</v>
      </c>
    </row>
    <row r="2" spans="1:24" ht="15.75" customHeight="1">
      <c r="A2" s="7" t="s">
        <v>17</v>
      </c>
      <c r="B2" s="9" t="s">
        <v>18</v>
      </c>
      <c r="C2" s="19">
        <v>2020</v>
      </c>
      <c r="D2" s="19" t="s">
        <v>1909</v>
      </c>
      <c r="E2" s="10" t="s">
        <v>1686</v>
      </c>
      <c r="F2" s="10" t="s">
        <v>1687</v>
      </c>
      <c r="G2" s="10" t="s">
        <v>19</v>
      </c>
      <c r="H2" s="10" t="s">
        <v>20</v>
      </c>
      <c r="I2" s="10" t="s">
        <v>21</v>
      </c>
      <c r="J2" s="10" t="s">
        <v>22</v>
      </c>
      <c r="K2" s="11"/>
      <c r="L2" s="11"/>
      <c r="M2" s="11"/>
      <c r="N2" s="11"/>
      <c r="O2" s="11"/>
      <c r="P2" s="11"/>
      <c r="Q2" s="11"/>
      <c r="R2" s="11"/>
      <c r="S2" s="11"/>
    </row>
    <row r="3" spans="1:24" ht="15.75" customHeight="1">
      <c r="A3" s="9" t="s">
        <v>17</v>
      </c>
      <c r="B3" s="9" t="s">
        <v>23</v>
      </c>
      <c r="C3" s="19">
        <v>2020</v>
      </c>
      <c r="D3" s="19" t="s">
        <v>1909</v>
      </c>
      <c r="E3" s="10" t="s">
        <v>24</v>
      </c>
      <c r="F3" s="10" t="s">
        <v>25</v>
      </c>
      <c r="G3" s="10" t="s">
        <v>26</v>
      </c>
      <c r="H3" s="10" t="s">
        <v>27</v>
      </c>
      <c r="I3" s="10" t="s">
        <v>28</v>
      </c>
      <c r="J3" s="10" t="s">
        <v>29</v>
      </c>
      <c r="K3" s="10" t="s">
        <v>30</v>
      </c>
      <c r="L3" s="10" t="s">
        <v>31</v>
      </c>
      <c r="M3" s="10" t="s">
        <v>32</v>
      </c>
      <c r="N3" s="11"/>
      <c r="O3" s="11"/>
      <c r="P3" s="11"/>
      <c r="Q3" s="10"/>
      <c r="R3" s="11"/>
      <c r="S3" s="11"/>
    </row>
    <row r="4" spans="1:24" ht="15.75" customHeight="1">
      <c r="A4" s="9" t="s">
        <v>17</v>
      </c>
      <c r="B4" s="9" t="s">
        <v>33</v>
      </c>
      <c r="C4" s="19">
        <v>2020</v>
      </c>
      <c r="D4" s="19" t="s">
        <v>1909</v>
      </c>
      <c r="E4" s="10" t="s">
        <v>34</v>
      </c>
      <c r="F4" s="10" t="s">
        <v>35</v>
      </c>
      <c r="G4" s="10" t="s">
        <v>36</v>
      </c>
      <c r="H4" s="10" t="s">
        <v>37</v>
      </c>
      <c r="I4" s="10" t="s">
        <v>38</v>
      </c>
      <c r="J4" s="10" t="s">
        <v>39</v>
      </c>
      <c r="K4" s="10"/>
      <c r="L4" s="10"/>
      <c r="M4" s="10"/>
      <c r="N4" s="11"/>
      <c r="O4" s="11"/>
      <c r="P4" s="11"/>
      <c r="Q4" s="10"/>
      <c r="R4" s="11"/>
      <c r="S4" s="11"/>
    </row>
    <row r="5" spans="1:24" ht="15.75" customHeight="1">
      <c r="A5" s="9" t="s">
        <v>17</v>
      </c>
      <c r="B5" s="9" t="s">
        <v>40</v>
      </c>
      <c r="C5" s="19">
        <v>2020</v>
      </c>
      <c r="D5" s="19" t="s">
        <v>1909</v>
      </c>
      <c r="E5" s="10" t="s">
        <v>41</v>
      </c>
      <c r="F5" s="10" t="s">
        <v>42</v>
      </c>
      <c r="G5" s="10" t="s">
        <v>1688</v>
      </c>
      <c r="H5" s="10" t="s">
        <v>1689</v>
      </c>
      <c r="I5" s="10" t="s">
        <v>43</v>
      </c>
      <c r="J5" s="10" t="s">
        <v>1690</v>
      </c>
      <c r="K5" s="10"/>
      <c r="L5" s="10"/>
      <c r="M5" s="10"/>
      <c r="N5" s="11"/>
      <c r="O5" s="11"/>
      <c r="P5" s="11"/>
      <c r="Q5" s="10"/>
      <c r="R5" s="11"/>
      <c r="S5" s="11"/>
    </row>
    <row r="6" spans="1:24" ht="15.75" customHeight="1">
      <c r="A6" s="9" t="s">
        <v>17</v>
      </c>
      <c r="B6" s="9" t="s">
        <v>44</v>
      </c>
      <c r="C6" s="19">
        <v>2020</v>
      </c>
      <c r="D6" s="19" t="s">
        <v>1909</v>
      </c>
      <c r="E6" s="10" t="s">
        <v>45</v>
      </c>
      <c r="F6" s="10" t="s">
        <v>46</v>
      </c>
      <c r="G6" s="10" t="s">
        <v>47</v>
      </c>
      <c r="H6" s="10" t="s">
        <v>1691</v>
      </c>
      <c r="I6" s="10" t="s">
        <v>75</v>
      </c>
      <c r="J6" s="10" t="s">
        <v>1692</v>
      </c>
      <c r="K6" s="10" t="s">
        <v>1693</v>
      </c>
      <c r="L6" s="10" t="s">
        <v>48</v>
      </c>
      <c r="M6" s="10"/>
      <c r="N6" s="11"/>
      <c r="O6" s="11"/>
      <c r="P6" s="11"/>
      <c r="Q6" s="10"/>
      <c r="R6" s="11"/>
      <c r="S6" s="11"/>
    </row>
    <row r="7" spans="1:24" ht="15.75" customHeight="1">
      <c r="A7" s="9" t="s">
        <v>17</v>
      </c>
      <c r="B7" s="9" t="s">
        <v>49</v>
      </c>
      <c r="C7" s="19">
        <v>2020</v>
      </c>
      <c r="D7" s="19" t="s">
        <v>1909</v>
      </c>
      <c r="E7" s="57" t="s">
        <v>1652</v>
      </c>
      <c r="F7" s="57" t="s">
        <v>1653</v>
      </c>
      <c r="G7" s="57" t="s">
        <v>1654</v>
      </c>
      <c r="H7" s="57" t="s">
        <v>1655</v>
      </c>
      <c r="I7" s="10"/>
      <c r="J7" s="10"/>
      <c r="K7" s="10"/>
      <c r="L7" s="10"/>
      <c r="M7" s="10"/>
      <c r="N7" s="11"/>
      <c r="O7" s="11"/>
      <c r="P7" s="11"/>
      <c r="Q7" s="10"/>
      <c r="R7" s="11"/>
      <c r="S7" s="11"/>
    </row>
    <row r="8" spans="1:24" ht="15.75" customHeight="1">
      <c r="A8" s="9" t="s">
        <v>17</v>
      </c>
      <c r="B8" s="9" t="s">
        <v>50</v>
      </c>
      <c r="C8" s="19">
        <v>2020</v>
      </c>
      <c r="D8" s="19" t="s">
        <v>1909</v>
      </c>
      <c r="E8" s="10" t="s">
        <v>1694</v>
      </c>
      <c r="F8" s="10" t="s">
        <v>51</v>
      </c>
      <c r="G8" s="10" t="s">
        <v>1695</v>
      </c>
      <c r="H8" s="10" t="s">
        <v>52</v>
      </c>
      <c r="I8" s="10" t="s">
        <v>1696</v>
      </c>
      <c r="J8" s="10" t="s">
        <v>1697</v>
      </c>
      <c r="K8" s="10" t="s">
        <v>53</v>
      </c>
      <c r="L8" s="10" t="s">
        <v>54</v>
      </c>
      <c r="M8" s="10"/>
      <c r="N8" s="11"/>
      <c r="O8" s="11"/>
      <c r="P8" s="11"/>
      <c r="Q8" s="10"/>
      <c r="R8" s="11"/>
      <c r="S8" s="11"/>
    </row>
    <row r="9" spans="1:24" ht="15.75" customHeight="1">
      <c r="A9" s="9" t="s">
        <v>17</v>
      </c>
      <c r="B9" s="9" t="s">
        <v>55</v>
      </c>
      <c r="C9" s="19">
        <v>2020</v>
      </c>
      <c r="D9" s="19" t="s">
        <v>1909</v>
      </c>
      <c r="E9" s="10" t="s">
        <v>56</v>
      </c>
      <c r="F9" s="10" t="s">
        <v>57</v>
      </c>
      <c r="G9" s="10" t="s">
        <v>58</v>
      </c>
      <c r="H9" s="10" t="s">
        <v>59</v>
      </c>
      <c r="I9" s="10" t="s">
        <v>60</v>
      </c>
      <c r="J9" s="10" t="s">
        <v>61</v>
      </c>
      <c r="K9" s="10"/>
      <c r="L9" s="10"/>
      <c r="M9" s="10"/>
      <c r="N9" s="11"/>
      <c r="O9" s="11"/>
      <c r="P9" s="11"/>
      <c r="Q9" s="10"/>
      <c r="R9" s="11"/>
      <c r="S9" s="11"/>
    </row>
    <row r="10" spans="1:24" ht="15.75" customHeight="1">
      <c r="A10" s="9" t="s">
        <v>17</v>
      </c>
      <c r="B10" s="9" t="s">
        <v>62</v>
      </c>
      <c r="C10" s="19">
        <v>2020</v>
      </c>
      <c r="D10" s="19" t="s">
        <v>1909</v>
      </c>
      <c r="E10" s="10" t="s">
        <v>63</v>
      </c>
      <c r="F10" s="10" t="s">
        <v>64</v>
      </c>
      <c r="G10" s="10" t="s">
        <v>65</v>
      </c>
      <c r="H10" s="10" t="s">
        <v>66</v>
      </c>
      <c r="I10" s="10" t="s">
        <v>67</v>
      </c>
      <c r="J10" s="10" t="s">
        <v>68</v>
      </c>
      <c r="K10" s="10" t="s">
        <v>69</v>
      </c>
      <c r="L10" s="10" t="s">
        <v>1698</v>
      </c>
      <c r="M10" s="10" t="s">
        <v>70</v>
      </c>
      <c r="N10" s="11" t="s">
        <v>1699</v>
      </c>
      <c r="O10" s="11" t="s">
        <v>71</v>
      </c>
      <c r="P10" s="11"/>
      <c r="Q10" s="10"/>
      <c r="R10" s="11"/>
      <c r="S10" s="11"/>
    </row>
    <row r="11" spans="1:24" ht="15.75" customHeight="1">
      <c r="A11" s="9" t="s">
        <v>17</v>
      </c>
      <c r="B11" s="9" t="s">
        <v>72</v>
      </c>
      <c r="C11" s="19">
        <v>2020</v>
      </c>
      <c r="D11" s="19" t="s">
        <v>1909</v>
      </c>
      <c r="E11" s="10" t="s">
        <v>45</v>
      </c>
      <c r="F11" s="10" t="s">
        <v>73</v>
      </c>
      <c r="G11" s="10" t="s">
        <v>1700</v>
      </c>
      <c r="H11" s="10" t="s">
        <v>74</v>
      </c>
      <c r="I11" s="10" t="s">
        <v>75</v>
      </c>
      <c r="J11" s="10" t="s">
        <v>1701</v>
      </c>
      <c r="K11" s="10" t="s">
        <v>48</v>
      </c>
      <c r="L11" s="10"/>
      <c r="M11" s="10"/>
      <c r="N11" s="11"/>
      <c r="O11" s="11"/>
      <c r="P11" s="11"/>
      <c r="Q11" s="10"/>
      <c r="R11" s="11"/>
      <c r="S11" s="11"/>
    </row>
    <row r="12" spans="1:24" ht="15.75" customHeight="1">
      <c r="A12" s="9" t="s">
        <v>17</v>
      </c>
      <c r="B12" s="9" t="s">
        <v>76</v>
      </c>
      <c r="C12" s="19">
        <v>2020</v>
      </c>
      <c r="D12" s="19" t="s">
        <v>1909</v>
      </c>
      <c r="E12" s="57" t="s">
        <v>1656</v>
      </c>
      <c r="F12" s="57" t="s">
        <v>1657</v>
      </c>
      <c r="G12" s="57" t="s">
        <v>1658</v>
      </c>
      <c r="H12" s="57" t="s">
        <v>1659</v>
      </c>
      <c r="I12" s="57" t="s">
        <v>1660</v>
      </c>
      <c r="J12" s="57" t="s">
        <v>1661</v>
      </c>
      <c r="K12" s="10"/>
      <c r="L12" s="10"/>
      <c r="M12" s="10"/>
      <c r="N12" s="11"/>
      <c r="O12" s="11"/>
      <c r="P12" s="11"/>
      <c r="Q12" s="10"/>
      <c r="R12" s="11"/>
      <c r="S12" s="11"/>
    </row>
    <row r="13" spans="1:24" ht="15.75" customHeight="1">
      <c r="A13" s="9" t="s">
        <v>17</v>
      </c>
      <c r="B13" s="9" t="s">
        <v>77</v>
      </c>
      <c r="C13" s="19">
        <v>2020</v>
      </c>
      <c r="D13" s="19" t="s">
        <v>1909</v>
      </c>
      <c r="E13" s="10" t="s">
        <v>78</v>
      </c>
      <c r="F13" s="10" t="s">
        <v>79</v>
      </c>
      <c r="G13" s="10" t="s">
        <v>80</v>
      </c>
      <c r="H13" s="10" t="s">
        <v>81</v>
      </c>
      <c r="I13" s="10" t="s">
        <v>82</v>
      </c>
      <c r="J13" s="10" t="s">
        <v>83</v>
      </c>
      <c r="K13" s="10" t="s">
        <v>84</v>
      </c>
      <c r="L13" s="10" t="s">
        <v>85</v>
      </c>
      <c r="M13" s="10"/>
      <c r="N13" s="11"/>
      <c r="O13" s="11"/>
      <c r="P13" s="11"/>
      <c r="Q13" s="10"/>
      <c r="R13" s="11"/>
      <c r="S13" s="11"/>
    </row>
    <row r="14" spans="1:24" ht="15.75" customHeight="1">
      <c r="A14" s="9" t="s">
        <v>17</v>
      </c>
      <c r="B14" s="9" t="s">
        <v>86</v>
      </c>
      <c r="C14" s="19">
        <v>2020</v>
      </c>
      <c r="D14" s="19" t="s">
        <v>1909</v>
      </c>
      <c r="E14" s="10" t="s">
        <v>87</v>
      </c>
      <c r="F14" s="10" t="s">
        <v>88</v>
      </c>
      <c r="G14" s="10" t="s">
        <v>89</v>
      </c>
      <c r="H14" s="10" t="s">
        <v>87</v>
      </c>
      <c r="I14" s="10" t="s">
        <v>88</v>
      </c>
      <c r="J14" s="10" t="s">
        <v>89</v>
      </c>
      <c r="K14" s="10"/>
      <c r="L14" s="10"/>
      <c r="M14" s="10"/>
      <c r="N14" s="11"/>
      <c r="O14" s="11"/>
      <c r="P14" s="11"/>
      <c r="Q14" s="10"/>
      <c r="R14" s="11"/>
      <c r="S14" s="11"/>
    </row>
    <row r="15" spans="1:24" ht="15.75" customHeight="1">
      <c r="A15" s="9" t="s">
        <v>17</v>
      </c>
      <c r="B15" s="9" t="s">
        <v>90</v>
      </c>
      <c r="C15" s="19">
        <v>2020</v>
      </c>
      <c r="D15" s="19" t="s">
        <v>1909</v>
      </c>
      <c r="E15" s="10" t="s">
        <v>1702</v>
      </c>
      <c r="F15" s="10" t="s">
        <v>91</v>
      </c>
      <c r="G15" s="10" t="s">
        <v>92</v>
      </c>
      <c r="H15" s="10" t="s">
        <v>1703</v>
      </c>
      <c r="I15" s="10" t="s">
        <v>1704</v>
      </c>
      <c r="J15" s="10" t="s">
        <v>93</v>
      </c>
      <c r="K15" s="10" t="s">
        <v>1705</v>
      </c>
      <c r="L15" s="10" t="s">
        <v>1706</v>
      </c>
      <c r="M15" s="10" t="s">
        <v>94</v>
      </c>
      <c r="N15" s="11" t="s">
        <v>95</v>
      </c>
      <c r="O15" s="11" t="s">
        <v>1707</v>
      </c>
      <c r="P15" s="11" t="s">
        <v>96</v>
      </c>
      <c r="Q15" s="10"/>
      <c r="R15" s="11"/>
      <c r="S15" s="11"/>
    </row>
    <row r="16" spans="1:24" ht="15.75" customHeight="1">
      <c r="A16" s="9" t="s">
        <v>17</v>
      </c>
      <c r="B16" s="9" t="s">
        <v>97</v>
      </c>
      <c r="C16" s="19">
        <v>2020</v>
      </c>
      <c r="D16" s="19" t="s">
        <v>1909</v>
      </c>
      <c r="E16" s="57" t="s">
        <v>1662</v>
      </c>
      <c r="F16" s="57" t="s">
        <v>1663</v>
      </c>
      <c r="G16" s="57" t="s">
        <v>1664</v>
      </c>
      <c r="H16" s="57" t="s">
        <v>1665</v>
      </c>
      <c r="I16" s="57" t="s">
        <v>1666</v>
      </c>
      <c r="J16" s="57" t="s">
        <v>1667</v>
      </c>
      <c r="K16" s="10"/>
      <c r="L16" s="10"/>
      <c r="M16" s="10"/>
      <c r="N16" s="11"/>
      <c r="O16" s="11"/>
      <c r="P16" s="11"/>
      <c r="Q16" s="10"/>
      <c r="R16" s="11"/>
      <c r="S16" s="11"/>
    </row>
    <row r="17" spans="1:19" ht="15.75" customHeight="1">
      <c r="A17" s="9" t="s">
        <v>17</v>
      </c>
      <c r="B17" s="9" t="s">
        <v>98</v>
      </c>
      <c r="C17" s="19">
        <v>2020</v>
      </c>
      <c r="D17" s="19" t="s">
        <v>1909</v>
      </c>
      <c r="E17" s="10" t="s">
        <v>99</v>
      </c>
      <c r="F17" s="10" t="s">
        <v>100</v>
      </c>
      <c r="G17" s="10" t="s">
        <v>101</v>
      </c>
      <c r="H17" s="10" t="s">
        <v>102</v>
      </c>
      <c r="I17" s="10" t="s">
        <v>103</v>
      </c>
      <c r="J17" s="10" t="s">
        <v>104</v>
      </c>
      <c r="K17" s="10"/>
      <c r="L17" s="10"/>
      <c r="M17" s="10"/>
      <c r="N17" s="11"/>
      <c r="O17" s="11"/>
      <c r="P17" s="11"/>
      <c r="Q17" s="10"/>
      <c r="R17" s="11"/>
      <c r="S17" s="11"/>
    </row>
    <row r="18" spans="1:19" ht="15.75" customHeight="1">
      <c r="A18" s="9" t="s">
        <v>17</v>
      </c>
      <c r="B18" s="9" t="s">
        <v>105</v>
      </c>
      <c r="C18" s="19">
        <v>2020</v>
      </c>
      <c r="D18" s="19" t="s">
        <v>1909</v>
      </c>
      <c r="E18" s="10" t="s">
        <v>1708</v>
      </c>
      <c r="F18" s="10" t="s">
        <v>106</v>
      </c>
      <c r="G18" s="10" t="s">
        <v>107</v>
      </c>
      <c r="H18" s="10" t="s">
        <v>108</v>
      </c>
      <c r="I18" s="10" t="s">
        <v>109</v>
      </c>
      <c r="J18" s="10" t="s">
        <v>1709</v>
      </c>
      <c r="K18" s="10" t="s">
        <v>48</v>
      </c>
      <c r="L18" s="10"/>
      <c r="M18" s="10"/>
      <c r="N18" s="11"/>
      <c r="O18" s="11"/>
      <c r="P18" s="11"/>
      <c r="Q18" s="10"/>
      <c r="R18" s="11"/>
      <c r="S18" s="11"/>
    </row>
    <row r="19" spans="1:19" ht="15.75" customHeight="1">
      <c r="A19" s="9" t="s">
        <v>17</v>
      </c>
      <c r="B19" s="9" t="s">
        <v>110</v>
      </c>
      <c r="C19" s="19">
        <v>2020</v>
      </c>
      <c r="D19" s="19" t="s">
        <v>1909</v>
      </c>
      <c r="E19" s="57" t="s">
        <v>1668</v>
      </c>
      <c r="F19" s="57" t="s">
        <v>1669</v>
      </c>
      <c r="G19" s="57" t="s">
        <v>1670</v>
      </c>
      <c r="H19" s="57" t="s">
        <v>1671</v>
      </c>
      <c r="I19" s="57" t="s">
        <v>1672</v>
      </c>
      <c r="J19" s="57" t="s">
        <v>1673</v>
      </c>
      <c r="K19" s="10"/>
      <c r="L19" s="10"/>
      <c r="M19" s="10"/>
      <c r="N19" s="11"/>
      <c r="O19" s="11"/>
      <c r="P19" s="11"/>
      <c r="Q19" s="10"/>
      <c r="R19" s="11"/>
      <c r="S19" s="11"/>
    </row>
    <row r="20" spans="1:19" ht="15.75" customHeight="1">
      <c r="A20" s="9" t="s">
        <v>17</v>
      </c>
      <c r="B20" s="9" t="s">
        <v>111</v>
      </c>
      <c r="C20" s="19">
        <v>2020</v>
      </c>
      <c r="D20" s="19" t="s">
        <v>1909</v>
      </c>
      <c r="E20" s="10" t="s">
        <v>112</v>
      </c>
      <c r="F20" s="10" t="s">
        <v>113</v>
      </c>
      <c r="G20" s="10" t="s">
        <v>114</v>
      </c>
      <c r="H20" s="10" t="s">
        <v>115</v>
      </c>
      <c r="I20" s="10" t="s">
        <v>116</v>
      </c>
      <c r="J20" s="10" t="s">
        <v>117</v>
      </c>
      <c r="K20" s="10" t="s">
        <v>118</v>
      </c>
      <c r="L20" s="10" t="s">
        <v>119</v>
      </c>
      <c r="M20" s="10" t="s">
        <v>120</v>
      </c>
      <c r="N20" s="11" t="s">
        <v>121</v>
      </c>
      <c r="O20" s="11"/>
      <c r="P20" s="11"/>
      <c r="Q20" s="10"/>
      <c r="R20" s="11"/>
      <c r="S20" s="11"/>
    </row>
    <row r="21" spans="1:19" ht="15.75" customHeight="1">
      <c r="A21" s="9" t="s">
        <v>17</v>
      </c>
      <c r="B21" s="9" t="s">
        <v>122</v>
      </c>
      <c r="C21" s="19">
        <v>2020</v>
      </c>
      <c r="D21" s="19" t="s">
        <v>1909</v>
      </c>
      <c r="E21" s="10" t="s">
        <v>123</v>
      </c>
      <c r="F21" s="10" t="s">
        <v>1710</v>
      </c>
      <c r="G21" s="10" t="s">
        <v>124</v>
      </c>
      <c r="H21" s="10" t="s">
        <v>125</v>
      </c>
      <c r="I21" s="10" t="s">
        <v>1711</v>
      </c>
      <c r="J21" s="10" t="s">
        <v>1712</v>
      </c>
      <c r="K21" s="10" t="s">
        <v>126</v>
      </c>
      <c r="L21" s="10" t="s">
        <v>127</v>
      </c>
      <c r="M21" s="10" t="s">
        <v>1713</v>
      </c>
      <c r="N21" s="11"/>
      <c r="O21" s="11"/>
      <c r="P21" s="11"/>
      <c r="Q21" s="10"/>
      <c r="R21" s="11"/>
      <c r="S21" s="11"/>
    </row>
    <row r="22" spans="1:19" ht="15.75" customHeight="1">
      <c r="A22" s="9" t="s">
        <v>17</v>
      </c>
      <c r="B22" s="9" t="s">
        <v>128</v>
      </c>
      <c r="C22" s="19">
        <v>2020</v>
      </c>
      <c r="D22" s="19" t="s">
        <v>1909</v>
      </c>
      <c r="E22" s="10" t="s">
        <v>129</v>
      </c>
      <c r="F22" s="10" t="s">
        <v>130</v>
      </c>
      <c r="G22" s="10" t="s">
        <v>131</v>
      </c>
      <c r="H22" s="10"/>
      <c r="I22" s="10" t="s">
        <v>132</v>
      </c>
      <c r="J22" s="10" t="s">
        <v>133</v>
      </c>
      <c r="K22" s="10" t="s">
        <v>134</v>
      </c>
      <c r="L22" s="10" t="s">
        <v>135</v>
      </c>
      <c r="M22" s="10" t="s">
        <v>136</v>
      </c>
      <c r="N22" s="11"/>
      <c r="O22" s="11"/>
      <c r="P22" s="11"/>
      <c r="Q22" s="10"/>
      <c r="R22" s="11"/>
      <c r="S22" s="11"/>
    </row>
    <row r="23" spans="1:19" ht="15.75" customHeight="1">
      <c r="A23" s="9" t="s">
        <v>17</v>
      </c>
      <c r="B23" s="9" t="s">
        <v>137</v>
      </c>
      <c r="C23" s="19">
        <v>2020</v>
      </c>
      <c r="D23" s="19" t="s">
        <v>1909</v>
      </c>
      <c r="E23" s="10"/>
      <c r="F23" s="10"/>
      <c r="G23" s="10"/>
      <c r="H23" s="10"/>
      <c r="I23" s="10"/>
      <c r="J23" s="10"/>
      <c r="K23" s="10"/>
      <c r="L23" s="10"/>
      <c r="M23" s="10"/>
      <c r="N23" s="11"/>
      <c r="O23" s="11"/>
      <c r="P23" s="11"/>
      <c r="Q23" s="10"/>
      <c r="R23" s="11"/>
      <c r="S23" s="11"/>
    </row>
    <row r="24" spans="1:19" ht="15.75" customHeight="1">
      <c r="A24" s="9" t="s">
        <v>17</v>
      </c>
      <c r="B24" s="9" t="s">
        <v>138</v>
      </c>
      <c r="C24" s="19">
        <v>2020</v>
      </c>
      <c r="D24" s="19" t="s">
        <v>1909</v>
      </c>
      <c r="E24" s="10" t="s">
        <v>139</v>
      </c>
      <c r="F24" s="10" t="s">
        <v>1714</v>
      </c>
      <c r="G24" s="10" t="s">
        <v>140</v>
      </c>
      <c r="H24" s="10" t="s">
        <v>141</v>
      </c>
      <c r="I24" s="10" t="s">
        <v>142</v>
      </c>
      <c r="J24" s="10" t="s">
        <v>143</v>
      </c>
      <c r="K24" s="10" t="s">
        <v>144</v>
      </c>
      <c r="L24" s="10" t="s">
        <v>145</v>
      </c>
      <c r="M24" s="10"/>
      <c r="N24" s="11"/>
      <c r="O24" s="11"/>
      <c r="P24" s="11"/>
      <c r="Q24" s="10"/>
      <c r="R24" s="11"/>
      <c r="S24" s="11"/>
    </row>
    <row r="25" spans="1:19" ht="15.75" customHeight="1">
      <c r="A25" s="9" t="s">
        <v>17</v>
      </c>
      <c r="B25" s="9" t="s">
        <v>146</v>
      </c>
      <c r="C25" s="19">
        <v>2020</v>
      </c>
      <c r="D25" s="19" t="s">
        <v>1909</v>
      </c>
      <c r="E25" s="10"/>
      <c r="F25" s="10"/>
      <c r="G25" s="10"/>
      <c r="H25" s="10"/>
      <c r="I25" s="10"/>
      <c r="J25" s="10"/>
      <c r="K25" s="10"/>
      <c r="L25" s="10"/>
      <c r="M25" s="10"/>
      <c r="N25" s="11"/>
      <c r="O25" s="11"/>
      <c r="P25" s="11"/>
      <c r="Q25" s="10"/>
      <c r="R25" s="11"/>
      <c r="S25" s="11"/>
    </row>
    <row r="26" spans="1:19" ht="15.75" customHeight="1">
      <c r="A26" s="9" t="s">
        <v>17</v>
      </c>
      <c r="B26" s="9" t="s">
        <v>147</v>
      </c>
      <c r="C26" s="19">
        <v>2020</v>
      </c>
      <c r="D26" s="19" t="s">
        <v>1909</v>
      </c>
      <c r="E26" s="10" t="s">
        <v>148</v>
      </c>
      <c r="F26" s="10" t="s">
        <v>1715</v>
      </c>
      <c r="G26" s="10" t="s">
        <v>149</v>
      </c>
      <c r="H26" s="10" t="s">
        <v>1716</v>
      </c>
      <c r="I26" s="10" t="s">
        <v>150</v>
      </c>
      <c r="J26" s="10" t="s">
        <v>1717</v>
      </c>
      <c r="K26" s="10" t="s">
        <v>151</v>
      </c>
      <c r="L26" s="10" t="s">
        <v>152</v>
      </c>
      <c r="M26" s="10"/>
      <c r="N26" s="11"/>
      <c r="O26" s="11"/>
      <c r="P26" s="11"/>
      <c r="Q26" s="10"/>
      <c r="R26" s="11"/>
      <c r="S26" s="11"/>
    </row>
    <row r="27" spans="1:19" ht="15.75" customHeight="1">
      <c r="A27" s="9" t="s">
        <v>17</v>
      </c>
      <c r="B27" s="9" t="s">
        <v>153</v>
      </c>
      <c r="C27" s="19">
        <v>2020</v>
      </c>
      <c r="D27" s="19" t="s">
        <v>1909</v>
      </c>
      <c r="E27" s="10"/>
      <c r="F27" s="10"/>
      <c r="G27" s="10"/>
      <c r="H27" s="10"/>
      <c r="I27" s="10"/>
      <c r="J27" s="10"/>
      <c r="K27" s="10"/>
      <c r="L27" s="10"/>
      <c r="M27" s="10"/>
      <c r="N27" s="11"/>
      <c r="O27" s="11"/>
      <c r="P27" s="11"/>
      <c r="Q27" s="10"/>
      <c r="R27" s="11"/>
      <c r="S27" s="11"/>
    </row>
    <row r="28" spans="1:19" ht="15.75" customHeight="1">
      <c r="A28" s="9" t="s">
        <v>17</v>
      </c>
      <c r="B28" s="9" t="s">
        <v>154</v>
      </c>
      <c r="C28" s="19">
        <v>2020</v>
      </c>
      <c r="D28" s="19" t="s">
        <v>1909</v>
      </c>
      <c r="E28" s="10" t="s">
        <v>155</v>
      </c>
      <c r="F28" s="10" t="s">
        <v>156</v>
      </c>
      <c r="G28" s="10" t="s">
        <v>157</v>
      </c>
      <c r="H28" s="10" t="s">
        <v>158</v>
      </c>
      <c r="I28" s="10" t="s">
        <v>159</v>
      </c>
      <c r="J28" s="10"/>
      <c r="K28" s="10"/>
      <c r="L28" s="10"/>
      <c r="M28" s="10"/>
      <c r="N28" s="11"/>
      <c r="O28" s="11"/>
      <c r="P28" s="11"/>
      <c r="Q28" s="10"/>
      <c r="R28" s="11"/>
      <c r="S28" s="11"/>
    </row>
    <row r="29" spans="1:19" ht="15.75" customHeight="1">
      <c r="A29" s="9" t="s">
        <v>17</v>
      </c>
      <c r="B29" s="9" t="s">
        <v>160</v>
      </c>
      <c r="C29" s="19">
        <v>2020</v>
      </c>
      <c r="D29" s="19" t="s">
        <v>1909</v>
      </c>
      <c r="E29" s="10" t="s">
        <v>161</v>
      </c>
      <c r="F29" s="10" t="s">
        <v>162</v>
      </c>
      <c r="G29" s="10" t="s">
        <v>163</v>
      </c>
      <c r="H29" s="10" t="s">
        <v>164</v>
      </c>
      <c r="I29" s="10" t="s">
        <v>165</v>
      </c>
      <c r="J29" s="10" t="s">
        <v>166</v>
      </c>
      <c r="K29" s="10"/>
      <c r="L29" s="10"/>
      <c r="M29" s="10"/>
      <c r="N29" s="11"/>
      <c r="O29" s="11"/>
      <c r="P29" s="11"/>
      <c r="Q29" s="10"/>
      <c r="R29" s="11"/>
      <c r="S29" s="11"/>
    </row>
    <row r="30" spans="1:19" ht="15.75" customHeight="1">
      <c r="A30" s="9" t="s">
        <v>17</v>
      </c>
      <c r="B30" s="9" t="s">
        <v>167</v>
      </c>
      <c r="C30" s="19">
        <v>2020</v>
      </c>
      <c r="D30" s="19" t="s">
        <v>1909</v>
      </c>
      <c r="E30" s="10"/>
      <c r="F30" s="10"/>
      <c r="G30" s="10"/>
      <c r="H30" s="10"/>
      <c r="I30" s="10"/>
      <c r="J30" s="10"/>
      <c r="K30" s="10"/>
      <c r="L30" s="10"/>
      <c r="M30" s="10"/>
      <c r="N30" s="11"/>
      <c r="O30" s="11"/>
      <c r="P30" s="11"/>
      <c r="Q30" s="10"/>
      <c r="R30" s="11"/>
      <c r="S30" s="11"/>
    </row>
    <row r="31" spans="1:19" ht="15.75" customHeight="1">
      <c r="A31" s="9" t="s">
        <v>17</v>
      </c>
      <c r="B31" s="9" t="s">
        <v>168</v>
      </c>
      <c r="C31" s="19">
        <v>2020</v>
      </c>
      <c r="D31" s="19" t="s">
        <v>1909</v>
      </c>
      <c r="E31" s="10" t="s">
        <v>169</v>
      </c>
      <c r="F31" s="10" t="s">
        <v>170</v>
      </c>
      <c r="G31" s="10" t="s">
        <v>171</v>
      </c>
      <c r="H31" s="10" t="s">
        <v>172</v>
      </c>
      <c r="I31" s="10" t="s">
        <v>173</v>
      </c>
      <c r="J31" s="10" t="s">
        <v>174</v>
      </c>
      <c r="K31" s="10" t="s">
        <v>175</v>
      </c>
      <c r="L31" s="10" t="s">
        <v>176</v>
      </c>
      <c r="M31" s="10"/>
      <c r="N31" s="11"/>
      <c r="O31" s="11"/>
      <c r="P31" s="11"/>
      <c r="Q31" s="10"/>
      <c r="R31" s="11"/>
      <c r="S31" s="11"/>
    </row>
    <row r="32" spans="1:19" ht="15.75" customHeight="1">
      <c r="A32" s="9" t="s">
        <v>17</v>
      </c>
      <c r="B32" s="9" t="s">
        <v>177</v>
      </c>
      <c r="C32" s="19">
        <v>2020</v>
      </c>
      <c r="D32" s="19" t="s">
        <v>1909</v>
      </c>
      <c r="E32" s="10" t="s">
        <v>1718</v>
      </c>
      <c r="F32" s="10" t="s">
        <v>1719</v>
      </c>
      <c r="G32" s="10" t="s">
        <v>1720</v>
      </c>
      <c r="H32" s="10" t="s">
        <v>1721</v>
      </c>
      <c r="I32" s="10" t="s">
        <v>1722</v>
      </c>
      <c r="J32" s="10" t="s">
        <v>178</v>
      </c>
      <c r="K32" s="10" t="s">
        <v>1723</v>
      </c>
      <c r="L32" s="10" t="s">
        <v>179</v>
      </c>
      <c r="M32" s="10" t="s">
        <v>180</v>
      </c>
      <c r="N32" s="11"/>
      <c r="O32" s="11"/>
      <c r="P32" s="11"/>
      <c r="Q32" s="10"/>
      <c r="R32" s="11"/>
      <c r="S32" s="11"/>
    </row>
    <row r="33" spans="1:19" ht="15.75" customHeight="1">
      <c r="A33" s="9" t="s">
        <v>17</v>
      </c>
      <c r="B33" s="9" t="s">
        <v>181</v>
      </c>
      <c r="C33" s="19">
        <v>2020</v>
      </c>
      <c r="D33" s="19" t="s">
        <v>1909</v>
      </c>
      <c r="E33" s="10" t="s">
        <v>1724</v>
      </c>
      <c r="F33" s="10" t="s">
        <v>182</v>
      </c>
      <c r="G33" s="10" t="s">
        <v>183</v>
      </c>
      <c r="H33" s="10" t="s">
        <v>184</v>
      </c>
      <c r="I33" s="10" t="s">
        <v>185</v>
      </c>
      <c r="J33" s="10" t="s">
        <v>186</v>
      </c>
      <c r="K33" s="10" t="s">
        <v>187</v>
      </c>
      <c r="L33" s="10"/>
      <c r="M33" s="10"/>
      <c r="N33" s="11"/>
      <c r="O33" s="11"/>
      <c r="P33" s="11"/>
      <c r="Q33" s="10"/>
      <c r="R33" s="11"/>
      <c r="S33" s="11"/>
    </row>
    <row r="34" spans="1:19" ht="15.75" customHeight="1">
      <c r="A34" s="9" t="s">
        <v>17</v>
      </c>
      <c r="B34" s="9" t="s">
        <v>188</v>
      </c>
      <c r="C34" s="19">
        <v>2020</v>
      </c>
      <c r="D34" s="19" t="s">
        <v>1909</v>
      </c>
      <c r="E34" s="10" t="s">
        <v>1725</v>
      </c>
      <c r="F34" s="10" t="s">
        <v>1726</v>
      </c>
      <c r="G34" s="10" t="s">
        <v>1727</v>
      </c>
      <c r="H34" s="10" t="s">
        <v>1728</v>
      </c>
      <c r="I34" s="10" t="s">
        <v>1729</v>
      </c>
      <c r="J34" s="10" t="s">
        <v>1730</v>
      </c>
      <c r="K34" s="10" t="s">
        <v>189</v>
      </c>
      <c r="L34" s="10" t="s">
        <v>190</v>
      </c>
      <c r="M34" s="10" t="s">
        <v>1731</v>
      </c>
      <c r="N34" s="11" t="s">
        <v>1732</v>
      </c>
      <c r="O34" s="11" t="s">
        <v>1733</v>
      </c>
      <c r="P34" s="11" t="s">
        <v>191</v>
      </c>
      <c r="Q34" s="10"/>
      <c r="R34" s="11"/>
      <c r="S34" s="11"/>
    </row>
    <row r="35" spans="1:19" ht="15.75" customHeight="1">
      <c r="A35" s="9" t="s">
        <v>17</v>
      </c>
      <c r="B35" s="9" t="s">
        <v>192</v>
      </c>
      <c r="C35" s="19">
        <v>2020</v>
      </c>
      <c r="D35" s="19" t="s">
        <v>1909</v>
      </c>
      <c r="E35" s="10" t="s">
        <v>193</v>
      </c>
      <c r="F35" s="10" t="s">
        <v>194</v>
      </c>
      <c r="G35" s="10" t="s">
        <v>195</v>
      </c>
      <c r="H35" s="10" t="s">
        <v>196</v>
      </c>
      <c r="I35" s="10" t="s">
        <v>197</v>
      </c>
      <c r="J35" s="10" t="s">
        <v>198</v>
      </c>
      <c r="K35" s="10" t="s">
        <v>199</v>
      </c>
      <c r="L35" s="10"/>
      <c r="M35" s="10"/>
      <c r="N35" s="11"/>
      <c r="O35" s="11"/>
      <c r="P35" s="11"/>
      <c r="Q35" s="10"/>
      <c r="R35" s="11"/>
      <c r="S35" s="11"/>
    </row>
    <row r="36" spans="1:19" ht="15.75" customHeight="1">
      <c r="A36" s="9" t="s">
        <v>17</v>
      </c>
      <c r="B36" s="9" t="s">
        <v>200</v>
      </c>
      <c r="C36" s="19">
        <v>2020</v>
      </c>
      <c r="D36" s="19" t="s">
        <v>1909</v>
      </c>
      <c r="E36" s="10"/>
      <c r="F36" s="10"/>
      <c r="G36" s="10"/>
      <c r="H36" s="10"/>
      <c r="I36" s="10"/>
      <c r="J36" s="10"/>
      <c r="K36" s="10"/>
      <c r="L36" s="10"/>
      <c r="M36" s="10"/>
      <c r="N36" s="11"/>
      <c r="O36" s="11"/>
      <c r="P36" s="11"/>
      <c r="Q36" s="10"/>
      <c r="R36" s="11"/>
      <c r="S36" s="11"/>
    </row>
    <row r="37" spans="1:19" ht="15.75" customHeight="1">
      <c r="A37" s="9" t="s">
        <v>17</v>
      </c>
      <c r="B37" s="9" t="s">
        <v>201</v>
      </c>
      <c r="C37" s="19">
        <v>2020</v>
      </c>
      <c r="D37" s="19" t="s">
        <v>1909</v>
      </c>
      <c r="E37" s="10"/>
      <c r="F37" s="10"/>
      <c r="G37" s="10"/>
      <c r="H37" s="10"/>
      <c r="I37" s="10"/>
      <c r="J37" s="10"/>
      <c r="K37" s="10"/>
      <c r="L37" s="10"/>
      <c r="M37" s="10"/>
      <c r="N37" s="11"/>
      <c r="O37" s="11"/>
      <c r="P37" s="11"/>
      <c r="Q37" s="10"/>
      <c r="R37" s="11"/>
      <c r="S37" s="11"/>
    </row>
    <row r="38" spans="1:19" ht="15.75" customHeight="1">
      <c r="A38" s="9" t="s">
        <v>17</v>
      </c>
      <c r="B38" s="9" t="s">
        <v>202</v>
      </c>
      <c r="C38" s="19">
        <v>2020</v>
      </c>
      <c r="D38" s="19" t="s">
        <v>1909</v>
      </c>
      <c r="E38" s="10" t="s">
        <v>203</v>
      </c>
      <c r="F38" s="10" t="s">
        <v>204</v>
      </c>
      <c r="G38" s="10" t="s">
        <v>205</v>
      </c>
      <c r="H38" s="10" t="s">
        <v>206</v>
      </c>
      <c r="I38" s="10" t="s">
        <v>207</v>
      </c>
      <c r="J38" s="10" t="s">
        <v>208</v>
      </c>
      <c r="K38" s="10" t="s">
        <v>209</v>
      </c>
      <c r="L38" s="10" t="s">
        <v>210</v>
      </c>
      <c r="M38" s="10" t="s">
        <v>211</v>
      </c>
      <c r="N38" s="11"/>
      <c r="O38" s="11"/>
      <c r="P38" s="11"/>
      <c r="Q38" s="10"/>
      <c r="R38" s="11"/>
      <c r="S38" s="11"/>
    </row>
    <row r="39" spans="1:19" ht="15.75" customHeight="1">
      <c r="A39" s="9" t="s">
        <v>17</v>
      </c>
      <c r="B39" s="9" t="s">
        <v>212</v>
      </c>
      <c r="C39" s="19">
        <v>2020</v>
      </c>
      <c r="D39" s="19" t="s">
        <v>1909</v>
      </c>
      <c r="E39" s="10"/>
      <c r="F39" s="10"/>
      <c r="G39" s="10"/>
      <c r="H39" s="10"/>
      <c r="I39" s="10"/>
      <c r="J39" s="10"/>
      <c r="K39" s="10"/>
      <c r="L39" s="10"/>
      <c r="M39" s="10"/>
      <c r="N39" s="11"/>
      <c r="O39" s="11"/>
      <c r="P39" s="11"/>
      <c r="Q39" s="10"/>
      <c r="R39" s="11"/>
      <c r="S39" s="11"/>
    </row>
    <row r="40" spans="1:19" ht="12.75">
      <c r="A40" s="9" t="s">
        <v>17</v>
      </c>
      <c r="B40" s="9" t="s">
        <v>213</v>
      </c>
      <c r="C40" s="19">
        <v>2020</v>
      </c>
      <c r="D40" s="19" t="s">
        <v>1909</v>
      </c>
      <c r="E40" s="10"/>
      <c r="F40" s="10"/>
      <c r="G40" s="10"/>
      <c r="H40" s="10"/>
      <c r="I40" s="10"/>
      <c r="J40" s="10"/>
      <c r="K40" s="10"/>
      <c r="L40" s="10"/>
      <c r="M40" s="10"/>
      <c r="N40" s="11"/>
      <c r="O40" s="11"/>
      <c r="P40" s="11"/>
      <c r="Q40" s="10"/>
      <c r="R40" s="11"/>
      <c r="S40" s="11"/>
    </row>
    <row r="41" spans="1:19" ht="12.75">
      <c r="A41" s="9" t="s">
        <v>17</v>
      </c>
      <c r="B41" s="9" t="s">
        <v>214</v>
      </c>
      <c r="C41" s="19">
        <v>2020</v>
      </c>
      <c r="D41" s="19" t="s">
        <v>1909</v>
      </c>
      <c r="E41" s="10" t="s">
        <v>215</v>
      </c>
      <c r="F41" s="10" t="s">
        <v>216</v>
      </c>
      <c r="G41" s="10" t="s">
        <v>217</v>
      </c>
      <c r="H41" s="10" t="s">
        <v>218</v>
      </c>
      <c r="I41" s="10" t="s">
        <v>219</v>
      </c>
      <c r="J41" s="10" t="s">
        <v>220</v>
      </c>
      <c r="K41" s="10"/>
      <c r="L41" s="10"/>
      <c r="M41" s="10"/>
      <c r="N41" s="11"/>
      <c r="O41" s="11"/>
      <c r="P41" s="11"/>
      <c r="Q41" s="10"/>
      <c r="R41" s="11"/>
      <c r="S41" s="11"/>
    </row>
    <row r="42" spans="1:19" ht="12.75">
      <c r="A42" s="9" t="s">
        <v>17</v>
      </c>
      <c r="B42" s="9" t="s">
        <v>221</v>
      </c>
      <c r="C42" s="19">
        <v>2020</v>
      </c>
      <c r="D42" s="19" t="s">
        <v>1909</v>
      </c>
      <c r="E42" s="10" t="s">
        <v>222</v>
      </c>
      <c r="F42" s="10" t="s">
        <v>223</v>
      </c>
      <c r="G42" s="10" t="s">
        <v>224</v>
      </c>
      <c r="H42" s="10" t="s">
        <v>225</v>
      </c>
      <c r="I42" s="10" t="s">
        <v>226</v>
      </c>
      <c r="J42" s="10" t="s">
        <v>227</v>
      </c>
      <c r="K42" s="10" t="s">
        <v>228</v>
      </c>
      <c r="L42" s="10" t="s">
        <v>229</v>
      </c>
      <c r="M42" s="10" t="s">
        <v>230</v>
      </c>
      <c r="N42" s="11" t="s">
        <v>231</v>
      </c>
      <c r="O42" s="11"/>
      <c r="P42" s="11"/>
      <c r="Q42" s="10"/>
      <c r="R42" s="11"/>
      <c r="S42" s="11"/>
    </row>
    <row r="43" spans="1:19" ht="12.75">
      <c r="A43" s="9" t="s">
        <v>17</v>
      </c>
      <c r="B43" s="9" t="s">
        <v>232</v>
      </c>
      <c r="C43" s="19">
        <v>2020</v>
      </c>
      <c r="D43" s="19" t="s">
        <v>1909</v>
      </c>
      <c r="E43" s="10" t="s">
        <v>233</v>
      </c>
      <c r="F43" s="10" t="s">
        <v>234</v>
      </c>
      <c r="G43" s="10" t="s">
        <v>235</v>
      </c>
      <c r="H43" s="10" t="s">
        <v>236</v>
      </c>
      <c r="I43" s="10" t="s">
        <v>237</v>
      </c>
      <c r="J43" s="10" t="s">
        <v>238</v>
      </c>
      <c r="K43" s="10" t="s">
        <v>239</v>
      </c>
      <c r="L43" s="10" t="s">
        <v>240</v>
      </c>
      <c r="M43" s="10"/>
      <c r="N43" s="11"/>
      <c r="O43" s="11"/>
      <c r="P43" s="11"/>
      <c r="Q43" s="10"/>
      <c r="R43" s="11"/>
      <c r="S43" s="11"/>
    </row>
    <row r="44" spans="1:19" ht="12.75">
      <c r="A44" s="9" t="s">
        <v>17</v>
      </c>
      <c r="B44" s="9" t="s">
        <v>241</v>
      </c>
      <c r="C44" s="19">
        <v>2020</v>
      </c>
      <c r="D44" s="19" t="s">
        <v>1909</v>
      </c>
      <c r="E44" s="10" t="s">
        <v>242</v>
      </c>
      <c r="F44" s="10" t="s">
        <v>243</v>
      </c>
      <c r="G44" s="10" t="s">
        <v>244</v>
      </c>
      <c r="H44" s="10"/>
      <c r="I44" s="10"/>
      <c r="J44" s="10"/>
      <c r="K44" s="10"/>
      <c r="L44" s="10"/>
      <c r="M44" s="10"/>
      <c r="N44" s="11"/>
      <c r="O44" s="11"/>
      <c r="P44" s="11"/>
      <c r="Q44" s="10"/>
      <c r="R44" s="11"/>
      <c r="S44" s="11"/>
    </row>
    <row r="45" spans="1:19" ht="12.75">
      <c r="A45" s="9" t="s">
        <v>17</v>
      </c>
      <c r="B45" s="9" t="s">
        <v>245</v>
      </c>
      <c r="C45" s="19">
        <v>2020</v>
      </c>
      <c r="D45" s="19" t="s">
        <v>1909</v>
      </c>
      <c r="E45" s="10" t="s">
        <v>246</v>
      </c>
      <c r="F45" s="10" t="s">
        <v>247</v>
      </c>
      <c r="G45" s="10" t="s">
        <v>248</v>
      </c>
      <c r="H45" s="10" t="s">
        <v>249</v>
      </c>
      <c r="I45" s="10" t="s">
        <v>250</v>
      </c>
      <c r="J45" s="10" t="s">
        <v>251</v>
      </c>
      <c r="K45" s="10" t="s">
        <v>252</v>
      </c>
      <c r="L45" s="10" t="s">
        <v>253</v>
      </c>
      <c r="M45" s="10"/>
      <c r="N45" s="11"/>
      <c r="O45" s="11"/>
      <c r="P45" s="11"/>
      <c r="Q45" s="10"/>
      <c r="R45" s="11"/>
      <c r="S45" s="11"/>
    </row>
    <row r="46" spans="1:19" ht="12.75">
      <c r="A46" s="9" t="s">
        <v>17</v>
      </c>
      <c r="B46" s="9" t="s">
        <v>254</v>
      </c>
      <c r="C46" s="19">
        <v>2020</v>
      </c>
      <c r="D46" s="19" t="s">
        <v>1909</v>
      </c>
      <c r="E46" s="10" t="s">
        <v>255</v>
      </c>
      <c r="F46" s="10" t="s">
        <v>256</v>
      </c>
      <c r="G46" s="10" t="s">
        <v>257</v>
      </c>
      <c r="H46" s="10" t="s">
        <v>258</v>
      </c>
      <c r="I46" s="10" t="s">
        <v>259</v>
      </c>
      <c r="J46" s="10"/>
      <c r="K46" s="10"/>
      <c r="L46" s="10"/>
      <c r="M46" s="10"/>
      <c r="N46" s="11"/>
      <c r="O46" s="11"/>
      <c r="P46" s="11"/>
      <c r="Q46" s="10"/>
      <c r="R46" s="11"/>
      <c r="S46" s="11"/>
    </row>
    <row r="47" spans="1:19" ht="12.75">
      <c r="A47" s="9" t="s">
        <v>17</v>
      </c>
      <c r="B47" s="9" t="s">
        <v>260</v>
      </c>
      <c r="C47" s="19">
        <v>2020</v>
      </c>
      <c r="D47" s="19" t="s">
        <v>1909</v>
      </c>
      <c r="E47" s="10" t="s">
        <v>261</v>
      </c>
      <c r="F47" s="10" t="s">
        <v>262</v>
      </c>
      <c r="G47" s="10" t="s">
        <v>263</v>
      </c>
      <c r="H47" s="10" t="s">
        <v>264</v>
      </c>
      <c r="I47" s="10" t="s">
        <v>265</v>
      </c>
      <c r="J47" s="10"/>
      <c r="K47" s="10"/>
      <c r="L47" s="10"/>
      <c r="M47" s="10"/>
      <c r="N47" s="11"/>
      <c r="O47" s="11"/>
      <c r="P47" s="11"/>
      <c r="Q47" s="10"/>
      <c r="R47" s="11"/>
      <c r="S47" s="11"/>
    </row>
    <row r="48" spans="1:19" ht="12.75">
      <c r="A48" s="9" t="s">
        <v>17</v>
      </c>
      <c r="B48" s="9" t="s">
        <v>266</v>
      </c>
      <c r="C48" s="19">
        <v>2020</v>
      </c>
      <c r="D48" s="19" t="s">
        <v>1909</v>
      </c>
      <c r="E48" s="10"/>
      <c r="F48" s="10"/>
      <c r="G48" s="10"/>
      <c r="H48" s="10"/>
      <c r="I48" s="10"/>
      <c r="J48" s="10"/>
      <c r="K48" s="10"/>
      <c r="L48" s="10"/>
      <c r="M48" s="10"/>
      <c r="N48" s="11"/>
      <c r="O48" s="11"/>
      <c r="P48" s="11"/>
      <c r="Q48" s="10"/>
      <c r="R48" s="11"/>
      <c r="S48" s="11"/>
    </row>
    <row r="49" spans="1:19" ht="12.75">
      <c r="A49" s="9" t="s">
        <v>17</v>
      </c>
      <c r="B49" s="9" t="s">
        <v>267</v>
      </c>
      <c r="C49" s="19">
        <v>2020</v>
      </c>
      <c r="D49" s="19" t="s">
        <v>1909</v>
      </c>
      <c r="E49" s="10" t="s">
        <v>268</v>
      </c>
      <c r="F49" s="10" t="s">
        <v>269</v>
      </c>
      <c r="G49" s="10" t="s">
        <v>270</v>
      </c>
      <c r="H49" s="10" t="s">
        <v>271</v>
      </c>
      <c r="I49" s="10" t="s">
        <v>272</v>
      </c>
      <c r="J49" s="10"/>
      <c r="K49" s="10"/>
      <c r="L49" s="10"/>
      <c r="M49" s="10"/>
      <c r="N49" s="11"/>
      <c r="O49" s="11"/>
      <c r="P49" s="11"/>
      <c r="Q49" s="10"/>
      <c r="R49" s="11"/>
      <c r="S49" s="11"/>
    </row>
    <row r="50" spans="1:19" ht="12.75">
      <c r="A50" s="9" t="s">
        <v>17</v>
      </c>
      <c r="B50" s="9" t="s">
        <v>273</v>
      </c>
      <c r="C50" s="19">
        <v>2020</v>
      </c>
      <c r="D50" s="19" t="s">
        <v>1909</v>
      </c>
      <c r="E50" s="10" t="s">
        <v>1734</v>
      </c>
      <c r="F50" s="10" t="s">
        <v>274</v>
      </c>
      <c r="G50" s="10" t="s">
        <v>275</v>
      </c>
      <c r="H50" s="10" t="s">
        <v>276</v>
      </c>
      <c r="I50" s="10" t="s">
        <v>1735</v>
      </c>
      <c r="J50" s="10" t="s">
        <v>277</v>
      </c>
      <c r="K50" s="10" t="s">
        <v>278</v>
      </c>
      <c r="L50" s="10"/>
      <c r="M50" s="10"/>
      <c r="N50" s="11"/>
      <c r="O50" s="11"/>
      <c r="P50" s="11"/>
      <c r="Q50" s="10"/>
      <c r="R50" s="11"/>
      <c r="S50" s="11"/>
    </row>
    <row r="51" spans="1:19" ht="12.75">
      <c r="A51" s="9" t="s">
        <v>17</v>
      </c>
      <c r="B51" s="9" t="s">
        <v>279</v>
      </c>
      <c r="C51" s="19">
        <v>2020</v>
      </c>
      <c r="D51" s="19" t="s">
        <v>1909</v>
      </c>
      <c r="E51" s="10" t="s">
        <v>280</v>
      </c>
      <c r="F51" s="10" t="s">
        <v>281</v>
      </c>
      <c r="G51" s="10" t="s">
        <v>1736</v>
      </c>
      <c r="H51" s="10" t="s">
        <v>282</v>
      </c>
      <c r="I51" s="10" t="s">
        <v>283</v>
      </c>
      <c r="J51" s="10" t="s">
        <v>284</v>
      </c>
      <c r="K51" s="10" t="s">
        <v>285</v>
      </c>
      <c r="L51" s="10" t="s">
        <v>286</v>
      </c>
      <c r="M51" s="10"/>
      <c r="N51" s="11"/>
      <c r="O51" s="11"/>
      <c r="P51" s="11"/>
      <c r="Q51" s="10"/>
      <c r="R51" s="11"/>
      <c r="S51" s="11"/>
    </row>
    <row r="52" spans="1:19" ht="12.75">
      <c r="A52" s="9" t="s">
        <v>17</v>
      </c>
      <c r="B52" s="9" t="s">
        <v>287</v>
      </c>
      <c r="C52" s="19">
        <v>2020</v>
      </c>
      <c r="D52" s="19" t="s">
        <v>1909</v>
      </c>
      <c r="E52" s="10" t="s">
        <v>288</v>
      </c>
      <c r="F52" s="10" t="s">
        <v>289</v>
      </c>
      <c r="G52" s="10" t="s">
        <v>290</v>
      </c>
      <c r="H52" s="10" t="s">
        <v>291</v>
      </c>
      <c r="I52" s="10" t="s">
        <v>1737</v>
      </c>
      <c r="J52" s="10" t="s">
        <v>292</v>
      </c>
      <c r="K52" s="10" t="s">
        <v>293</v>
      </c>
      <c r="L52" s="10"/>
      <c r="M52" s="10"/>
      <c r="N52" s="11"/>
      <c r="O52" s="11"/>
      <c r="P52" s="11"/>
      <c r="Q52" s="10"/>
      <c r="R52" s="11"/>
      <c r="S52" s="11"/>
    </row>
    <row r="53" spans="1:19" ht="12.75">
      <c r="A53" s="9" t="s">
        <v>17</v>
      </c>
      <c r="B53" s="9" t="s">
        <v>294</v>
      </c>
      <c r="C53" s="19">
        <v>2020</v>
      </c>
      <c r="D53" s="19" t="s">
        <v>1909</v>
      </c>
      <c r="E53" s="10"/>
      <c r="F53" s="10"/>
      <c r="G53" s="10"/>
      <c r="H53" s="10"/>
      <c r="I53" s="10"/>
      <c r="J53" s="10"/>
      <c r="K53" s="10"/>
      <c r="L53" s="10"/>
      <c r="M53" s="10"/>
      <c r="N53" s="11"/>
      <c r="O53" s="11"/>
      <c r="P53" s="11"/>
      <c r="Q53" s="10"/>
      <c r="R53" s="11"/>
      <c r="S53" s="11"/>
    </row>
    <row r="54" spans="1:19" ht="12.75">
      <c r="A54" s="9" t="s">
        <v>17</v>
      </c>
      <c r="B54" s="9" t="s">
        <v>295</v>
      </c>
      <c r="C54" s="19">
        <v>2020</v>
      </c>
      <c r="D54" s="19" t="s">
        <v>1909</v>
      </c>
      <c r="E54" s="17" t="s">
        <v>296</v>
      </c>
      <c r="F54" s="17" t="s">
        <v>1738</v>
      </c>
      <c r="G54" s="17" t="s">
        <v>297</v>
      </c>
      <c r="H54" s="10" t="s">
        <v>1739</v>
      </c>
      <c r="I54" s="17" t="s">
        <v>1740</v>
      </c>
      <c r="J54" s="10" t="s">
        <v>1741</v>
      </c>
      <c r="K54" s="10" t="s">
        <v>1742</v>
      </c>
      <c r="L54" s="10" t="s">
        <v>1743</v>
      </c>
      <c r="M54" s="10"/>
      <c r="N54" s="11"/>
      <c r="O54" s="11"/>
      <c r="P54" s="11"/>
      <c r="Q54" s="10"/>
      <c r="R54" s="11"/>
      <c r="S54" s="11"/>
    </row>
    <row r="55" spans="1:19" ht="12.75">
      <c r="A55" s="9" t="s">
        <v>17</v>
      </c>
      <c r="B55" s="9" t="s">
        <v>298</v>
      </c>
      <c r="C55" s="19">
        <v>2020</v>
      </c>
      <c r="D55" s="19" t="s">
        <v>1909</v>
      </c>
      <c r="E55" s="10"/>
      <c r="F55" s="10"/>
      <c r="G55" s="10"/>
      <c r="H55" s="10"/>
      <c r="I55" s="10"/>
      <c r="J55" s="10"/>
      <c r="K55" s="10"/>
      <c r="L55" s="10"/>
      <c r="M55" s="10"/>
      <c r="N55" s="11"/>
      <c r="O55" s="11"/>
      <c r="P55" s="11"/>
      <c r="Q55" s="10"/>
      <c r="R55" s="11"/>
      <c r="S55" s="11"/>
    </row>
    <row r="56" spans="1:19" ht="12.75">
      <c r="A56" s="9" t="s">
        <v>17</v>
      </c>
      <c r="B56" s="9" t="s">
        <v>299</v>
      </c>
      <c r="C56" s="19">
        <v>2020</v>
      </c>
      <c r="D56" s="19" t="s">
        <v>1909</v>
      </c>
      <c r="E56" s="10"/>
      <c r="F56" s="10"/>
      <c r="G56" s="10"/>
      <c r="H56" s="10"/>
      <c r="I56" s="10"/>
      <c r="J56" s="10"/>
      <c r="K56" s="10"/>
      <c r="L56" s="10"/>
      <c r="M56" s="10"/>
      <c r="N56" s="11"/>
      <c r="O56" s="11"/>
      <c r="P56" s="11"/>
      <c r="Q56" s="10"/>
      <c r="R56" s="11"/>
      <c r="S56" s="11"/>
    </row>
    <row r="57" spans="1:19" ht="12.75">
      <c r="A57" s="9" t="s">
        <v>17</v>
      </c>
      <c r="B57" s="9" t="s">
        <v>300</v>
      </c>
      <c r="C57" s="19">
        <v>2020</v>
      </c>
      <c r="D57" s="19" t="s">
        <v>1909</v>
      </c>
      <c r="E57" s="10" t="s">
        <v>301</v>
      </c>
      <c r="F57" s="10" t="s">
        <v>1744</v>
      </c>
      <c r="G57" s="10" t="s">
        <v>1745</v>
      </c>
      <c r="H57" s="10" t="s">
        <v>1746</v>
      </c>
      <c r="I57" s="10" t="s">
        <v>1747</v>
      </c>
      <c r="J57" s="10" t="s">
        <v>1748</v>
      </c>
      <c r="K57" s="10"/>
      <c r="L57" s="10"/>
      <c r="M57" s="10"/>
      <c r="N57" s="11"/>
      <c r="O57" s="11"/>
      <c r="P57" s="11"/>
      <c r="Q57" s="10"/>
      <c r="R57" s="11"/>
      <c r="S57" s="11"/>
    </row>
    <row r="58" spans="1:19" ht="12.75">
      <c r="A58" s="9" t="s">
        <v>17</v>
      </c>
      <c r="B58" s="9" t="s">
        <v>302</v>
      </c>
      <c r="C58" s="19">
        <v>2020</v>
      </c>
      <c r="D58" s="19" t="s">
        <v>1909</v>
      </c>
      <c r="E58" s="17" t="s">
        <v>303</v>
      </c>
      <c r="F58" s="17" t="s">
        <v>1749</v>
      </c>
      <c r="G58" s="17" t="s">
        <v>1750</v>
      </c>
      <c r="H58" s="17" t="s">
        <v>304</v>
      </c>
      <c r="I58" s="17" t="s">
        <v>305</v>
      </c>
      <c r="J58" s="17" t="s">
        <v>306</v>
      </c>
      <c r="K58" s="10"/>
      <c r="L58" s="10"/>
      <c r="M58" s="10"/>
      <c r="N58" s="11"/>
      <c r="O58" s="11"/>
      <c r="P58" s="11"/>
      <c r="Q58" s="10"/>
      <c r="R58" s="11"/>
      <c r="S58" s="11"/>
    </row>
    <row r="59" spans="1:19" ht="12.75">
      <c r="A59" s="9" t="s">
        <v>307</v>
      </c>
      <c r="B59" s="9" t="s">
        <v>308</v>
      </c>
      <c r="C59" s="19">
        <v>2020</v>
      </c>
      <c r="D59" s="19" t="s">
        <v>1909</v>
      </c>
      <c r="E59" s="10" t="s">
        <v>309</v>
      </c>
      <c r="F59" s="10" t="s">
        <v>310</v>
      </c>
      <c r="G59" s="10" t="s">
        <v>311</v>
      </c>
      <c r="H59" s="10" t="s">
        <v>312</v>
      </c>
      <c r="I59" s="10" t="s">
        <v>313</v>
      </c>
      <c r="J59" s="10" t="s">
        <v>314</v>
      </c>
      <c r="K59" s="10"/>
      <c r="L59" s="10"/>
      <c r="M59" s="10"/>
      <c r="N59" s="11"/>
      <c r="O59" s="11"/>
      <c r="P59" s="11"/>
      <c r="Q59" s="10"/>
      <c r="R59" s="11"/>
      <c r="S59" s="11"/>
    </row>
    <row r="60" spans="1:19" ht="12.75">
      <c r="A60" s="9" t="s">
        <v>307</v>
      </c>
      <c r="B60" s="9" t="s">
        <v>315</v>
      </c>
      <c r="C60" s="19">
        <v>2020</v>
      </c>
      <c r="D60" s="19" t="s">
        <v>1909</v>
      </c>
      <c r="E60" s="10" t="s">
        <v>316</v>
      </c>
      <c r="F60" s="10" t="s">
        <v>317</v>
      </c>
      <c r="G60" s="10" t="s">
        <v>318</v>
      </c>
      <c r="H60" s="10" t="s">
        <v>319</v>
      </c>
      <c r="I60" s="10" t="s">
        <v>320</v>
      </c>
      <c r="J60" s="10" t="s">
        <v>321</v>
      </c>
      <c r="K60" s="10" t="s">
        <v>322</v>
      </c>
      <c r="L60" s="10" t="s">
        <v>323</v>
      </c>
      <c r="M60" s="10" t="s">
        <v>324</v>
      </c>
      <c r="N60" s="11" t="s">
        <v>325</v>
      </c>
      <c r="O60" s="11" t="s">
        <v>326</v>
      </c>
      <c r="P60" s="11"/>
      <c r="Q60" s="10"/>
      <c r="R60" s="11"/>
      <c r="S60" s="11"/>
    </row>
    <row r="61" spans="1:19" ht="12.75">
      <c r="A61" s="9" t="s">
        <v>307</v>
      </c>
      <c r="B61" s="9" t="s">
        <v>327</v>
      </c>
      <c r="C61" s="19">
        <v>2020</v>
      </c>
      <c r="D61" s="19" t="s">
        <v>1909</v>
      </c>
      <c r="E61" s="10" t="s">
        <v>328</v>
      </c>
      <c r="F61" s="10" t="s">
        <v>329</v>
      </c>
      <c r="G61" s="10" t="s">
        <v>330</v>
      </c>
      <c r="H61" s="10" t="s">
        <v>331</v>
      </c>
      <c r="I61" s="10" t="s">
        <v>332</v>
      </c>
      <c r="J61" s="10" t="s">
        <v>333</v>
      </c>
      <c r="K61" s="10" t="s">
        <v>334</v>
      </c>
      <c r="L61" s="10" t="s">
        <v>335</v>
      </c>
      <c r="M61" s="10" t="s">
        <v>336</v>
      </c>
      <c r="N61" s="11" t="s">
        <v>326</v>
      </c>
      <c r="O61" s="11"/>
      <c r="P61" s="11"/>
      <c r="Q61" s="10"/>
      <c r="R61" s="11"/>
      <c r="S61" s="11"/>
    </row>
    <row r="62" spans="1:19" ht="12.75">
      <c r="A62" s="9" t="s">
        <v>307</v>
      </c>
      <c r="B62" s="9" t="s">
        <v>337</v>
      </c>
      <c r="C62" s="19">
        <v>2020</v>
      </c>
      <c r="D62" s="19" t="s">
        <v>1909</v>
      </c>
      <c r="E62" s="10"/>
      <c r="F62" s="10"/>
      <c r="G62" s="10"/>
      <c r="H62" s="10"/>
      <c r="I62" s="10"/>
      <c r="J62" s="10"/>
      <c r="K62" s="10"/>
      <c r="L62" s="10"/>
      <c r="M62" s="10"/>
      <c r="N62" s="11"/>
      <c r="O62" s="11"/>
      <c r="P62" s="11"/>
      <c r="Q62" s="10"/>
      <c r="R62" s="11"/>
      <c r="S62" s="11"/>
    </row>
    <row r="63" spans="1:19" ht="12.75">
      <c r="A63" s="9" t="s">
        <v>307</v>
      </c>
      <c r="B63" s="9" t="s">
        <v>338</v>
      </c>
      <c r="C63" s="19">
        <v>2020</v>
      </c>
      <c r="D63" s="19" t="s">
        <v>1909</v>
      </c>
      <c r="E63" s="10"/>
      <c r="F63" s="10"/>
      <c r="G63" s="10"/>
      <c r="H63" s="10"/>
      <c r="I63" s="10"/>
      <c r="J63" s="10"/>
      <c r="K63" s="10"/>
      <c r="L63" s="10"/>
      <c r="M63" s="10"/>
      <c r="N63" s="11"/>
      <c r="O63" s="11"/>
      <c r="P63" s="11"/>
      <c r="Q63" s="10"/>
      <c r="R63" s="11"/>
      <c r="S63" s="11"/>
    </row>
    <row r="64" spans="1:19" ht="12.75">
      <c r="A64" s="9" t="s">
        <v>307</v>
      </c>
      <c r="B64" s="9" t="s">
        <v>339</v>
      </c>
      <c r="C64" s="19">
        <v>2020</v>
      </c>
      <c r="D64" s="19" t="s">
        <v>1909</v>
      </c>
      <c r="E64" s="10"/>
      <c r="F64" s="10"/>
      <c r="G64" s="10"/>
      <c r="H64" s="10"/>
      <c r="I64" s="10"/>
      <c r="J64" s="10"/>
      <c r="K64" s="10"/>
      <c r="L64" s="10"/>
      <c r="M64" s="10"/>
      <c r="N64" s="11"/>
      <c r="O64" s="11"/>
      <c r="P64" s="11"/>
      <c r="Q64" s="10"/>
      <c r="R64" s="11"/>
      <c r="S64" s="11"/>
    </row>
    <row r="65" spans="1:19" ht="12.75">
      <c r="A65" s="9" t="s">
        <v>307</v>
      </c>
      <c r="B65" s="9" t="s">
        <v>340</v>
      </c>
      <c r="C65" s="19">
        <v>2020</v>
      </c>
      <c r="D65" s="19" t="s">
        <v>1909</v>
      </c>
      <c r="E65" s="10" t="s">
        <v>341</v>
      </c>
      <c r="F65" s="10" t="s">
        <v>342</v>
      </c>
      <c r="G65" s="10" t="s">
        <v>343</v>
      </c>
      <c r="H65" s="10" t="s">
        <v>344</v>
      </c>
      <c r="I65" s="10" t="s">
        <v>345</v>
      </c>
      <c r="J65" s="10" t="s">
        <v>346</v>
      </c>
      <c r="K65" s="10" t="s">
        <v>347</v>
      </c>
      <c r="L65" s="10" t="s">
        <v>348</v>
      </c>
      <c r="M65" s="10" t="s">
        <v>349</v>
      </c>
      <c r="N65" s="11" t="s">
        <v>350</v>
      </c>
      <c r="O65" s="11"/>
      <c r="P65" s="11"/>
      <c r="Q65" s="10"/>
      <c r="R65" s="11"/>
      <c r="S65" s="11"/>
    </row>
    <row r="66" spans="1:19" ht="12.75">
      <c r="A66" s="9" t="s">
        <v>307</v>
      </c>
      <c r="B66" s="9" t="s">
        <v>351</v>
      </c>
      <c r="C66" s="19">
        <v>2020</v>
      </c>
      <c r="D66" s="19" t="s">
        <v>1909</v>
      </c>
      <c r="E66" s="10" t="s">
        <v>352</v>
      </c>
      <c r="F66" s="10" t="s">
        <v>353</v>
      </c>
      <c r="G66" s="10" t="s">
        <v>354</v>
      </c>
      <c r="H66" s="10" t="s">
        <v>355</v>
      </c>
      <c r="I66" s="10" t="s">
        <v>356</v>
      </c>
      <c r="J66" s="10" t="s">
        <v>357</v>
      </c>
      <c r="K66" s="10" t="s">
        <v>358</v>
      </c>
      <c r="L66" s="10"/>
      <c r="M66" s="10"/>
      <c r="N66" s="11"/>
      <c r="O66" s="11"/>
      <c r="P66" s="11"/>
      <c r="Q66" s="10"/>
      <c r="R66" s="11"/>
      <c r="S66" s="11"/>
    </row>
    <row r="67" spans="1:19" ht="12.75">
      <c r="A67" s="9" t="s">
        <v>307</v>
      </c>
      <c r="B67" s="9" t="s">
        <v>359</v>
      </c>
      <c r="C67" s="19">
        <v>2020</v>
      </c>
      <c r="D67" s="19" t="s">
        <v>1909</v>
      </c>
      <c r="E67" s="10" t="s">
        <v>360</v>
      </c>
      <c r="F67" s="10" t="s">
        <v>361</v>
      </c>
      <c r="G67" s="10" t="s">
        <v>362</v>
      </c>
      <c r="H67" s="10" t="s">
        <v>363</v>
      </c>
      <c r="I67" s="10" t="s">
        <v>364</v>
      </c>
      <c r="J67" s="10" t="s">
        <v>365</v>
      </c>
      <c r="K67" s="10" t="s">
        <v>366</v>
      </c>
      <c r="L67" s="10" t="s">
        <v>367</v>
      </c>
      <c r="M67" s="10" t="s">
        <v>368</v>
      </c>
      <c r="N67" s="11"/>
      <c r="O67" s="11"/>
      <c r="P67" s="11"/>
      <c r="Q67" s="10"/>
      <c r="R67" s="11"/>
      <c r="S67" s="11"/>
    </row>
    <row r="68" spans="1:19" ht="12.75">
      <c r="A68" s="9" t="s">
        <v>307</v>
      </c>
      <c r="B68" s="9" t="s">
        <v>369</v>
      </c>
      <c r="C68" s="19">
        <v>2020</v>
      </c>
      <c r="D68" s="19" t="s">
        <v>1909</v>
      </c>
      <c r="E68" s="10" t="s">
        <v>1751</v>
      </c>
      <c r="F68" s="10" t="s">
        <v>370</v>
      </c>
      <c r="G68" s="10" t="s">
        <v>371</v>
      </c>
      <c r="H68" s="10" t="s">
        <v>372</v>
      </c>
      <c r="I68" s="10" t="s">
        <v>373</v>
      </c>
      <c r="J68" s="10" t="s">
        <v>374</v>
      </c>
      <c r="K68" s="10" t="s">
        <v>375</v>
      </c>
      <c r="L68" s="10" t="s">
        <v>376</v>
      </c>
      <c r="M68" s="10" t="s">
        <v>377</v>
      </c>
      <c r="N68" s="11" t="s">
        <v>378</v>
      </c>
      <c r="O68" s="11" t="s">
        <v>379</v>
      </c>
      <c r="P68" s="11"/>
      <c r="Q68" s="10"/>
      <c r="R68" s="11"/>
      <c r="S68" s="11"/>
    </row>
    <row r="69" spans="1:19" ht="12.75">
      <c r="A69" s="9" t="s">
        <v>307</v>
      </c>
      <c r="B69" s="9" t="s">
        <v>380</v>
      </c>
      <c r="C69" s="19">
        <v>2020</v>
      </c>
      <c r="D69" s="19" t="s">
        <v>1909</v>
      </c>
      <c r="E69" s="10" t="s">
        <v>381</v>
      </c>
      <c r="F69" s="10" t="s">
        <v>382</v>
      </c>
      <c r="G69" s="10" t="s">
        <v>383</v>
      </c>
      <c r="H69" s="10" t="s">
        <v>384</v>
      </c>
      <c r="I69" s="10" t="s">
        <v>385</v>
      </c>
      <c r="J69" s="10" t="s">
        <v>386</v>
      </c>
      <c r="K69" s="10" t="s">
        <v>387</v>
      </c>
      <c r="L69" s="10"/>
      <c r="M69" s="10"/>
      <c r="N69" s="11"/>
      <c r="O69" s="11"/>
      <c r="P69" s="11"/>
      <c r="Q69" s="10"/>
      <c r="R69" s="11"/>
      <c r="S69" s="11"/>
    </row>
    <row r="70" spans="1:19" ht="12.75">
      <c r="A70" s="9" t="s">
        <v>307</v>
      </c>
      <c r="B70" s="9" t="s">
        <v>388</v>
      </c>
      <c r="C70" s="19">
        <v>2020</v>
      </c>
      <c r="D70" s="19" t="s">
        <v>1909</v>
      </c>
      <c r="E70" s="10" t="s">
        <v>389</v>
      </c>
      <c r="F70" s="10" t="s">
        <v>390</v>
      </c>
      <c r="G70" s="10" t="s">
        <v>391</v>
      </c>
      <c r="H70" s="10" t="s">
        <v>392</v>
      </c>
      <c r="I70" s="10"/>
      <c r="J70" s="10"/>
      <c r="K70" s="10"/>
      <c r="L70" s="10"/>
      <c r="M70" s="10"/>
      <c r="N70" s="11"/>
      <c r="O70" s="11"/>
      <c r="P70" s="11"/>
      <c r="Q70" s="10"/>
      <c r="R70" s="11"/>
      <c r="S70" s="11"/>
    </row>
    <row r="71" spans="1:19" ht="12.75">
      <c r="A71" s="9" t="s">
        <v>307</v>
      </c>
      <c r="B71" s="9" t="s">
        <v>393</v>
      </c>
      <c r="C71" s="19">
        <v>2020</v>
      </c>
      <c r="D71" s="19" t="s">
        <v>1909</v>
      </c>
      <c r="E71" s="10" t="s">
        <v>394</v>
      </c>
      <c r="F71" s="10" t="s">
        <v>395</v>
      </c>
      <c r="G71" s="10" t="s">
        <v>396</v>
      </c>
      <c r="H71" s="10" t="s">
        <v>397</v>
      </c>
      <c r="I71" s="10" t="s">
        <v>398</v>
      </c>
      <c r="J71" s="10"/>
      <c r="K71" s="10"/>
      <c r="L71" s="10"/>
      <c r="M71" s="10"/>
      <c r="N71" s="11"/>
      <c r="O71" s="11"/>
      <c r="P71" s="11"/>
      <c r="Q71" s="10"/>
      <c r="R71" s="11"/>
      <c r="S71" s="11"/>
    </row>
    <row r="72" spans="1:19" ht="12.75">
      <c r="A72" s="9" t="s">
        <v>307</v>
      </c>
      <c r="B72" s="9" t="s">
        <v>399</v>
      </c>
      <c r="C72" s="19">
        <v>2020</v>
      </c>
      <c r="D72" s="19" t="s">
        <v>1909</v>
      </c>
      <c r="E72" s="10" t="s">
        <v>400</v>
      </c>
      <c r="F72" s="10" t="s">
        <v>401</v>
      </c>
      <c r="G72" s="10" t="s">
        <v>402</v>
      </c>
      <c r="H72" s="10" t="s">
        <v>403</v>
      </c>
      <c r="I72" s="10" t="s">
        <v>404</v>
      </c>
      <c r="J72" s="10" t="s">
        <v>405</v>
      </c>
      <c r="K72" s="10" t="s">
        <v>406</v>
      </c>
      <c r="L72" s="10" t="s">
        <v>407</v>
      </c>
      <c r="M72" s="10"/>
      <c r="N72" s="11"/>
      <c r="O72" s="11"/>
      <c r="P72" s="11"/>
      <c r="Q72" s="10"/>
      <c r="R72" s="11"/>
      <c r="S72" s="11"/>
    </row>
    <row r="73" spans="1:19" ht="12.75">
      <c r="A73" s="9" t="s">
        <v>307</v>
      </c>
      <c r="B73" s="9" t="s">
        <v>408</v>
      </c>
      <c r="C73" s="19">
        <v>2020</v>
      </c>
      <c r="D73" s="19" t="s">
        <v>1909</v>
      </c>
      <c r="E73" s="10" t="s">
        <v>409</v>
      </c>
      <c r="F73" s="10" t="s">
        <v>410</v>
      </c>
      <c r="G73" s="10" t="s">
        <v>411</v>
      </c>
      <c r="H73" s="10" t="s">
        <v>412</v>
      </c>
      <c r="I73" s="10" t="s">
        <v>413</v>
      </c>
      <c r="J73" s="10" t="s">
        <v>414</v>
      </c>
      <c r="K73" s="10"/>
      <c r="L73" s="10"/>
      <c r="M73" s="10"/>
      <c r="N73" s="11"/>
      <c r="O73" s="11"/>
      <c r="P73" s="11"/>
      <c r="Q73" s="10"/>
      <c r="R73" s="11"/>
      <c r="S73" s="11"/>
    </row>
    <row r="74" spans="1:19" ht="12.75">
      <c r="A74" s="9" t="s">
        <v>307</v>
      </c>
      <c r="B74" s="9" t="s">
        <v>415</v>
      </c>
      <c r="C74" s="19">
        <v>2020</v>
      </c>
      <c r="D74" s="19" t="s">
        <v>1909</v>
      </c>
      <c r="E74" s="10" t="s">
        <v>416</v>
      </c>
      <c r="F74" s="10" t="s">
        <v>417</v>
      </c>
      <c r="G74" s="10" t="s">
        <v>418</v>
      </c>
      <c r="H74" s="10" t="s">
        <v>419</v>
      </c>
      <c r="I74" s="10" t="s">
        <v>420</v>
      </c>
      <c r="J74" s="10" t="s">
        <v>421</v>
      </c>
      <c r="K74" s="10" t="s">
        <v>422</v>
      </c>
      <c r="L74" s="10" t="s">
        <v>423</v>
      </c>
      <c r="M74" s="10" t="s">
        <v>424</v>
      </c>
      <c r="N74" s="11" t="s">
        <v>425</v>
      </c>
      <c r="O74" s="11" t="s">
        <v>426</v>
      </c>
      <c r="P74" s="11" t="s">
        <v>427</v>
      </c>
      <c r="Q74" s="10" t="s">
        <v>428</v>
      </c>
      <c r="R74" s="11"/>
      <c r="S74" s="11"/>
    </row>
    <row r="75" spans="1:19" ht="12.75">
      <c r="A75" s="9" t="s">
        <v>307</v>
      </c>
      <c r="B75" s="9" t="s">
        <v>429</v>
      </c>
      <c r="C75" s="19">
        <v>2020</v>
      </c>
      <c r="D75" s="19" t="s">
        <v>1909</v>
      </c>
      <c r="E75" s="10" t="s">
        <v>430</v>
      </c>
      <c r="F75" s="10" t="s">
        <v>431</v>
      </c>
      <c r="G75" s="10" t="s">
        <v>432</v>
      </c>
      <c r="H75" s="10" t="s">
        <v>433</v>
      </c>
      <c r="I75" s="10" t="s">
        <v>434</v>
      </c>
      <c r="J75" s="10"/>
      <c r="K75" s="10"/>
      <c r="L75" s="10"/>
      <c r="M75" s="10"/>
      <c r="N75" s="11"/>
      <c r="O75" s="11"/>
      <c r="P75" s="11"/>
      <c r="Q75" s="10"/>
      <c r="R75" s="11"/>
      <c r="S75" s="11"/>
    </row>
    <row r="76" spans="1:19" ht="12.75">
      <c r="A76" s="9" t="s">
        <v>307</v>
      </c>
      <c r="B76" s="9" t="s">
        <v>435</v>
      </c>
      <c r="C76" s="19">
        <v>2020</v>
      </c>
      <c r="D76" s="19" t="s">
        <v>1909</v>
      </c>
      <c r="E76" s="10" t="s">
        <v>436</v>
      </c>
      <c r="F76" s="10" t="s">
        <v>437</v>
      </c>
      <c r="G76" s="10" t="s">
        <v>438</v>
      </c>
      <c r="H76" s="10" t="s">
        <v>439</v>
      </c>
      <c r="I76" s="10" t="s">
        <v>440</v>
      </c>
      <c r="J76" s="10" t="s">
        <v>441</v>
      </c>
      <c r="K76" s="10" t="s">
        <v>442</v>
      </c>
      <c r="L76" s="10" t="s">
        <v>443</v>
      </c>
      <c r="M76" s="10" t="s">
        <v>444</v>
      </c>
      <c r="N76" s="11" t="s">
        <v>445</v>
      </c>
      <c r="O76" s="11" t="s">
        <v>446</v>
      </c>
      <c r="P76" s="11" t="s">
        <v>447</v>
      </c>
      <c r="Q76" s="10"/>
      <c r="R76" s="11"/>
      <c r="S76" s="11"/>
    </row>
    <row r="77" spans="1:19" ht="12.75">
      <c r="A77" s="9" t="s">
        <v>307</v>
      </c>
      <c r="B77" s="9" t="s">
        <v>448</v>
      </c>
      <c r="C77" s="19">
        <v>2020</v>
      </c>
      <c r="D77" s="19" t="s">
        <v>1909</v>
      </c>
      <c r="E77" s="10" t="s">
        <v>449</v>
      </c>
      <c r="F77" s="10" t="s">
        <v>450</v>
      </c>
      <c r="G77" s="10" t="s">
        <v>451</v>
      </c>
      <c r="H77" s="10" t="s">
        <v>452</v>
      </c>
      <c r="I77" s="10" t="s">
        <v>453</v>
      </c>
      <c r="J77" s="10" t="s">
        <v>61</v>
      </c>
      <c r="K77" s="10" t="s">
        <v>454</v>
      </c>
      <c r="L77" s="10"/>
      <c r="M77" s="10"/>
      <c r="N77" s="11"/>
      <c r="O77" s="11"/>
      <c r="P77" s="11"/>
      <c r="Q77" s="10"/>
      <c r="R77" s="11"/>
      <c r="S77" s="11"/>
    </row>
    <row r="78" spans="1:19" ht="12.75">
      <c r="A78" s="9" t="s">
        <v>307</v>
      </c>
      <c r="B78" s="9" t="s">
        <v>455</v>
      </c>
      <c r="C78" s="19">
        <v>2020</v>
      </c>
      <c r="D78" s="19" t="s">
        <v>1909</v>
      </c>
      <c r="E78" s="10" t="s">
        <v>456</v>
      </c>
      <c r="F78" s="10" t="s">
        <v>457</v>
      </c>
      <c r="G78" s="10" t="s">
        <v>458</v>
      </c>
      <c r="H78" s="10" t="s">
        <v>459</v>
      </c>
      <c r="I78" s="10" t="s">
        <v>460</v>
      </c>
      <c r="J78" s="10" t="s">
        <v>461</v>
      </c>
      <c r="K78" s="10" t="s">
        <v>462</v>
      </c>
      <c r="L78" s="10"/>
      <c r="M78" s="10"/>
      <c r="N78" s="11"/>
      <c r="O78" s="11"/>
      <c r="P78" s="11"/>
      <c r="Q78" s="10"/>
      <c r="R78" s="11"/>
      <c r="S78" s="11"/>
    </row>
    <row r="79" spans="1:19" ht="12.75">
      <c r="A79" s="9" t="s">
        <v>307</v>
      </c>
      <c r="B79" s="9" t="s">
        <v>463</v>
      </c>
      <c r="C79" s="19">
        <v>2020</v>
      </c>
      <c r="D79" s="19" t="s">
        <v>1909</v>
      </c>
      <c r="E79" s="10" t="s">
        <v>464</v>
      </c>
      <c r="F79" s="10" t="s">
        <v>465</v>
      </c>
      <c r="G79" s="10" t="s">
        <v>466</v>
      </c>
      <c r="H79" s="10" t="s">
        <v>467</v>
      </c>
      <c r="I79" s="10" t="s">
        <v>468</v>
      </c>
      <c r="J79" s="10" t="s">
        <v>469</v>
      </c>
      <c r="K79" s="10" t="s">
        <v>470</v>
      </c>
      <c r="L79" s="10" t="s">
        <v>471</v>
      </c>
      <c r="M79" s="10"/>
      <c r="N79" s="11"/>
      <c r="O79" s="11"/>
      <c r="P79" s="11"/>
      <c r="Q79" s="10"/>
      <c r="R79" s="11"/>
      <c r="S79" s="11"/>
    </row>
    <row r="80" spans="1:19" ht="12.75">
      <c r="A80" s="9" t="s">
        <v>307</v>
      </c>
      <c r="B80" s="9" t="s">
        <v>472</v>
      </c>
      <c r="C80" s="19">
        <v>2020</v>
      </c>
      <c r="D80" s="19" t="s">
        <v>1909</v>
      </c>
      <c r="E80" s="10" t="s">
        <v>473</v>
      </c>
      <c r="F80" s="10" t="s">
        <v>474</v>
      </c>
      <c r="G80" s="10" t="s">
        <v>475</v>
      </c>
      <c r="H80" s="10" t="s">
        <v>476</v>
      </c>
      <c r="I80" s="10" t="s">
        <v>477</v>
      </c>
      <c r="J80" s="10" t="s">
        <v>478</v>
      </c>
      <c r="K80" s="10" t="s">
        <v>479</v>
      </c>
      <c r="L80" s="10"/>
      <c r="M80" s="10"/>
      <c r="N80" s="11"/>
      <c r="O80" s="11"/>
      <c r="P80" s="11"/>
      <c r="Q80" s="10"/>
      <c r="R80" s="11"/>
      <c r="S80" s="11"/>
    </row>
    <row r="81" spans="1:19" ht="12.75">
      <c r="A81" s="9" t="s">
        <v>307</v>
      </c>
      <c r="B81" s="9" t="s">
        <v>480</v>
      </c>
      <c r="C81" s="19">
        <v>2020</v>
      </c>
      <c r="D81" s="19" t="s">
        <v>1909</v>
      </c>
      <c r="E81" s="10" t="s">
        <v>481</v>
      </c>
      <c r="F81" s="10" t="s">
        <v>482</v>
      </c>
      <c r="G81" s="10" t="s">
        <v>483</v>
      </c>
      <c r="H81" s="10" t="s">
        <v>484</v>
      </c>
      <c r="I81" s="10" t="s">
        <v>485</v>
      </c>
      <c r="J81" s="10"/>
      <c r="K81" s="10"/>
      <c r="L81" s="10"/>
      <c r="M81" s="10"/>
      <c r="N81" s="11"/>
      <c r="O81" s="11"/>
      <c r="P81" s="11"/>
      <c r="Q81" s="10"/>
      <c r="R81" s="11"/>
      <c r="S81" s="11"/>
    </row>
    <row r="82" spans="1:19" ht="12.75">
      <c r="A82" s="9" t="s">
        <v>307</v>
      </c>
      <c r="B82" s="9" t="s">
        <v>486</v>
      </c>
      <c r="C82" s="19">
        <v>2020</v>
      </c>
      <c r="D82" s="19" t="s">
        <v>1909</v>
      </c>
      <c r="E82" s="10"/>
      <c r="F82" s="10"/>
      <c r="G82" s="10"/>
      <c r="H82" s="10"/>
      <c r="I82" s="10"/>
      <c r="J82" s="10"/>
      <c r="K82" s="10"/>
      <c r="L82" s="10"/>
      <c r="M82" s="10"/>
      <c r="N82" s="11"/>
      <c r="O82" s="11"/>
      <c r="P82" s="11"/>
      <c r="Q82" s="10"/>
      <c r="R82" s="11"/>
      <c r="S82" s="11"/>
    </row>
    <row r="83" spans="1:19" ht="12.75">
      <c r="A83" s="9" t="s">
        <v>307</v>
      </c>
      <c r="B83" s="9" t="s">
        <v>487</v>
      </c>
      <c r="C83" s="19">
        <v>2020</v>
      </c>
      <c r="D83" s="19" t="s">
        <v>1909</v>
      </c>
      <c r="E83" s="10"/>
      <c r="F83" s="10"/>
      <c r="G83" s="10"/>
      <c r="H83" s="10"/>
      <c r="I83" s="10"/>
      <c r="J83" s="10"/>
      <c r="K83" s="10"/>
      <c r="L83" s="10"/>
      <c r="M83" s="10"/>
      <c r="N83" s="11"/>
      <c r="O83" s="11"/>
      <c r="P83" s="11"/>
      <c r="Q83" s="10"/>
      <c r="R83" s="11"/>
      <c r="S83" s="11"/>
    </row>
    <row r="84" spans="1:19" ht="12.75">
      <c r="A84" s="9" t="s">
        <v>307</v>
      </c>
      <c r="B84" s="9" t="s">
        <v>488</v>
      </c>
      <c r="C84" s="19">
        <v>2020</v>
      </c>
      <c r="D84" s="19" t="s">
        <v>1909</v>
      </c>
      <c r="E84" s="10" t="s">
        <v>489</v>
      </c>
      <c r="F84" s="10" t="s">
        <v>490</v>
      </c>
      <c r="G84" s="10" t="s">
        <v>491</v>
      </c>
      <c r="H84" s="10" t="s">
        <v>1752</v>
      </c>
      <c r="I84" s="10" t="s">
        <v>1753</v>
      </c>
      <c r="J84" s="10" t="s">
        <v>492</v>
      </c>
      <c r="K84" s="10" t="s">
        <v>493</v>
      </c>
      <c r="L84" s="10"/>
      <c r="M84" s="10"/>
      <c r="N84" s="11"/>
      <c r="O84" s="11"/>
      <c r="P84" s="11"/>
      <c r="Q84" s="10"/>
      <c r="R84" s="11"/>
      <c r="S84" s="11"/>
    </row>
    <row r="85" spans="1:19" ht="12.75">
      <c r="A85" s="9" t="s">
        <v>307</v>
      </c>
      <c r="B85" s="9" t="s">
        <v>494</v>
      </c>
      <c r="C85" s="19">
        <v>2020</v>
      </c>
      <c r="D85" s="19" t="s">
        <v>1909</v>
      </c>
      <c r="E85" s="10" t="s">
        <v>495</v>
      </c>
      <c r="F85" s="10" t="s">
        <v>496</v>
      </c>
      <c r="G85" s="10" t="s">
        <v>497</v>
      </c>
      <c r="H85" s="10" t="s">
        <v>498</v>
      </c>
      <c r="I85" s="10" t="s">
        <v>499</v>
      </c>
      <c r="J85" s="10" t="s">
        <v>500</v>
      </c>
      <c r="K85" s="10" t="s">
        <v>501</v>
      </c>
      <c r="L85" s="10" t="s">
        <v>502</v>
      </c>
      <c r="M85" s="10" t="s">
        <v>503</v>
      </c>
      <c r="N85" s="11" t="s">
        <v>504</v>
      </c>
      <c r="O85" s="11"/>
      <c r="P85" s="11"/>
      <c r="Q85" s="10"/>
      <c r="R85" s="11"/>
      <c r="S85" s="11"/>
    </row>
    <row r="86" spans="1:19" ht="12.75">
      <c r="A86" s="9" t="s">
        <v>307</v>
      </c>
      <c r="B86" s="9" t="s">
        <v>505</v>
      </c>
      <c r="C86" s="19">
        <v>2020</v>
      </c>
      <c r="D86" s="19" t="s">
        <v>1909</v>
      </c>
      <c r="E86" s="10" t="s">
        <v>506</v>
      </c>
      <c r="F86" s="10" t="s">
        <v>507</v>
      </c>
      <c r="G86" s="10" t="s">
        <v>508</v>
      </c>
      <c r="H86" s="10" t="s">
        <v>509</v>
      </c>
      <c r="I86" s="10" t="s">
        <v>510</v>
      </c>
      <c r="J86" s="10" t="s">
        <v>511</v>
      </c>
      <c r="K86" s="10"/>
      <c r="L86" s="10"/>
      <c r="M86" s="10"/>
      <c r="N86" s="11"/>
      <c r="O86" s="11"/>
      <c r="P86" s="11"/>
      <c r="Q86" s="10"/>
      <c r="R86" s="11"/>
      <c r="S86" s="11"/>
    </row>
    <row r="87" spans="1:19" ht="12.75">
      <c r="A87" s="9" t="s">
        <v>307</v>
      </c>
      <c r="B87" s="9" t="s">
        <v>512</v>
      </c>
      <c r="C87" s="19">
        <v>2020</v>
      </c>
      <c r="D87" s="19" t="s">
        <v>1909</v>
      </c>
      <c r="E87" s="10" t="s">
        <v>513</v>
      </c>
      <c r="F87" s="10" t="s">
        <v>1754</v>
      </c>
      <c r="G87" s="10" t="s">
        <v>514</v>
      </c>
      <c r="H87" s="10" t="s">
        <v>1755</v>
      </c>
      <c r="I87" s="10" t="s">
        <v>515</v>
      </c>
      <c r="J87" s="10" t="s">
        <v>1756</v>
      </c>
      <c r="K87" s="10" t="s">
        <v>516</v>
      </c>
      <c r="L87" s="10" t="s">
        <v>517</v>
      </c>
      <c r="M87" s="10" t="s">
        <v>1757</v>
      </c>
      <c r="N87" s="11"/>
      <c r="O87" s="11"/>
      <c r="P87" s="11"/>
      <c r="Q87" s="10"/>
      <c r="R87" s="11"/>
      <c r="S87" s="11"/>
    </row>
    <row r="88" spans="1:19" ht="12.75">
      <c r="A88" s="9" t="s">
        <v>307</v>
      </c>
      <c r="B88" s="9" t="s">
        <v>518</v>
      </c>
      <c r="C88" s="19">
        <v>2020</v>
      </c>
      <c r="D88" s="19" t="s">
        <v>1909</v>
      </c>
      <c r="E88" s="10" t="s">
        <v>519</v>
      </c>
      <c r="F88" s="10" t="s">
        <v>520</v>
      </c>
      <c r="G88" s="10" t="s">
        <v>521</v>
      </c>
      <c r="H88" s="10" t="s">
        <v>522</v>
      </c>
      <c r="I88" s="10" t="s">
        <v>523</v>
      </c>
      <c r="J88" s="10" t="s">
        <v>524</v>
      </c>
      <c r="K88" s="10"/>
      <c r="L88" s="10"/>
      <c r="M88" s="10"/>
      <c r="N88" s="11"/>
      <c r="O88" s="11"/>
      <c r="P88" s="11"/>
      <c r="Q88" s="10"/>
      <c r="R88" s="11"/>
      <c r="S88" s="11"/>
    </row>
    <row r="89" spans="1:19" ht="12.75">
      <c r="A89" s="9" t="s">
        <v>307</v>
      </c>
      <c r="B89" s="9" t="s">
        <v>525</v>
      </c>
      <c r="C89" s="19">
        <v>2020</v>
      </c>
      <c r="D89" s="19" t="s">
        <v>1909</v>
      </c>
      <c r="E89" s="57" t="s">
        <v>1642</v>
      </c>
      <c r="F89" s="57" t="s">
        <v>1643</v>
      </c>
      <c r="G89" s="57" t="s">
        <v>1644</v>
      </c>
      <c r="H89" s="57" t="s">
        <v>1645</v>
      </c>
      <c r="I89" s="57" t="s">
        <v>1646</v>
      </c>
      <c r="J89" s="57" t="s">
        <v>1647</v>
      </c>
      <c r="K89" s="57" t="s">
        <v>1648</v>
      </c>
      <c r="L89" s="57" t="s">
        <v>1649</v>
      </c>
      <c r="M89" s="57" t="s">
        <v>1650</v>
      </c>
      <c r="N89" s="57" t="s">
        <v>1651</v>
      </c>
      <c r="O89" s="11"/>
      <c r="P89" s="11"/>
      <c r="Q89" s="10"/>
      <c r="R89" s="11"/>
      <c r="S89" s="11"/>
    </row>
    <row r="90" spans="1:19" ht="12.75">
      <c r="A90" s="9" t="s">
        <v>307</v>
      </c>
      <c r="B90" s="9" t="s">
        <v>526</v>
      </c>
      <c r="C90" s="19">
        <v>2020</v>
      </c>
      <c r="D90" s="19" t="s">
        <v>1909</v>
      </c>
      <c r="E90" s="17" t="s">
        <v>527</v>
      </c>
      <c r="F90" s="17" t="s">
        <v>1758</v>
      </c>
      <c r="G90" s="17" t="s">
        <v>1759</v>
      </c>
      <c r="H90" s="17" t="s">
        <v>1760</v>
      </c>
      <c r="I90" s="17" t="s">
        <v>1761</v>
      </c>
      <c r="J90" s="17" t="s">
        <v>528</v>
      </c>
      <c r="K90" s="10"/>
      <c r="L90" s="10"/>
      <c r="M90" s="10"/>
      <c r="N90" s="11"/>
      <c r="O90" s="11"/>
      <c r="P90" s="11"/>
      <c r="Q90" s="10"/>
      <c r="R90" s="11"/>
      <c r="S90" s="11"/>
    </row>
    <row r="91" spans="1:19" ht="12.75">
      <c r="A91" s="9" t="s">
        <v>307</v>
      </c>
      <c r="B91" s="9" t="s">
        <v>529</v>
      </c>
      <c r="C91" s="19">
        <v>2020</v>
      </c>
      <c r="D91" s="19" t="s">
        <v>1909</v>
      </c>
      <c r="E91" s="10"/>
      <c r="F91" s="10"/>
      <c r="G91" s="10"/>
      <c r="H91" s="10"/>
      <c r="I91" s="10"/>
      <c r="J91" s="10"/>
      <c r="K91" s="10"/>
      <c r="L91" s="10"/>
      <c r="M91" s="10"/>
      <c r="N91" s="11"/>
      <c r="O91" s="11"/>
      <c r="P91" s="11"/>
      <c r="Q91" s="10"/>
      <c r="R91" s="11"/>
      <c r="S91" s="11"/>
    </row>
    <row r="92" spans="1:19" ht="12.75">
      <c r="A92" s="9" t="s">
        <v>307</v>
      </c>
      <c r="B92" s="9" t="s">
        <v>530</v>
      </c>
      <c r="C92" s="19">
        <v>2020</v>
      </c>
      <c r="D92" s="19" t="s">
        <v>1909</v>
      </c>
      <c r="E92" s="10"/>
      <c r="F92" s="10"/>
      <c r="G92" s="10"/>
      <c r="H92" s="10"/>
      <c r="I92" s="10"/>
      <c r="J92" s="10"/>
      <c r="K92" s="10"/>
      <c r="L92" s="10"/>
      <c r="M92" s="10"/>
      <c r="N92" s="11"/>
      <c r="O92" s="11"/>
      <c r="P92" s="11"/>
      <c r="Q92" s="10"/>
      <c r="R92" s="11"/>
      <c r="S92" s="11"/>
    </row>
    <row r="93" spans="1:19" ht="12.75">
      <c r="A93" s="9" t="s">
        <v>307</v>
      </c>
      <c r="B93" s="9" t="s">
        <v>531</v>
      </c>
      <c r="C93" s="19">
        <v>2020</v>
      </c>
      <c r="D93" s="19" t="s">
        <v>1909</v>
      </c>
      <c r="E93" s="10"/>
      <c r="F93" s="10"/>
      <c r="G93" s="10"/>
      <c r="H93" s="10"/>
      <c r="I93" s="10"/>
      <c r="J93" s="10"/>
      <c r="K93" s="10"/>
      <c r="L93" s="10"/>
      <c r="M93" s="10"/>
      <c r="N93" s="11"/>
      <c r="O93" s="11"/>
      <c r="P93" s="11"/>
      <c r="Q93" s="10"/>
      <c r="R93" s="11"/>
      <c r="S93" s="11"/>
    </row>
    <row r="94" spans="1:19" ht="12.75">
      <c r="A94" s="9" t="s">
        <v>307</v>
      </c>
      <c r="B94" s="9" t="s">
        <v>532</v>
      </c>
      <c r="C94" s="19">
        <v>2020</v>
      </c>
      <c r="D94" s="19" t="s">
        <v>1909</v>
      </c>
      <c r="E94" s="10"/>
      <c r="F94" s="10"/>
      <c r="G94" s="10"/>
      <c r="H94" s="10"/>
      <c r="I94" s="10"/>
      <c r="J94" s="10"/>
      <c r="K94" s="10"/>
      <c r="L94" s="10"/>
      <c r="M94" s="10"/>
      <c r="N94" s="11"/>
      <c r="O94" s="11"/>
      <c r="P94" s="11"/>
      <c r="Q94" s="10"/>
      <c r="R94" s="11"/>
      <c r="S94" s="11"/>
    </row>
    <row r="95" spans="1:19" ht="12.75">
      <c r="A95" s="9" t="s">
        <v>307</v>
      </c>
      <c r="B95" s="9" t="s">
        <v>533</v>
      </c>
      <c r="C95" s="19">
        <v>2020</v>
      </c>
      <c r="D95" s="19" t="s">
        <v>1909</v>
      </c>
      <c r="E95" s="10" t="s">
        <v>534</v>
      </c>
      <c r="F95" s="10" t="s">
        <v>535</v>
      </c>
      <c r="G95" s="10" t="s">
        <v>536</v>
      </c>
      <c r="H95" s="10" t="s">
        <v>537</v>
      </c>
      <c r="I95" s="10" t="s">
        <v>538</v>
      </c>
      <c r="J95" s="10" t="s">
        <v>539</v>
      </c>
      <c r="K95" s="10" t="s">
        <v>540</v>
      </c>
      <c r="L95" s="10" t="s">
        <v>541</v>
      </c>
      <c r="M95" s="10"/>
      <c r="N95" s="11"/>
      <c r="O95" s="11"/>
      <c r="P95" s="11"/>
      <c r="Q95" s="10"/>
      <c r="R95" s="11"/>
      <c r="S95" s="11"/>
    </row>
    <row r="96" spans="1:19" ht="12.75">
      <c r="A96" s="9" t="s">
        <v>307</v>
      </c>
      <c r="B96" s="19" t="s">
        <v>542</v>
      </c>
      <c r="C96" s="19">
        <v>2020</v>
      </c>
      <c r="D96" s="19" t="s">
        <v>1909</v>
      </c>
      <c r="E96" s="10" t="s">
        <v>543</v>
      </c>
      <c r="F96" s="10" t="s">
        <v>544</v>
      </c>
      <c r="G96" s="10" t="s">
        <v>545</v>
      </c>
      <c r="H96" s="10" t="s">
        <v>546</v>
      </c>
      <c r="I96" s="10" t="s">
        <v>547</v>
      </c>
      <c r="J96" s="10" t="s">
        <v>548</v>
      </c>
      <c r="K96" s="10" t="s">
        <v>549</v>
      </c>
      <c r="L96" s="10" t="s">
        <v>550</v>
      </c>
      <c r="M96" s="10"/>
      <c r="N96" s="11"/>
      <c r="O96" s="11"/>
      <c r="P96" s="11"/>
      <c r="Q96" s="10"/>
      <c r="R96" s="11"/>
      <c r="S96" s="11"/>
    </row>
    <row r="97" spans="1:19" ht="12.75">
      <c r="A97" s="9" t="s">
        <v>307</v>
      </c>
      <c r="B97" s="9" t="s">
        <v>551</v>
      </c>
      <c r="C97" s="19">
        <v>2020</v>
      </c>
      <c r="D97" s="19" t="s">
        <v>1909</v>
      </c>
      <c r="E97" s="10" t="s">
        <v>552</v>
      </c>
      <c r="F97" s="10" t="s">
        <v>553</v>
      </c>
      <c r="G97" s="10" t="s">
        <v>554</v>
      </c>
      <c r="H97" s="10" t="s">
        <v>555</v>
      </c>
      <c r="I97" s="10" t="s">
        <v>556</v>
      </c>
      <c r="J97" s="10" t="s">
        <v>557</v>
      </c>
      <c r="K97" s="10" t="s">
        <v>558</v>
      </c>
      <c r="L97" s="10" t="s">
        <v>559</v>
      </c>
      <c r="M97" s="10" t="s">
        <v>560</v>
      </c>
      <c r="N97" s="11" t="s">
        <v>561</v>
      </c>
      <c r="O97" s="11"/>
      <c r="P97" s="11"/>
      <c r="Q97" s="10"/>
      <c r="R97" s="11"/>
      <c r="S97" s="11"/>
    </row>
    <row r="98" spans="1:19" ht="12.75">
      <c r="A98" s="9" t="s">
        <v>562</v>
      </c>
      <c r="B98" s="9" t="s">
        <v>563</v>
      </c>
      <c r="C98" s="19">
        <v>2020</v>
      </c>
      <c r="D98" s="19" t="s">
        <v>1909</v>
      </c>
      <c r="E98" s="10" t="s">
        <v>564</v>
      </c>
      <c r="F98" s="10" t="s">
        <v>565</v>
      </c>
      <c r="G98" s="10" t="s">
        <v>566</v>
      </c>
      <c r="H98" s="10" t="s">
        <v>567</v>
      </c>
      <c r="I98" s="10" t="s">
        <v>568</v>
      </c>
      <c r="J98" s="10" t="s">
        <v>569</v>
      </c>
      <c r="K98" s="10" t="s">
        <v>570</v>
      </c>
      <c r="L98" s="10" t="s">
        <v>571</v>
      </c>
      <c r="M98" s="10"/>
      <c r="N98" s="11"/>
      <c r="O98" s="11"/>
      <c r="P98" s="11"/>
      <c r="Q98" s="10"/>
      <c r="R98" s="11"/>
      <c r="S98" s="11"/>
    </row>
    <row r="99" spans="1:19" ht="12.75">
      <c r="A99" s="9" t="s">
        <v>562</v>
      </c>
      <c r="B99" s="9" t="s">
        <v>572</v>
      </c>
      <c r="C99" s="19">
        <v>2020</v>
      </c>
      <c r="D99" s="19" t="s">
        <v>1909</v>
      </c>
      <c r="E99" s="10" t="s">
        <v>573</v>
      </c>
      <c r="F99" s="10" t="s">
        <v>574</v>
      </c>
      <c r="G99" s="10" t="s">
        <v>575</v>
      </c>
      <c r="H99" s="10" t="s">
        <v>576</v>
      </c>
      <c r="I99" s="10" t="s">
        <v>577</v>
      </c>
      <c r="J99" s="10" t="s">
        <v>578</v>
      </c>
      <c r="K99" s="10" t="s">
        <v>579</v>
      </c>
      <c r="L99" s="10" t="s">
        <v>580</v>
      </c>
      <c r="M99" s="10" t="s">
        <v>581</v>
      </c>
      <c r="N99" s="11"/>
      <c r="O99" s="11"/>
      <c r="P99" s="11"/>
      <c r="Q99" s="10"/>
      <c r="R99" s="11"/>
      <c r="S99" s="11"/>
    </row>
    <row r="100" spans="1:19" ht="12.75">
      <c r="A100" s="9" t="s">
        <v>562</v>
      </c>
      <c r="B100" s="9" t="s">
        <v>582</v>
      </c>
      <c r="C100" s="19">
        <v>2020</v>
      </c>
      <c r="D100" s="19" t="s">
        <v>1909</v>
      </c>
      <c r="E100" s="10" t="s">
        <v>583</v>
      </c>
      <c r="F100" s="10" t="s">
        <v>584</v>
      </c>
      <c r="G100" s="10" t="s">
        <v>585</v>
      </c>
      <c r="H100" s="10" t="s">
        <v>586</v>
      </c>
      <c r="I100" s="10" t="s">
        <v>587</v>
      </c>
      <c r="J100" s="10" t="s">
        <v>588</v>
      </c>
      <c r="K100" s="10" t="s">
        <v>589</v>
      </c>
      <c r="L100" s="10" t="s">
        <v>590</v>
      </c>
      <c r="M100" s="10"/>
      <c r="N100" s="11"/>
      <c r="O100" s="11"/>
      <c r="P100" s="11"/>
      <c r="Q100" s="10"/>
      <c r="R100" s="11"/>
      <c r="S100" s="11"/>
    </row>
    <row r="101" spans="1:19" ht="12.75">
      <c r="A101" s="9" t="s">
        <v>562</v>
      </c>
      <c r="B101" s="9" t="s">
        <v>591</v>
      </c>
      <c r="C101" s="19">
        <v>2020</v>
      </c>
      <c r="D101" s="19" t="s">
        <v>1909</v>
      </c>
      <c r="E101" s="10" t="s">
        <v>592</v>
      </c>
      <c r="F101" s="10" t="s">
        <v>593</v>
      </c>
      <c r="G101" s="10" t="s">
        <v>594</v>
      </c>
      <c r="H101" s="10" t="s">
        <v>595</v>
      </c>
      <c r="I101" s="10"/>
      <c r="J101" s="10"/>
      <c r="K101" s="10"/>
      <c r="L101" s="10"/>
      <c r="M101" s="10"/>
      <c r="N101" s="11"/>
      <c r="O101" s="11"/>
      <c r="P101" s="11"/>
      <c r="Q101" s="10"/>
      <c r="R101" s="11"/>
      <c r="S101" s="11"/>
    </row>
    <row r="102" spans="1:19" ht="12.75">
      <c r="A102" s="9" t="s">
        <v>562</v>
      </c>
      <c r="B102" s="9" t="s">
        <v>596</v>
      </c>
      <c r="C102" s="19">
        <v>2020</v>
      </c>
      <c r="D102" s="19" t="s">
        <v>1909</v>
      </c>
      <c r="E102" s="10" t="s">
        <v>597</v>
      </c>
      <c r="F102" s="10" t="s">
        <v>598</v>
      </c>
      <c r="G102" s="10" t="s">
        <v>599</v>
      </c>
      <c r="H102" s="10" t="s">
        <v>600</v>
      </c>
      <c r="I102" s="10" t="s">
        <v>601</v>
      </c>
      <c r="J102" s="10"/>
      <c r="K102" s="10"/>
      <c r="L102" s="10"/>
      <c r="M102" s="10"/>
      <c r="N102" s="11"/>
      <c r="O102" s="11"/>
      <c r="P102" s="11"/>
      <c r="Q102" s="10"/>
      <c r="R102" s="11"/>
      <c r="S102" s="11"/>
    </row>
    <row r="103" spans="1:19" ht="12.75">
      <c r="A103" s="9" t="s">
        <v>562</v>
      </c>
      <c r="B103" s="9" t="s">
        <v>602</v>
      </c>
      <c r="C103" s="19">
        <v>2020</v>
      </c>
      <c r="D103" s="19" t="s">
        <v>1909</v>
      </c>
      <c r="E103" s="10" t="s">
        <v>603</v>
      </c>
      <c r="F103" s="10" t="s">
        <v>604</v>
      </c>
      <c r="G103" s="10" t="s">
        <v>605</v>
      </c>
      <c r="H103" s="10" t="s">
        <v>606</v>
      </c>
      <c r="I103" s="10" t="s">
        <v>607</v>
      </c>
      <c r="J103" s="10" t="s">
        <v>608</v>
      </c>
      <c r="K103" s="10" t="s">
        <v>609</v>
      </c>
      <c r="L103" s="10"/>
      <c r="M103" s="10"/>
      <c r="N103" s="11"/>
      <c r="O103" s="11"/>
      <c r="P103" s="11"/>
      <c r="Q103" s="10"/>
      <c r="R103" s="11"/>
      <c r="S103" s="11"/>
    </row>
    <row r="104" spans="1:19" ht="12.75">
      <c r="A104" s="9" t="s">
        <v>562</v>
      </c>
      <c r="B104" s="9" t="s">
        <v>610</v>
      </c>
      <c r="C104" s="19">
        <v>2020</v>
      </c>
      <c r="D104" s="19" t="s">
        <v>1909</v>
      </c>
      <c r="E104" s="10" t="s">
        <v>45</v>
      </c>
      <c r="F104" s="10" t="s">
        <v>46</v>
      </c>
      <c r="G104" s="10" t="s">
        <v>1762</v>
      </c>
      <c r="H104" s="10" t="s">
        <v>1763</v>
      </c>
      <c r="I104" s="10" t="s">
        <v>1764</v>
      </c>
      <c r="J104" s="10" t="s">
        <v>1692</v>
      </c>
      <c r="K104" s="10" t="s">
        <v>1765</v>
      </c>
      <c r="L104" s="10" t="s">
        <v>611</v>
      </c>
      <c r="M104" s="10"/>
      <c r="N104" s="11"/>
      <c r="O104" s="11"/>
      <c r="P104" s="11"/>
      <c r="Q104" s="10"/>
      <c r="R104" s="11"/>
      <c r="S104" s="11"/>
    </row>
    <row r="105" spans="1:19" ht="12.75">
      <c r="A105" s="9" t="s">
        <v>562</v>
      </c>
      <c r="B105" s="9" t="s">
        <v>612</v>
      </c>
      <c r="C105" s="19">
        <v>2020</v>
      </c>
      <c r="D105" s="19" t="s">
        <v>1909</v>
      </c>
      <c r="E105" s="10" t="s">
        <v>45</v>
      </c>
      <c r="F105" s="10" t="s">
        <v>73</v>
      </c>
      <c r="G105" s="10" t="s">
        <v>1700</v>
      </c>
      <c r="H105" s="10" t="s">
        <v>74</v>
      </c>
      <c r="I105" s="10" t="s">
        <v>1766</v>
      </c>
      <c r="J105" s="10" t="s">
        <v>1767</v>
      </c>
      <c r="K105" s="10" t="s">
        <v>48</v>
      </c>
      <c r="L105" s="10"/>
      <c r="M105" s="10"/>
      <c r="N105" s="11"/>
      <c r="O105" s="11"/>
      <c r="P105" s="11"/>
      <c r="Q105" s="10"/>
      <c r="R105" s="11"/>
      <c r="S105" s="11"/>
    </row>
    <row r="106" spans="1:19" ht="12.75">
      <c r="A106" s="9" t="s">
        <v>562</v>
      </c>
      <c r="B106" s="9" t="s">
        <v>613</v>
      </c>
      <c r="C106" s="19">
        <v>2020</v>
      </c>
      <c r="D106" s="19" t="s">
        <v>1909</v>
      </c>
      <c r="E106" s="17" t="s">
        <v>614</v>
      </c>
      <c r="F106" s="17" t="s">
        <v>615</v>
      </c>
      <c r="G106" s="17" t="s">
        <v>616</v>
      </c>
      <c r="H106" s="17" t="s">
        <v>617</v>
      </c>
      <c r="I106" s="17" t="s">
        <v>618</v>
      </c>
      <c r="J106" s="17" t="s">
        <v>619</v>
      </c>
      <c r="K106" s="17" t="s">
        <v>620</v>
      </c>
      <c r="L106" s="17" t="s">
        <v>621</v>
      </c>
      <c r="M106" s="17" t="s">
        <v>622</v>
      </c>
      <c r="N106" s="17" t="s">
        <v>623</v>
      </c>
      <c r="O106" s="17" t="s">
        <v>624</v>
      </c>
      <c r="P106" s="17" t="s">
        <v>625</v>
      </c>
      <c r="Q106" s="17" t="s">
        <v>626</v>
      </c>
      <c r="R106" s="17" t="s">
        <v>627</v>
      </c>
      <c r="S106" s="17" t="s">
        <v>628</v>
      </c>
    </row>
    <row r="107" spans="1:19" ht="12.75">
      <c r="A107" s="9" t="s">
        <v>562</v>
      </c>
      <c r="B107" s="9" t="s">
        <v>629</v>
      </c>
      <c r="C107" s="19">
        <v>2020</v>
      </c>
      <c r="D107" s="19" t="s">
        <v>1909</v>
      </c>
      <c r="E107" s="10" t="s">
        <v>630</v>
      </c>
      <c r="F107" s="10" t="s">
        <v>631</v>
      </c>
      <c r="G107" s="10" t="s">
        <v>632</v>
      </c>
      <c r="H107" s="10" t="s">
        <v>633</v>
      </c>
      <c r="I107" s="10" t="s">
        <v>634</v>
      </c>
      <c r="J107" s="10" t="s">
        <v>635</v>
      </c>
      <c r="K107" s="10" t="s">
        <v>636</v>
      </c>
      <c r="L107" s="10" t="s">
        <v>637</v>
      </c>
      <c r="M107" s="10" t="s">
        <v>638</v>
      </c>
      <c r="N107" s="11" t="s">
        <v>639</v>
      </c>
      <c r="O107" s="11" t="s">
        <v>640</v>
      </c>
      <c r="P107" s="11" t="s">
        <v>641</v>
      </c>
      <c r="Q107" s="10"/>
      <c r="R107" s="11"/>
      <c r="S107" s="11"/>
    </row>
    <row r="108" spans="1:19" ht="12.75">
      <c r="A108" s="9" t="s">
        <v>562</v>
      </c>
      <c r="B108" s="9" t="s">
        <v>642</v>
      </c>
      <c r="C108" s="19">
        <v>2020</v>
      </c>
      <c r="D108" s="19" t="s">
        <v>1909</v>
      </c>
      <c r="E108" s="17" t="s">
        <v>643</v>
      </c>
      <c r="F108" s="17" t="s">
        <v>644</v>
      </c>
      <c r="G108" s="17" t="s">
        <v>645</v>
      </c>
      <c r="H108" s="17" t="s">
        <v>646</v>
      </c>
      <c r="I108" s="17" t="s">
        <v>647</v>
      </c>
      <c r="J108" s="10"/>
      <c r="K108" s="10"/>
      <c r="L108" s="10"/>
      <c r="M108" s="10"/>
      <c r="N108" s="11"/>
      <c r="O108" s="11"/>
      <c r="P108" s="11"/>
      <c r="Q108" s="10"/>
      <c r="R108" s="11"/>
      <c r="S108" s="11"/>
    </row>
    <row r="109" spans="1:19" ht="12.75">
      <c r="A109" s="9" t="s">
        <v>562</v>
      </c>
      <c r="B109" s="9" t="s">
        <v>648</v>
      </c>
      <c r="C109" s="19">
        <v>2020</v>
      </c>
      <c r="D109" s="19" t="s">
        <v>1909</v>
      </c>
      <c r="E109" s="17" t="s">
        <v>649</v>
      </c>
      <c r="F109" s="10" t="s">
        <v>650</v>
      </c>
      <c r="G109" s="10" t="s">
        <v>651</v>
      </c>
      <c r="H109" s="10" t="s">
        <v>652</v>
      </c>
      <c r="I109" s="10" t="s">
        <v>653</v>
      </c>
      <c r="J109" s="10" t="s">
        <v>654</v>
      </c>
      <c r="K109" s="10" t="s">
        <v>655</v>
      </c>
      <c r="L109" s="10" t="s">
        <v>656</v>
      </c>
      <c r="M109" s="10" t="s">
        <v>657</v>
      </c>
      <c r="N109" s="11"/>
      <c r="O109" s="11"/>
      <c r="P109" s="11"/>
      <c r="Q109" s="10"/>
      <c r="R109" s="11"/>
      <c r="S109" s="11"/>
    </row>
    <row r="110" spans="1:19" ht="12.75">
      <c r="A110" s="9" t="s">
        <v>562</v>
      </c>
      <c r="B110" s="9" t="s">
        <v>658</v>
      </c>
      <c r="C110" s="19">
        <v>2020</v>
      </c>
      <c r="D110" s="19" t="s">
        <v>1909</v>
      </c>
      <c r="E110" s="10" t="s">
        <v>659</v>
      </c>
      <c r="F110" s="10" t="s">
        <v>660</v>
      </c>
      <c r="G110" s="10" t="s">
        <v>661</v>
      </c>
      <c r="H110" s="10" t="s">
        <v>662</v>
      </c>
      <c r="I110" s="10" t="s">
        <v>663</v>
      </c>
      <c r="J110" s="10" t="s">
        <v>664</v>
      </c>
      <c r="K110" s="10" t="s">
        <v>665</v>
      </c>
      <c r="L110" s="10"/>
      <c r="M110" s="10"/>
      <c r="N110" s="11"/>
      <c r="O110" s="11"/>
      <c r="P110" s="11"/>
      <c r="Q110" s="10"/>
      <c r="R110" s="11"/>
      <c r="S110" s="11"/>
    </row>
    <row r="111" spans="1:19" ht="12.75">
      <c r="A111" s="9" t="s">
        <v>562</v>
      </c>
      <c r="B111" s="9" t="s">
        <v>666</v>
      </c>
      <c r="C111" s="19">
        <v>2020</v>
      </c>
      <c r="D111" s="19" t="s">
        <v>1909</v>
      </c>
      <c r="E111" s="17" t="s">
        <v>667</v>
      </c>
      <c r="F111" s="17" t="s">
        <v>668</v>
      </c>
      <c r="G111" s="17" t="s">
        <v>669</v>
      </c>
      <c r="H111" s="17" t="s">
        <v>670</v>
      </c>
      <c r="I111" s="17" t="s">
        <v>671</v>
      </c>
      <c r="J111" s="17" t="s">
        <v>672</v>
      </c>
      <c r="K111" s="10"/>
      <c r="L111" s="10"/>
      <c r="M111" s="10"/>
      <c r="N111" s="11"/>
      <c r="O111" s="11"/>
      <c r="P111" s="11"/>
      <c r="Q111" s="10"/>
      <c r="R111" s="11"/>
      <c r="S111" s="11"/>
    </row>
    <row r="112" spans="1:19" ht="12.75">
      <c r="A112" s="9" t="s">
        <v>562</v>
      </c>
      <c r="B112" s="9" t="s">
        <v>673</v>
      </c>
      <c r="C112" s="19">
        <v>2020</v>
      </c>
      <c r="D112" s="19" t="s">
        <v>1909</v>
      </c>
      <c r="E112" s="10" t="s">
        <v>674</v>
      </c>
      <c r="F112" s="10" t="s">
        <v>675</v>
      </c>
      <c r="G112" s="10" t="s">
        <v>676</v>
      </c>
      <c r="H112" s="10" t="s">
        <v>677</v>
      </c>
      <c r="I112" s="10" t="s">
        <v>678</v>
      </c>
      <c r="J112" s="10"/>
      <c r="K112" s="10"/>
      <c r="L112" s="10"/>
      <c r="M112" s="10"/>
      <c r="N112" s="11"/>
      <c r="O112" s="11"/>
      <c r="P112" s="11"/>
      <c r="Q112" s="10"/>
      <c r="R112" s="11"/>
      <c r="S112" s="11"/>
    </row>
    <row r="113" spans="1:19" ht="12.75">
      <c r="A113" s="9" t="s">
        <v>562</v>
      </c>
      <c r="B113" s="9" t="s">
        <v>679</v>
      </c>
      <c r="C113" s="19">
        <v>2020</v>
      </c>
      <c r="D113" s="19" t="s">
        <v>1909</v>
      </c>
      <c r="E113" s="17" t="s">
        <v>680</v>
      </c>
      <c r="F113" s="17" t="s">
        <v>681</v>
      </c>
      <c r="G113" s="17" t="s">
        <v>682</v>
      </c>
      <c r="H113" s="17" t="s">
        <v>683</v>
      </c>
      <c r="I113" s="17" t="s">
        <v>684</v>
      </c>
      <c r="J113" s="17" t="s">
        <v>685</v>
      </c>
      <c r="K113" s="17" t="s">
        <v>686</v>
      </c>
      <c r="L113" s="10"/>
      <c r="M113" s="10"/>
      <c r="N113" s="11"/>
      <c r="O113" s="11"/>
      <c r="P113" s="11"/>
      <c r="Q113" s="10"/>
      <c r="R113" s="11"/>
      <c r="S113" s="11"/>
    </row>
    <row r="114" spans="1:19" ht="12.75">
      <c r="A114" s="9" t="s">
        <v>562</v>
      </c>
      <c r="B114" s="9" t="s">
        <v>687</v>
      </c>
      <c r="C114" s="19">
        <v>2020</v>
      </c>
      <c r="D114" s="19" t="s">
        <v>1909</v>
      </c>
      <c r="E114" s="10" t="s">
        <v>688</v>
      </c>
      <c r="F114" s="10" t="s">
        <v>689</v>
      </c>
      <c r="G114" s="10" t="s">
        <v>690</v>
      </c>
      <c r="H114" s="10" t="s">
        <v>691</v>
      </c>
      <c r="I114" s="10" t="s">
        <v>692</v>
      </c>
      <c r="J114" s="10" t="s">
        <v>693</v>
      </c>
      <c r="K114" s="10"/>
      <c r="L114" s="10"/>
      <c r="M114" s="10"/>
      <c r="N114" s="11"/>
      <c r="O114" s="11"/>
      <c r="P114" s="11"/>
      <c r="Q114" s="10"/>
      <c r="R114" s="11"/>
      <c r="S114" s="11"/>
    </row>
    <row r="115" spans="1:19" ht="12.75">
      <c r="A115" s="9" t="s">
        <v>562</v>
      </c>
      <c r="B115" s="9" t="s">
        <v>694</v>
      </c>
      <c r="C115" s="19">
        <v>2020</v>
      </c>
      <c r="D115" s="19" t="s">
        <v>1909</v>
      </c>
      <c r="E115" s="17" t="s">
        <v>695</v>
      </c>
      <c r="F115" s="17" t="s">
        <v>696</v>
      </c>
      <c r="G115" s="17" t="s">
        <v>697</v>
      </c>
      <c r="H115" s="17" t="s">
        <v>698</v>
      </c>
      <c r="I115" s="17" t="s">
        <v>699</v>
      </c>
      <c r="J115" s="10"/>
      <c r="K115" s="10"/>
      <c r="L115" s="10"/>
      <c r="M115" s="10"/>
      <c r="N115" s="11"/>
      <c r="O115" s="11"/>
      <c r="P115" s="11"/>
      <c r="Q115" s="10"/>
      <c r="R115" s="11"/>
      <c r="S115" s="11"/>
    </row>
    <row r="116" spans="1:19" ht="12.75">
      <c r="A116" s="9" t="s">
        <v>562</v>
      </c>
      <c r="B116" s="9" t="s">
        <v>700</v>
      </c>
      <c r="C116" s="19">
        <v>2020</v>
      </c>
      <c r="D116" s="19" t="s">
        <v>1909</v>
      </c>
      <c r="E116" s="17" t="s">
        <v>701</v>
      </c>
      <c r="F116" s="17" t="s">
        <v>702</v>
      </c>
      <c r="G116" s="17" t="s">
        <v>703</v>
      </c>
      <c r="H116" s="17" t="s">
        <v>704</v>
      </c>
      <c r="I116" s="10"/>
      <c r="J116" s="10"/>
      <c r="K116" s="10"/>
      <c r="L116" s="10"/>
      <c r="M116" s="10"/>
      <c r="N116" s="11"/>
      <c r="O116" s="11"/>
      <c r="P116" s="11"/>
      <c r="Q116" s="10"/>
      <c r="R116" s="11"/>
      <c r="S116" s="11"/>
    </row>
    <row r="117" spans="1:19" ht="12.75">
      <c r="A117" s="9" t="s">
        <v>562</v>
      </c>
      <c r="B117" s="9" t="s">
        <v>705</v>
      </c>
      <c r="C117" s="19">
        <v>2020</v>
      </c>
      <c r="D117" s="19" t="s">
        <v>1909</v>
      </c>
      <c r="E117" s="17" t="s">
        <v>706</v>
      </c>
      <c r="F117" s="17" t="s">
        <v>1768</v>
      </c>
      <c r="G117" s="17" t="s">
        <v>707</v>
      </c>
      <c r="H117" s="20" t="s">
        <v>708</v>
      </c>
      <c r="I117" s="20" t="s">
        <v>709</v>
      </c>
      <c r="J117" s="17"/>
      <c r="K117" s="10"/>
      <c r="L117" s="10"/>
      <c r="M117" s="17"/>
      <c r="N117" s="11"/>
      <c r="O117" s="11"/>
      <c r="P117" s="11"/>
      <c r="Q117" s="10"/>
      <c r="R117" s="11"/>
      <c r="S117" s="11"/>
    </row>
    <row r="118" spans="1:19" ht="12.75">
      <c r="A118" s="9" t="s">
        <v>562</v>
      </c>
      <c r="B118" s="9" t="s">
        <v>710</v>
      </c>
      <c r="C118" s="19">
        <v>2020</v>
      </c>
      <c r="D118" s="19" t="s">
        <v>1909</v>
      </c>
      <c r="E118" s="17" t="s">
        <v>711</v>
      </c>
      <c r="F118" s="17" t="s">
        <v>712</v>
      </c>
      <c r="G118" s="17" t="s">
        <v>713</v>
      </c>
      <c r="H118" s="17" t="s">
        <v>714</v>
      </c>
      <c r="I118" s="17"/>
      <c r="J118" s="10"/>
      <c r="K118" s="10"/>
      <c r="L118" s="10"/>
      <c r="M118" s="10"/>
      <c r="N118" s="11"/>
      <c r="O118" s="11"/>
      <c r="P118" s="11"/>
      <c r="Q118" s="10"/>
      <c r="R118" s="11"/>
      <c r="S118" s="11"/>
    </row>
    <row r="119" spans="1:19" ht="12.75">
      <c r="A119" s="9" t="s">
        <v>562</v>
      </c>
      <c r="B119" s="9" t="s">
        <v>715</v>
      </c>
      <c r="C119" s="19">
        <v>2020</v>
      </c>
      <c r="D119" s="19" t="s">
        <v>1909</v>
      </c>
      <c r="E119" s="10" t="s">
        <v>716</v>
      </c>
      <c r="F119" s="10" t="s">
        <v>717</v>
      </c>
      <c r="G119" s="10" t="s">
        <v>718</v>
      </c>
      <c r="H119" s="10" t="s">
        <v>719</v>
      </c>
      <c r="I119" s="10" t="s">
        <v>720</v>
      </c>
      <c r="J119" s="10" t="s">
        <v>721</v>
      </c>
      <c r="K119" s="10" t="s">
        <v>722</v>
      </c>
      <c r="L119" s="10" t="s">
        <v>723</v>
      </c>
      <c r="M119" s="10"/>
      <c r="N119" s="11"/>
      <c r="O119" s="11"/>
      <c r="P119" s="11"/>
      <c r="Q119" s="10"/>
      <c r="R119" s="11"/>
      <c r="S119" s="11"/>
    </row>
    <row r="120" spans="1:19" ht="12.75">
      <c r="A120" s="9" t="s">
        <v>562</v>
      </c>
      <c r="B120" s="9" t="s">
        <v>724</v>
      </c>
      <c r="C120" s="19">
        <v>2020</v>
      </c>
      <c r="D120" s="19" t="s">
        <v>1909</v>
      </c>
      <c r="E120" s="10" t="s">
        <v>725</v>
      </c>
      <c r="F120" s="10" t="s">
        <v>726</v>
      </c>
      <c r="G120" s="10" t="s">
        <v>727</v>
      </c>
      <c r="H120" s="10" t="s">
        <v>728</v>
      </c>
      <c r="I120" s="10"/>
      <c r="J120" s="10"/>
      <c r="K120" s="10"/>
      <c r="L120" s="10"/>
      <c r="M120" s="10"/>
      <c r="N120" s="11"/>
      <c r="O120" s="11"/>
      <c r="P120" s="11"/>
      <c r="Q120" s="10"/>
      <c r="R120" s="11"/>
      <c r="S120" s="11"/>
    </row>
    <row r="121" spans="1:19" ht="12.75">
      <c r="A121" s="9" t="s">
        <v>562</v>
      </c>
      <c r="B121" s="9" t="s">
        <v>729</v>
      </c>
      <c r="C121" s="19">
        <v>2020</v>
      </c>
      <c r="D121" s="19" t="s">
        <v>1909</v>
      </c>
      <c r="E121" s="10" t="s">
        <v>730</v>
      </c>
      <c r="F121" s="10" t="s">
        <v>731</v>
      </c>
      <c r="G121" s="10" t="s">
        <v>732</v>
      </c>
      <c r="H121" s="10" t="s">
        <v>733</v>
      </c>
      <c r="I121" s="10"/>
      <c r="J121" s="10"/>
      <c r="K121" s="10"/>
      <c r="L121" s="10"/>
      <c r="M121" s="10"/>
      <c r="N121" s="11"/>
      <c r="O121" s="11"/>
      <c r="P121" s="11"/>
      <c r="Q121" s="10"/>
      <c r="R121" s="11"/>
      <c r="S121" s="11"/>
    </row>
    <row r="122" spans="1:19" ht="12.75">
      <c r="A122" s="9" t="s">
        <v>562</v>
      </c>
      <c r="B122" s="9" t="s">
        <v>734</v>
      </c>
      <c r="C122" s="19">
        <v>2020</v>
      </c>
      <c r="D122" s="19" t="s">
        <v>1909</v>
      </c>
      <c r="E122" s="17" t="s">
        <v>735</v>
      </c>
      <c r="F122" s="17" t="s">
        <v>736</v>
      </c>
      <c r="G122" s="17" t="s">
        <v>737</v>
      </c>
      <c r="H122" s="17" t="s">
        <v>738</v>
      </c>
      <c r="I122" s="17" t="s">
        <v>739</v>
      </c>
      <c r="J122" s="17" t="s">
        <v>740</v>
      </c>
      <c r="K122" s="10"/>
      <c r="L122" s="10"/>
      <c r="M122" s="10"/>
      <c r="N122" s="11"/>
      <c r="O122" s="11"/>
      <c r="P122" s="11"/>
      <c r="Q122" s="10"/>
      <c r="R122" s="11"/>
      <c r="S122" s="11"/>
    </row>
    <row r="123" spans="1:19" ht="12.75">
      <c r="A123" s="9" t="s">
        <v>562</v>
      </c>
      <c r="B123" s="9" t="s">
        <v>741</v>
      </c>
      <c r="C123" s="19">
        <v>2020</v>
      </c>
      <c r="D123" s="19" t="s">
        <v>1909</v>
      </c>
      <c r="E123" s="10" t="s">
        <v>742</v>
      </c>
      <c r="F123" s="10" t="s">
        <v>743</v>
      </c>
      <c r="G123" s="10" t="s">
        <v>744</v>
      </c>
      <c r="H123" s="10" t="s">
        <v>745</v>
      </c>
      <c r="I123" s="10"/>
      <c r="J123" s="10"/>
      <c r="K123" s="10"/>
      <c r="L123" s="10"/>
      <c r="M123" s="10"/>
      <c r="N123" s="11"/>
      <c r="O123" s="11"/>
      <c r="P123" s="11"/>
      <c r="Q123" s="10"/>
      <c r="R123" s="11"/>
      <c r="S123" s="11"/>
    </row>
    <row r="124" spans="1:19" ht="12.75">
      <c r="A124" s="9" t="s">
        <v>562</v>
      </c>
      <c r="B124" s="9" t="s">
        <v>746</v>
      </c>
      <c r="C124" s="19">
        <v>2020</v>
      </c>
      <c r="D124" s="19" t="s">
        <v>1909</v>
      </c>
      <c r="E124" s="10" t="s">
        <v>747</v>
      </c>
      <c r="F124" s="10" t="s">
        <v>1769</v>
      </c>
      <c r="G124" s="10" t="s">
        <v>1770</v>
      </c>
      <c r="H124" s="10" t="s">
        <v>748</v>
      </c>
      <c r="I124" s="10" t="s">
        <v>749</v>
      </c>
      <c r="J124" s="10" t="s">
        <v>750</v>
      </c>
      <c r="K124" s="10"/>
      <c r="L124" s="10"/>
      <c r="M124" s="10"/>
      <c r="N124" s="11"/>
      <c r="O124" s="11"/>
      <c r="P124" s="11"/>
      <c r="Q124" s="10"/>
      <c r="R124" s="11"/>
      <c r="S124" s="11"/>
    </row>
    <row r="125" spans="1:19" ht="12.75">
      <c r="A125" s="9" t="s">
        <v>562</v>
      </c>
      <c r="B125" s="9" t="s">
        <v>751</v>
      </c>
      <c r="C125" s="19">
        <v>2020</v>
      </c>
      <c r="D125" s="19" t="s">
        <v>1909</v>
      </c>
      <c r="E125" s="10" t="s">
        <v>752</v>
      </c>
      <c r="F125" s="10" t="s">
        <v>753</v>
      </c>
      <c r="G125" s="10" t="s">
        <v>754</v>
      </c>
      <c r="H125" s="10" t="s">
        <v>1771</v>
      </c>
      <c r="I125" s="10" t="s">
        <v>1772</v>
      </c>
      <c r="J125" s="10"/>
      <c r="K125" s="10"/>
      <c r="L125" s="10"/>
      <c r="M125" s="10"/>
      <c r="N125" s="11"/>
      <c r="O125" s="11"/>
      <c r="P125" s="11"/>
      <c r="Q125" s="10"/>
      <c r="R125" s="11"/>
      <c r="S125" s="11"/>
    </row>
    <row r="126" spans="1:19" ht="12.75">
      <c r="A126" s="9" t="s">
        <v>562</v>
      </c>
      <c r="B126" s="9" t="s">
        <v>755</v>
      </c>
      <c r="C126" s="19">
        <v>2020</v>
      </c>
      <c r="D126" s="19" t="s">
        <v>1909</v>
      </c>
      <c r="E126" s="17" t="s">
        <v>756</v>
      </c>
      <c r="F126" s="17" t="s">
        <v>757</v>
      </c>
      <c r="G126" s="17" t="s">
        <v>758</v>
      </c>
      <c r="H126" s="17" t="s">
        <v>759</v>
      </c>
      <c r="I126" s="17" t="s">
        <v>760</v>
      </c>
      <c r="J126" s="17" t="s">
        <v>761</v>
      </c>
      <c r="K126" s="17" t="s">
        <v>762</v>
      </c>
      <c r="L126" s="10"/>
      <c r="M126" s="10"/>
      <c r="N126" s="11"/>
      <c r="O126" s="11"/>
      <c r="P126" s="11"/>
      <c r="Q126" s="10"/>
      <c r="R126" s="11"/>
      <c r="S126" s="11"/>
    </row>
    <row r="127" spans="1:19" ht="12.75">
      <c r="A127" s="9" t="s">
        <v>562</v>
      </c>
      <c r="B127" s="9" t="s">
        <v>763</v>
      </c>
      <c r="C127" s="19">
        <v>2020</v>
      </c>
      <c r="D127" s="19" t="s">
        <v>1909</v>
      </c>
      <c r="E127" s="17" t="s">
        <v>1773</v>
      </c>
      <c r="F127" s="17" t="s">
        <v>764</v>
      </c>
      <c r="G127" s="17" t="s">
        <v>765</v>
      </c>
      <c r="H127" s="17" t="s">
        <v>766</v>
      </c>
      <c r="I127" s="17" t="s">
        <v>767</v>
      </c>
      <c r="J127" s="17" t="s">
        <v>768</v>
      </c>
      <c r="K127" s="17"/>
      <c r="L127" s="10"/>
      <c r="M127" s="10"/>
      <c r="N127" s="11"/>
      <c r="O127" s="11"/>
      <c r="P127" s="11"/>
      <c r="Q127" s="10"/>
      <c r="R127" s="11"/>
      <c r="S127" s="11"/>
    </row>
    <row r="128" spans="1:19" ht="12.75">
      <c r="A128" s="9" t="s">
        <v>562</v>
      </c>
      <c r="B128" s="9" t="s">
        <v>769</v>
      </c>
      <c r="C128" s="19">
        <v>2020</v>
      </c>
      <c r="D128" s="19" t="s">
        <v>1909</v>
      </c>
      <c r="E128" s="17" t="s">
        <v>770</v>
      </c>
      <c r="F128" s="17" t="s">
        <v>771</v>
      </c>
      <c r="G128" s="17" t="s">
        <v>772</v>
      </c>
      <c r="H128" s="17" t="s">
        <v>773</v>
      </c>
      <c r="I128" s="17" t="s">
        <v>774</v>
      </c>
      <c r="J128" s="17" t="s">
        <v>775</v>
      </c>
      <c r="K128" s="17" t="s">
        <v>776</v>
      </c>
      <c r="L128" s="10" t="s">
        <v>777</v>
      </c>
      <c r="M128" s="10"/>
      <c r="N128" s="11"/>
      <c r="O128" s="11"/>
      <c r="P128" s="11"/>
      <c r="Q128" s="10"/>
      <c r="R128" s="11"/>
      <c r="S128" s="11"/>
    </row>
    <row r="129" spans="1:19" ht="12.75">
      <c r="A129" s="9" t="s">
        <v>562</v>
      </c>
      <c r="B129" s="9" t="s">
        <v>778</v>
      </c>
      <c r="C129" s="19">
        <v>2020</v>
      </c>
      <c r="D129" s="19" t="s">
        <v>1909</v>
      </c>
      <c r="E129" s="17" t="s">
        <v>779</v>
      </c>
      <c r="F129" s="17" t="s">
        <v>780</v>
      </c>
      <c r="G129" s="17" t="s">
        <v>1774</v>
      </c>
      <c r="H129" s="17" t="s">
        <v>781</v>
      </c>
      <c r="I129" s="17" t="s">
        <v>1775</v>
      </c>
      <c r="J129" s="17" t="s">
        <v>782</v>
      </c>
      <c r="K129" s="17"/>
      <c r="L129" s="10"/>
      <c r="M129" s="10"/>
      <c r="N129" s="11"/>
      <c r="O129" s="11"/>
      <c r="P129" s="11"/>
      <c r="Q129" s="10"/>
      <c r="R129" s="11"/>
      <c r="S129" s="11"/>
    </row>
    <row r="130" spans="1:19" ht="12.75">
      <c r="A130" s="9" t="s">
        <v>562</v>
      </c>
      <c r="B130" s="9" t="s">
        <v>783</v>
      </c>
      <c r="C130" s="19">
        <v>2020</v>
      </c>
      <c r="D130" s="19" t="s">
        <v>1909</v>
      </c>
      <c r="E130" s="17" t="s">
        <v>784</v>
      </c>
      <c r="F130" s="17" t="s">
        <v>785</v>
      </c>
      <c r="G130" s="17" t="s">
        <v>786</v>
      </c>
      <c r="H130" s="17"/>
      <c r="I130" s="17"/>
      <c r="J130" s="17"/>
      <c r="K130" s="17"/>
      <c r="L130" s="10"/>
      <c r="M130" s="10"/>
      <c r="N130" s="11"/>
      <c r="O130" s="11"/>
      <c r="P130" s="11"/>
      <c r="Q130" s="10"/>
      <c r="R130" s="11"/>
      <c r="S130" s="11"/>
    </row>
    <row r="131" spans="1:19" ht="12.75">
      <c r="A131" s="9" t="s">
        <v>562</v>
      </c>
      <c r="B131" s="9" t="s">
        <v>787</v>
      </c>
      <c r="C131" s="19">
        <v>2020</v>
      </c>
      <c r="D131" s="19" t="s">
        <v>1909</v>
      </c>
      <c r="E131" s="17" t="s">
        <v>788</v>
      </c>
      <c r="F131" s="17" t="s">
        <v>789</v>
      </c>
      <c r="G131" s="17" t="s">
        <v>1776</v>
      </c>
      <c r="H131" s="17" t="s">
        <v>790</v>
      </c>
      <c r="I131" s="17" t="s">
        <v>791</v>
      </c>
      <c r="J131" s="17" t="s">
        <v>792</v>
      </c>
      <c r="K131" s="17" t="s">
        <v>793</v>
      </c>
      <c r="L131" s="10" t="s">
        <v>794</v>
      </c>
      <c r="M131" s="10" t="s">
        <v>795</v>
      </c>
      <c r="N131" s="11" t="s">
        <v>796</v>
      </c>
      <c r="O131" s="11" t="s">
        <v>797</v>
      </c>
      <c r="P131" s="11" t="s">
        <v>798</v>
      </c>
      <c r="Q131" s="10" t="s">
        <v>799</v>
      </c>
      <c r="R131" s="11" t="s">
        <v>800</v>
      </c>
      <c r="S131" s="11"/>
    </row>
    <row r="132" spans="1:19" ht="12.75">
      <c r="A132" s="9" t="s">
        <v>562</v>
      </c>
      <c r="B132" s="9" t="s">
        <v>801</v>
      </c>
      <c r="C132" s="19">
        <v>2020</v>
      </c>
      <c r="D132" s="19" t="s">
        <v>1909</v>
      </c>
      <c r="E132" s="17"/>
      <c r="F132" s="17"/>
      <c r="G132" s="17"/>
      <c r="H132" s="17"/>
      <c r="I132" s="17"/>
      <c r="J132" s="17"/>
      <c r="K132" s="17"/>
      <c r="L132" s="10"/>
      <c r="M132" s="10"/>
      <c r="N132" s="11"/>
      <c r="O132" s="11"/>
      <c r="P132" s="11"/>
      <c r="Q132" s="10"/>
      <c r="R132" s="11"/>
      <c r="S132" s="11"/>
    </row>
    <row r="133" spans="1:19" ht="12.75">
      <c r="A133" s="9" t="s">
        <v>562</v>
      </c>
      <c r="B133" s="9" t="s">
        <v>802</v>
      </c>
      <c r="C133" s="19">
        <v>2020</v>
      </c>
      <c r="D133" s="19" t="s">
        <v>1909</v>
      </c>
      <c r="E133" s="17"/>
      <c r="F133" s="17"/>
      <c r="G133" s="17"/>
      <c r="H133" s="17"/>
      <c r="I133" s="17"/>
      <c r="J133" s="17"/>
      <c r="K133" s="17"/>
      <c r="L133" s="10"/>
      <c r="M133" s="10"/>
      <c r="N133" s="11"/>
      <c r="O133" s="11"/>
      <c r="P133" s="11"/>
      <c r="Q133" s="10"/>
      <c r="R133" s="11"/>
      <c r="S133" s="11"/>
    </row>
    <row r="134" spans="1:19" ht="12.75">
      <c r="A134" s="9" t="s">
        <v>803</v>
      </c>
      <c r="B134" s="9" t="s">
        <v>804</v>
      </c>
      <c r="C134" s="19">
        <v>2020</v>
      </c>
      <c r="D134" s="19" t="s">
        <v>1909</v>
      </c>
      <c r="E134" s="17" t="s">
        <v>805</v>
      </c>
      <c r="F134" s="17" t="s">
        <v>806</v>
      </c>
      <c r="G134" s="17" t="s">
        <v>807</v>
      </c>
      <c r="H134" s="17" t="s">
        <v>808</v>
      </c>
      <c r="I134" s="17" t="s">
        <v>809</v>
      </c>
      <c r="J134" s="17" t="s">
        <v>810</v>
      </c>
      <c r="K134" s="17" t="s">
        <v>811</v>
      </c>
      <c r="L134" s="10" t="s">
        <v>812</v>
      </c>
      <c r="M134" s="10"/>
      <c r="N134" s="11"/>
      <c r="O134" s="11"/>
      <c r="P134" s="11"/>
      <c r="Q134" s="10"/>
      <c r="R134" s="11"/>
      <c r="S134" s="11"/>
    </row>
    <row r="135" spans="1:19" ht="12.75">
      <c r="A135" s="9" t="s">
        <v>803</v>
      </c>
      <c r="B135" s="9" t="s">
        <v>813</v>
      </c>
      <c r="C135" s="19">
        <v>2020</v>
      </c>
      <c r="D135" s="19" t="s">
        <v>1909</v>
      </c>
      <c r="E135" s="17" t="s">
        <v>814</v>
      </c>
      <c r="F135" s="17" t="s">
        <v>815</v>
      </c>
      <c r="G135" s="17" t="s">
        <v>816</v>
      </c>
      <c r="H135" s="17" t="s">
        <v>817</v>
      </c>
      <c r="I135" s="17" t="s">
        <v>818</v>
      </c>
      <c r="J135" s="17" t="s">
        <v>819</v>
      </c>
      <c r="K135" s="17" t="s">
        <v>820</v>
      </c>
      <c r="L135" s="10" t="s">
        <v>821</v>
      </c>
      <c r="M135" s="10" t="s">
        <v>822</v>
      </c>
      <c r="N135" s="11" t="s">
        <v>823</v>
      </c>
      <c r="O135" s="11" t="s">
        <v>824</v>
      </c>
      <c r="P135" s="11" t="s">
        <v>825</v>
      </c>
      <c r="Q135" s="10" t="s">
        <v>826</v>
      </c>
      <c r="R135" s="11" t="s">
        <v>827</v>
      </c>
      <c r="S135" s="11"/>
    </row>
    <row r="136" spans="1:19" ht="12.75">
      <c r="A136" s="9" t="s">
        <v>803</v>
      </c>
      <c r="B136" s="9" t="s">
        <v>828</v>
      </c>
      <c r="C136" s="19">
        <v>2020</v>
      </c>
      <c r="D136" s="19" t="s">
        <v>1909</v>
      </c>
      <c r="E136" s="17" t="s">
        <v>829</v>
      </c>
      <c r="F136" s="17" t="s">
        <v>829</v>
      </c>
      <c r="G136" s="17" t="s">
        <v>829</v>
      </c>
      <c r="H136" s="17" t="s">
        <v>829</v>
      </c>
      <c r="I136" s="17" t="s">
        <v>829</v>
      </c>
      <c r="J136" s="17" t="s">
        <v>829</v>
      </c>
      <c r="K136" s="17"/>
      <c r="L136" s="10"/>
      <c r="M136" s="10"/>
      <c r="N136" s="11"/>
      <c r="O136" s="11"/>
      <c r="P136" s="11"/>
      <c r="Q136" s="10"/>
      <c r="R136" s="11"/>
      <c r="S136" s="11"/>
    </row>
    <row r="137" spans="1:19" ht="12.75">
      <c r="A137" s="9" t="s">
        <v>803</v>
      </c>
      <c r="B137" s="9" t="s">
        <v>830</v>
      </c>
      <c r="C137" s="19">
        <v>2020</v>
      </c>
      <c r="D137" s="19" t="s">
        <v>1909</v>
      </c>
      <c r="E137" s="17" t="s">
        <v>831</v>
      </c>
      <c r="F137" s="17" t="s">
        <v>832</v>
      </c>
      <c r="G137" s="17" t="s">
        <v>833</v>
      </c>
      <c r="H137" s="17" t="s">
        <v>834</v>
      </c>
      <c r="I137" s="17" t="s">
        <v>835</v>
      </c>
      <c r="J137" s="17" t="s">
        <v>836</v>
      </c>
      <c r="K137" s="17" t="s">
        <v>837</v>
      </c>
      <c r="L137" s="10" t="s">
        <v>838</v>
      </c>
      <c r="M137" s="10" t="s">
        <v>839</v>
      </c>
      <c r="N137" s="11" t="s">
        <v>833</v>
      </c>
      <c r="O137" s="11"/>
      <c r="P137" s="11"/>
      <c r="Q137" s="10"/>
      <c r="R137" s="11"/>
      <c r="S137" s="11"/>
    </row>
    <row r="138" spans="1:19" ht="12.75">
      <c r="A138" s="9" t="s">
        <v>803</v>
      </c>
      <c r="B138" s="9" t="s">
        <v>840</v>
      </c>
      <c r="C138" s="19">
        <v>2020</v>
      </c>
      <c r="D138" s="19" t="s">
        <v>1909</v>
      </c>
      <c r="E138" s="17" t="s">
        <v>841</v>
      </c>
      <c r="F138" s="17" t="s">
        <v>842</v>
      </c>
      <c r="G138" s="17" t="s">
        <v>843</v>
      </c>
      <c r="H138" s="17" t="s">
        <v>1777</v>
      </c>
      <c r="I138" s="17" t="s">
        <v>1778</v>
      </c>
      <c r="J138" s="17" t="s">
        <v>844</v>
      </c>
      <c r="K138" s="17" t="s">
        <v>845</v>
      </c>
      <c r="L138" s="10" t="s">
        <v>846</v>
      </c>
      <c r="M138" s="10" t="s">
        <v>847</v>
      </c>
      <c r="N138" s="11" t="s">
        <v>848</v>
      </c>
      <c r="O138" s="11" t="s">
        <v>1779</v>
      </c>
      <c r="P138" s="11" t="s">
        <v>849</v>
      </c>
      <c r="Q138" s="10" t="s">
        <v>850</v>
      </c>
      <c r="R138" s="11"/>
      <c r="S138" s="11"/>
    </row>
    <row r="139" spans="1:19" ht="12.75">
      <c r="A139" s="9" t="s">
        <v>803</v>
      </c>
      <c r="B139" s="9" t="s">
        <v>851</v>
      </c>
      <c r="C139" s="19">
        <v>2020</v>
      </c>
      <c r="D139" s="19" t="s">
        <v>1909</v>
      </c>
      <c r="E139" s="17" t="s">
        <v>852</v>
      </c>
      <c r="F139" s="17" t="s">
        <v>805</v>
      </c>
      <c r="G139" s="17" t="s">
        <v>806</v>
      </c>
      <c r="H139" s="17" t="s">
        <v>807</v>
      </c>
      <c r="I139" s="17" t="s">
        <v>808</v>
      </c>
      <c r="J139" s="17" t="s">
        <v>809</v>
      </c>
      <c r="K139" s="17" t="s">
        <v>810</v>
      </c>
      <c r="L139" s="10" t="s">
        <v>811</v>
      </c>
      <c r="M139" s="10" t="s">
        <v>853</v>
      </c>
      <c r="N139" s="11"/>
      <c r="O139" s="11"/>
      <c r="P139" s="11"/>
      <c r="Q139" s="10"/>
      <c r="R139" s="11"/>
      <c r="S139" s="11"/>
    </row>
    <row r="140" spans="1:19" ht="12.75">
      <c r="A140" s="9" t="s">
        <v>803</v>
      </c>
      <c r="B140" s="9" t="s">
        <v>854</v>
      </c>
      <c r="C140" s="19">
        <v>2020</v>
      </c>
      <c r="D140" s="19" t="s">
        <v>1909</v>
      </c>
      <c r="E140" s="17" t="s">
        <v>855</v>
      </c>
      <c r="F140" s="17" t="s">
        <v>856</v>
      </c>
      <c r="G140" s="17" t="s">
        <v>857</v>
      </c>
      <c r="H140" s="17" t="s">
        <v>858</v>
      </c>
      <c r="I140" s="17" t="s">
        <v>859</v>
      </c>
      <c r="J140" s="17" t="s">
        <v>860</v>
      </c>
      <c r="K140" s="17" t="s">
        <v>861</v>
      </c>
      <c r="L140" s="10" t="s">
        <v>862</v>
      </c>
      <c r="M140" s="10" t="s">
        <v>863</v>
      </c>
      <c r="N140" s="11" t="s">
        <v>864</v>
      </c>
      <c r="O140" s="11"/>
      <c r="P140" s="11"/>
      <c r="Q140" s="10"/>
      <c r="R140" s="11"/>
      <c r="S140" s="11"/>
    </row>
    <row r="141" spans="1:19" ht="12.75">
      <c r="A141" s="9" t="s">
        <v>803</v>
      </c>
      <c r="B141" s="9" t="s">
        <v>865</v>
      </c>
      <c r="C141" s="19">
        <v>2020</v>
      </c>
      <c r="D141" s="19" t="s">
        <v>1909</v>
      </c>
      <c r="E141" s="17" t="s">
        <v>866</v>
      </c>
      <c r="F141" s="17" t="s">
        <v>867</v>
      </c>
      <c r="G141" s="17" t="s">
        <v>1780</v>
      </c>
      <c r="H141" s="17" t="s">
        <v>868</v>
      </c>
      <c r="I141" s="17" t="s">
        <v>869</v>
      </c>
      <c r="J141" s="17" t="s">
        <v>870</v>
      </c>
      <c r="K141" s="17"/>
      <c r="L141" s="10"/>
      <c r="M141" s="10"/>
      <c r="N141" s="11"/>
      <c r="O141" s="11"/>
      <c r="P141" s="11"/>
      <c r="Q141" s="10"/>
      <c r="R141" s="11"/>
      <c r="S141" s="11"/>
    </row>
    <row r="142" spans="1:19" ht="12.75">
      <c r="A142" s="9" t="s">
        <v>803</v>
      </c>
      <c r="B142" s="9" t="s">
        <v>871</v>
      </c>
      <c r="C142" s="19">
        <v>2020</v>
      </c>
      <c r="D142" s="19" t="s">
        <v>1909</v>
      </c>
      <c r="E142" s="17" t="s">
        <v>872</v>
      </c>
      <c r="F142" s="17" t="s">
        <v>873</v>
      </c>
      <c r="G142" s="17" t="s">
        <v>874</v>
      </c>
      <c r="H142" s="17" t="s">
        <v>875</v>
      </c>
      <c r="I142" s="17" t="s">
        <v>1781</v>
      </c>
      <c r="J142" s="17" t="s">
        <v>876</v>
      </c>
      <c r="K142" s="17" t="s">
        <v>877</v>
      </c>
      <c r="L142" s="10"/>
      <c r="M142" s="10"/>
      <c r="N142" s="11"/>
      <c r="O142" s="11"/>
      <c r="P142" s="11"/>
      <c r="Q142" s="10"/>
      <c r="R142" s="11"/>
      <c r="S142" s="11"/>
    </row>
    <row r="143" spans="1:19" ht="12.75">
      <c r="A143" s="9" t="s">
        <v>803</v>
      </c>
      <c r="B143" s="9" t="s">
        <v>878</v>
      </c>
      <c r="C143" s="19">
        <v>2020</v>
      </c>
      <c r="D143" s="19" t="s">
        <v>1909</v>
      </c>
      <c r="E143" s="10"/>
      <c r="F143" s="10"/>
      <c r="G143" s="10"/>
      <c r="H143" s="10"/>
      <c r="I143" s="10"/>
      <c r="J143" s="10"/>
      <c r="K143" s="10"/>
      <c r="L143" s="10"/>
      <c r="M143" s="10"/>
      <c r="N143" s="11"/>
      <c r="O143" s="11"/>
      <c r="P143" s="11"/>
      <c r="Q143" s="10"/>
      <c r="R143" s="11"/>
      <c r="S143" s="11"/>
    </row>
    <row r="144" spans="1:19">
      <c r="A144" s="9" t="s">
        <v>803</v>
      </c>
      <c r="B144" s="9" t="s">
        <v>879</v>
      </c>
      <c r="C144" s="19">
        <v>2020</v>
      </c>
      <c r="D144" s="19" t="s">
        <v>1909</v>
      </c>
      <c r="E144" s="21" t="s">
        <v>880</v>
      </c>
      <c r="F144" s="22" t="s">
        <v>881</v>
      </c>
      <c r="G144" s="22" t="s">
        <v>882</v>
      </c>
      <c r="H144" s="22" t="s">
        <v>883</v>
      </c>
      <c r="I144" s="22" t="s">
        <v>1782</v>
      </c>
      <c r="J144" s="22" t="s">
        <v>884</v>
      </c>
      <c r="K144" s="22" t="s">
        <v>885</v>
      </c>
      <c r="L144" s="22" t="s">
        <v>886</v>
      </c>
      <c r="M144" s="22" t="s">
        <v>887</v>
      </c>
      <c r="N144" s="22" t="s">
        <v>888</v>
      </c>
      <c r="O144" s="17"/>
      <c r="P144" s="11"/>
      <c r="Q144" s="10"/>
      <c r="R144" s="11"/>
      <c r="S144" s="11"/>
    </row>
    <row r="145" spans="1:19" ht="12.75">
      <c r="A145" s="9" t="s">
        <v>803</v>
      </c>
      <c r="B145" s="9" t="s">
        <v>889</v>
      </c>
      <c r="C145" s="19">
        <v>2020</v>
      </c>
      <c r="D145" s="19" t="s">
        <v>1909</v>
      </c>
      <c r="E145" s="10"/>
      <c r="F145" s="10"/>
      <c r="G145" s="10"/>
      <c r="H145" s="10"/>
      <c r="I145" s="10"/>
      <c r="J145" s="10"/>
      <c r="K145" s="10"/>
      <c r="L145" s="10"/>
      <c r="M145" s="10"/>
      <c r="N145" s="11"/>
      <c r="O145" s="11"/>
      <c r="P145" s="11"/>
      <c r="Q145" s="10"/>
      <c r="R145" s="11"/>
      <c r="S145" s="11"/>
    </row>
    <row r="146" spans="1:19" ht="12.75">
      <c r="A146" s="9" t="s">
        <v>803</v>
      </c>
      <c r="B146" s="9" t="s">
        <v>890</v>
      </c>
      <c r="C146" s="19">
        <v>2020</v>
      </c>
      <c r="D146" s="19" t="s">
        <v>1909</v>
      </c>
      <c r="E146" s="17" t="s">
        <v>891</v>
      </c>
      <c r="F146" s="17" t="s">
        <v>892</v>
      </c>
      <c r="G146" s="17" t="s">
        <v>893</v>
      </c>
      <c r="H146" s="17" t="s">
        <v>894</v>
      </c>
      <c r="I146" s="17" t="s">
        <v>895</v>
      </c>
      <c r="J146" s="17" t="s">
        <v>896</v>
      </c>
      <c r="K146" s="10"/>
      <c r="L146" s="10"/>
      <c r="M146" s="10"/>
      <c r="N146" s="11"/>
      <c r="O146" s="11"/>
      <c r="P146" s="11"/>
      <c r="Q146" s="10"/>
      <c r="R146" s="11"/>
      <c r="S146" s="11"/>
    </row>
    <row r="147" spans="1:19" ht="12.75">
      <c r="A147" s="9" t="s">
        <v>803</v>
      </c>
      <c r="B147" s="9" t="s">
        <v>897</v>
      </c>
      <c r="C147" s="19">
        <v>2020</v>
      </c>
      <c r="D147" s="19" t="s">
        <v>1909</v>
      </c>
      <c r="E147" s="10" t="s">
        <v>898</v>
      </c>
      <c r="F147" s="10" t="s">
        <v>899</v>
      </c>
      <c r="G147" s="10" t="s">
        <v>1783</v>
      </c>
      <c r="H147" s="10" t="s">
        <v>900</v>
      </c>
      <c r="I147" s="10" t="s">
        <v>901</v>
      </c>
      <c r="J147" s="10"/>
      <c r="K147" s="10"/>
      <c r="L147" s="10"/>
      <c r="M147" s="10"/>
      <c r="N147" s="11"/>
      <c r="O147" s="11"/>
      <c r="P147" s="11"/>
      <c r="Q147" s="10"/>
      <c r="R147" s="11"/>
      <c r="S147" s="11"/>
    </row>
    <row r="148" spans="1:19" ht="12.75">
      <c r="A148" s="9" t="s">
        <v>803</v>
      </c>
      <c r="B148" s="9" t="s">
        <v>902</v>
      </c>
      <c r="C148" s="19">
        <v>2020</v>
      </c>
      <c r="D148" s="19" t="s">
        <v>1909</v>
      </c>
      <c r="E148" s="17" t="s">
        <v>903</v>
      </c>
      <c r="F148" s="17" t="s">
        <v>904</v>
      </c>
      <c r="G148" s="17" t="s">
        <v>905</v>
      </c>
      <c r="H148" s="17" t="s">
        <v>1784</v>
      </c>
      <c r="I148" s="17" t="s">
        <v>1785</v>
      </c>
      <c r="J148" s="17" t="s">
        <v>906</v>
      </c>
      <c r="K148" s="17" t="s">
        <v>907</v>
      </c>
      <c r="L148" s="17" t="s">
        <v>908</v>
      </c>
      <c r="M148" s="17" t="s">
        <v>909</v>
      </c>
      <c r="N148" s="11"/>
      <c r="O148" s="11"/>
      <c r="P148" s="11"/>
      <c r="Q148" s="10"/>
      <c r="R148" s="11"/>
      <c r="S148" s="11"/>
    </row>
    <row r="149" spans="1:19" ht="12.75">
      <c r="A149" s="9" t="s">
        <v>803</v>
      </c>
      <c r="B149" s="9" t="s">
        <v>910</v>
      </c>
      <c r="C149" s="19">
        <v>2020</v>
      </c>
      <c r="D149" s="19" t="s">
        <v>1909</v>
      </c>
      <c r="E149" s="10" t="s">
        <v>898</v>
      </c>
      <c r="F149" s="10" t="s">
        <v>911</v>
      </c>
      <c r="G149" s="10" t="s">
        <v>912</v>
      </c>
      <c r="H149" s="10" t="s">
        <v>900</v>
      </c>
      <c r="I149" s="10" t="s">
        <v>913</v>
      </c>
      <c r="J149" s="10" t="s">
        <v>914</v>
      </c>
      <c r="K149" s="10" t="s">
        <v>915</v>
      </c>
      <c r="L149" s="10"/>
      <c r="M149" s="10"/>
      <c r="N149" s="11"/>
      <c r="O149" s="11"/>
      <c r="P149" s="11"/>
      <c r="Q149" s="10"/>
      <c r="R149" s="11"/>
      <c r="S149" s="11"/>
    </row>
    <row r="150" spans="1:19" ht="15">
      <c r="A150" s="9" t="s">
        <v>803</v>
      </c>
      <c r="B150" s="9" t="s">
        <v>916</v>
      </c>
      <c r="C150" s="19">
        <v>2020</v>
      </c>
      <c r="D150" s="19" t="s">
        <v>1909</v>
      </c>
      <c r="E150" s="10" t="s">
        <v>872</v>
      </c>
      <c r="F150" s="10" t="s">
        <v>873</v>
      </c>
      <c r="G150" s="20" t="s">
        <v>874</v>
      </c>
      <c r="H150" s="10" t="s">
        <v>875</v>
      </c>
      <c r="I150" s="10" t="s">
        <v>1781</v>
      </c>
      <c r="J150" s="10" t="s">
        <v>876</v>
      </c>
      <c r="K150" s="10" t="s">
        <v>877</v>
      </c>
      <c r="L150" s="23"/>
      <c r="M150" s="24"/>
      <c r="N150" s="11"/>
      <c r="O150" s="11"/>
      <c r="P150" s="11"/>
      <c r="Q150" s="10"/>
      <c r="R150" s="11"/>
      <c r="S150" s="11"/>
    </row>
    <row r="151" spans="1:19" ht="15">
      <c r="A151" s="9" t="s">
        <v>803</v>
      </c>
      <c r="B151" s="9" t="s">
        <v>917</v>
      </c>
      <c r="C151" s="19">
        <v>2020</v>
      </c>
      <c r="D151" s="19" t="s">
        <v>1909</v>
      </c>
      <c r="E151" s="10"/>
      <c r="F151" s="10"/>
      <c r="G151" s="10"/>
      <c r="H151" s="10"/>
      <c r="I151" s="10"/>
      <c r="J151" s="10"/>
      <c r="K151" s="10"/>
      <c r="L151" s="25"/>
      <c r="M151" s="10"/>
      <c r="N151" s="11"/>
      <c r="O151" s="11"/>
      <c r="P151" s="11"/>
      <c r="Q151" s="10"/>
      <c r="R151" s="11"/>
      <c r="S151" s="11"/>
    </row>
    <row r="152" spans="1:19" ht="12.75">
      <c r="A152" s="9" t="s">
        <v>803</v>
      </c>
      <c r="B152" s="9" t="s">
        <v>918</v>
      </c>
      <c r="C152" s="19">
        <v>2020</v>
      </c>
      <c r="D152" s="19" t="s">
        <v>1909</v>
      </c>
      <c r="E152" s="10"/>
      <c r="F152" s="10"/>
      <c r="G152" s="10"/>
      <c r="H152" s="10"/>
      <c r="I152" s="10"/>
      <c r="J152" s="10"/>
      <c r="K152" s="10"/>
      <c r="L152" s="10"/>
      <c r="M152" s="10"/>
      <c r="N152" s="11"/>
      <c r="O152" s="11"/>
      <c r="P152" s="11"/>
      <c r="Q152" s="10"/>
      <c r="R152" s="11"/>
      <c r="S152" s="11"/>
    </row>
    <row r="153" spans="1:19" ht="12.75">
      <c r="A153" s="9" t="s">
        <v>803</v>
      </c>
      <c r="B153" s="9" t="s">
        <v>919</v>
      </c>
      <c r="C153" s="19">
        <v>2020</v>
      </c>
      <c r="D153" s="19" t="s">
        <v>1909</v>
      </c>
      <c r="E153" s="10"/>
      <c r="F153" s="10"/>
      <c r="G153" s="10"/>
      <c r="H153" s="10"/>
      <c r="I153" s="10"/>
      <c r="J153" s="10"/>
      <c r="K153" s="10"/>
      <c r="L153" s="10"/>
      <c r="M153" s="10"/>
      <c r="N153" s="11"/>
      <c r="O153" s="11"/>
      <c r="P153" s="11"/>
      <c r="Q153" s="10"/>
      <c r="R153" s="11"/>
      <c r="S153" s="11"/>
    </row>
    <row r="154" spans="1:19" ht="12.75">
      <c r="A154" s="9" t="s">
        <v>803</v>
      </c>
      <c r="B154" s="9" t="s">
        <v>920</v>
      </c>
      <c r="C154" s="19">
        <v>2020</v>
      </c>
      <c r="D154" s="19" t="s">
        <v>1909</v>
      </c>
      <c r="E154" s="17" t="s">
        <v>866</v>
      </c>
      <c r="F154" s="17" t="s">
        <v>921</v>
      </c>
      <c r="G154" s="17" t="s">
        <v>1786</v>
      </c>
      <c r="H154" s="17" t="s">
        <v>1780</v>
      </c>
      <c r="I154" s="17" t="s">
        <v>922</v>
      </c>
      <c r="J154" s="17" t="s">
        <v>923</v>
      </c>
      <c r="K154" s="17" t="s">
        <v>924</v>
      </c>
      <c r="L154" s="17" t="s">
        <v>925</v>
      </c>
      <c r="M154" s="17" t="s">
        <v>926</v>
      </c>
      <c r="N154" s="17" t="s">
        <v>927</v>
      </c>
      <c r="O154" s="11"/>
      <c r="P154" s="11"/>
      <c r="Q154" s="10"/>
      <c r="R154" s="11"/>
      <c r="S154" s="11"/>
    </row>
    <row r="155" spans="1:19" ht="12.75">
      <c r="A155" s="9" t="s">
        <v>803</v>
      </c>
      <c r="B155" s="9" t="s">
        <v>928</v>
      </c>
      <c r="C155" s="19">
        <v>2020</v>
      </c>
      <c r="D155" s="19" t="s">
        <v>1909</v>
      </c>
      <c r="E155" s="10"/>
      <c r="F155" s="10"/>
      <c r="G155" s="10"/>
      <c r="H155" s="10"/>
      <c r="I155" s="10"/>
      <c r="J155" s="10"/>
      <c r="K155" s="10"/>
      <c r="L155" s="10"/>
      <c r="M155" s="10"/>
      <c r="N155" s="11"/>
      <c r="O155" s="11"/>
      <c r="P155" s="11"/>
      <c r="Q155" s="10"/>
      <c r="R155" s="11"/>
      <c r="S155" s="11"/>
    </row>
    <row r="156" spans="1:19" ht="12.75">
      <c r="A156" s="9" t="s">
        <v>803</v>
      </c>
      <c r="B156" s="9" t="s">
        <v>929</v>
      </c>
      <c r="C156" s="19">
        <v>2020</v>
      </c>
      <c r="D156" s="19" t="s">
        <v>1909</v>
      </c>
      <c r="E156" s="10" t="s">
        <v>855</v>
      </c>
      <c r="F156" s="17" t="s">
        <v>930</v>
      </c>
      <c r="G156" s="26" t="s">
        <v>857</v>
      </c>
      <c r="H156" s="17" t="s">
        <v>931</v>
      </c>
      <c r="I156" s="26" t="s">
        <v>932</v>
      </c>
      <c r="J156" s="17" t="s">
        <v>933</v>
      </c>
      <c r="K156" s="26" t="s">
        <v>934</v>
      </c>
      <c r="L156" s="17" t="s">
        <v>935</v>
      </c>
      <c r="M156" s="26" t="s">
        <v>936</v>
      </c>
      <c r="N156" s="17" t="s">
        <v>864</v>
      </c>
      <c r="O156" s="11"/>
      <c r="P156" s="11"/>
      <c r="Q156" s="10"/>
      <c r="R156" s="11"/>
      <c r="S156" s="11"/>
    </row>
    <row r="157" spans="1:19" ht="12.75">
      <c r="A157" s="9" t="s">
        <v>803</v>
      </c>
      <c r="B157" s="9" t="s">
        <v>937</v>
      </c>
      <c r="C157" s="19">
        <v>2020</v>
      </c>
      <c r="D157" s="19" t="s">
        <v>1909</v>
      </c>
      <c r="E157" s="10"/>
      <c r="F157" s="10"/>
      <c r="G157" s="10"/>
      <c r="H157" s="10"/>
      <c r="I157" s="10"/>
      <c r="J157" s="10"/>
      <c r="K157" s="10"/>
      <c r="L157" s="10"/>
      <c r="M157" s="10"/>
      <c r="N157" s="11"/>
      <c r="O157" s="11"/>
      <c r="P157" s="11"/>
      <c r="Q157" s="10"/>
      <c r="R157" s="11"/>
      <c r="S157" s="11"/>
    </row>
    <row r="158" spans="1:19" ht="12.75">
      <c r="A158" s="9" t="s">
        <v>803</v>
      </c>
      <c r="B158" s="19" t="s">
        <v>938</v>
      </c>
      <c r="C158" s="19">
        <v>2020</v>
      </c>
      <c r="D158" s="19" t="s">
        <v>1909</v>
      </c>
      <c r="E158" s="10"/>
      <c r="F158" s="10"/>
      <c r="G158" s="10"/>
      <c r="H158" s="10"/>
      <c r="I158" s="10"/>
      <c r="J158" s="10"/>
      <c r="K158" s="10"/>
      <c r="L158" s="10"/>
      <c r="M158" s="10"/>
      <c r="N158" s="11"/>
      <c r="O158" s="11"/>
      <c r="P158" s="11"/>
      <c r="Q158" s="10"/>
      <c r="R158" s="11"/>
      <c r="S158" s="11"/>
    </row>
    <row r="159" spans="1:19" ht="12.75">
      <c r="A159" s="9" t="s">
        <v>803</v>
      </c>
      <c r="B159" s="19" t="s">
        <v>939</v>
      </c>
      <c r="C159" s="19">
        <v>2020</v>
      </c>
      <c r="D159" s="19" t="s">
        <v>1909</v>
      </c>
      <c r="E159" s="17" t="s">
        <v>940</v>
      </c>
      <c r="F159" s="17" t="s">
        <v>1787</v>
      </c>
      <c r="G159" s="17" t="s">
        <v>941</v>
      </c>
      <c r="H159" s="17" t="s">
        <v>942</v>
      </c>
      <c r="I159" s="17" t="s">
        <v>1788</v>
      </c>
      <c r="J159" s="17" t="s">
        <v>943</v>
      </c>
      <c r="K159" s="17" t="s">
        <v>944</v>
      </c>
      <c r="L159" s="17" t="s">
        <v>1789</v>
      </c>
      <c r="M159" s="10"/>
      <c r="N159" s="11"/>
      <c r="O159" s="11"/>
      <c r="P159" s="11"/>
      <c r="Q159" s="10"/>
      <c r="R159" s="11"/>
      <c r="S159" s="11"/>
    </row>
    <row r="160" spans="1:19" ht="12.75">
      <c r="A160" s="9" t="s">
        <v>945</v>
      </c>
      <c r="B160" s="9" t="s">
        <v>946</v>
      </c>
      <c r="C160" s="19">
        <v>2020</v>
      </c>
      <c r="D160" s="19" t="s">
        <v>1909</v>
      </c>
      <c r="E160" s="10"/>
      <c r="F160" s="10"/>
      <c r="G160" s="10"/>
      <c r="H160" s="10"/>
      <c r="I160" s="10"/>
      <c r="J160" s="10"/>
      <c r="K160" s="10"/>
      <c r="L160" s="10"/>
      <c r="M160" s="10"/>
      <c r="N160" s="11"/>
      <c r="O160" s="11"/>
      <c r="P160" s="11"/>
      <c r="Q160" s="10"/>
      <c r="R160" s="11"/>
      <c r="S160" s="11"/>
    </row>
    <row r="161" spans="1:19" ht="12.75">
      <c r="A161" s="9" t="s">
        <v>945</v>
      </c>
      <c r="B161" s="9" t="s">
        <v>947</v>
      </c>
      <c r="C161" s="19">
        <v>2020</v>
      </c>
      <c r="D161" s="19" t="s">
        <v>1909</v>
      </c>
      <c r="E161" s="10" t="s">
        <v>948</v>
      </c>
      <c r="F161" s="10" t="s">
        <v>949</v>
      </c>
      <c r="G161" s="10" t="s">
        <v>950</v>
      </c>
      <c r="H161" s="10" t="s">
        <v>951</v>
      </c>
      <c r="I161" s="10" t="s">
        <v>952</v>
      </c>
      <c r="J161" s="10" t="s">
        <v>953</v>
      </c>
      <c r="K161" s="10" t="s">
        <v>954</v>
      </c>
      <c r="L161" s="10" t="s">
        <v>955</v>
      </c>
      <c r="M161" s="10" t="s">
        <v>956</v>
      </c>
      <c r="N161" s="11"/>
      <c r="O161" s="11"/>
      <c r="P161" s="11"/>
      <c r="Q161" s="10"/>
      <c r="R161" s="11"/>
      <c r="S161" s="11"/>
    </row>
    <row r="162" spans="1:19" ht="12.75">
      <c r="A162" s="9" t="s">
        <v>945</v>
      </c>
      <c r="B162" s="9" t="s">
        <v>957</v>
      </c>
      <c r="C162" s="19">
        <v>2020</v>
      </c>
      <c r="D162" s="19" t="s">
        <v>1909</v>
      </c>
      <c r="E162" s="10" t="s">
        <v>958</v>
      </c>
      <c r="F162" s="10" t="s">
        <v>959</v>
      </c>
      <c r="G162" s="10" t="s">
        <v>960</v>
      </c>
      <c r="H162" s="10" t="s">
        <v>961</v>
      </c>
      <c r="I162" s="10" t="s">
        <v>962</v>
      </c>
      <c r="J162" s="10" t="s">
        <v>963</v>
      </c>
      <c r="K162" s="10" t="s">
        <v>964</v>
      </c>
      <c r="L162" s="10" t="s">
        <v>965</v>
      </c>
      <c r="M162" s="10"/>
      <c r="N162" s="11"/>
      <c r="O162" s="11"/>
      <c r="P162" s="11"/>
      <c r="Q162" s="10"/>
      <c r="R162" s="11"/>
      <c r="S162" s="11"/>
    </row>
    <row r="163" spans="1:19" ht="12.75">
      <c r="A163" s="9" t="s">
        <v>945</v>
      </c>
      <c r="B163" s="9" t="s">
        <v>966</v>
      </c>
      <c r="C163" s="19">
        <v>2020</v>
      </c>
      <c r="D163" s="19" t="s">
        <v>1909</v>
      </c>
      <c r="E163" s="10" t="s">
        <v>967</v>
      </c>
      <c r="F163" s="10" t="s">
        <v>968</v>
      </c>
      <c r="G163" s="10" t="s">
        <v>969</v>
      </c>
      <c r="H163" s="10" t="s">
        <v>970</v>
      </c>
      <c r="I163" s="10" t="s">
        <v>971</v>
      </c>
      <c r="J163" s="10" t="s">
        <v>972</v>
      </c>
      <c r="K163" s="10" t="s">
        <v>973</v>
      </c>
      <c r="L163" s="10" t="s">
        <v>974</v>
      </c>
      <c r="M163" s="10"/>
      <c r="N163" s="11"/>
      <c r="O163" s="11"/>
      <c r="P163" s="11"/>
      <c r="Q163" s="10"/>
      <c r="R163" s="11"/>
      <c r="S163" s="11"/>
    </row>
    <row r="164" spans="1:19" ht="12.75">
      <c r="A164" s="9" t="s">
        <v>945</v>
      </c>
      <c r="B164" s="9" t="s">
        <v>975</v>
      </c>
      <c r="C164" s="19">
        <v>2020</v>
      </c>
      <c r="D164" s="19" t="s">
        <v>1909</v>
      </c>
      <c r="E164" s="10" t="s">
        <v>976</v>
      </c>
      <c r="F164" s="10" t="s">
        <v>977</v>
      </c>
      <c r="G164" s="10" t="s">
        <v>978</v>
      </c>
      <c r="H164" s="10" t="s">
        <v>979</v>
      </c>
      <c r="I164" s="10" t="s">
        <v>980</v>
      </c>
      <c r="J164" s="10" t="s">
        <v>981</v>
      </c>
      <c r="K164" s="10"/>
      <c r="L164" s="10"/>
      <c r="M164" s="10"/>
      <c r="N164" s="11"/>
      <c r="O164" s="11"/>
      <c r="P164" s="11"/>
      <c r="Q164" s="10"/>
      <c r="R164" s="11"/>
      <c r="S164" s="11"/>
    </row>
    <row r="165" spans="1:19" ht="12.75">
      <c r="A165" s="9" t="s">
        <v>945</v>
      </c>
      <c r="B165" s="9" t="s">
        <v>982</v>
      </c>
      <c r="C165" s="19">
        <v>2020</v>
      </c>
      <c r="D165" s="19" t="s">
        <v>1909</v>
      </c>
      <c r="E165" s="10" t="s">
        <v>983</v>
      </c>
      <c r="F165" s="10" t="s">
        <v>984</v>
      </c>
      <c r="G165" s="10" t="s">
        <v>985</v>
      </c>
      <c r="H165" s="10" t="s">
        <v>986</v>
      </c>
      <c r="I165" s="10" t="s">
        <v>987</v>
      </c>
      <c r="J165" s="10" t="s">
        <v>988</v>
      </c>
      <c r="K165" s="10"/>
      <c r="L165" s="10"/>
      <c r="M165" s="10"/>
      <c r="N165" s="11"/>
      <c r="O165" s="11"/>
      <c r="P165" s="11"/>
      <c r="Q165" s="10"/>
      <c r="R165" s="11"/>
      <c r="S165" s="11"/>
    </row>
    <row r="166" spans="1:19" ht="12.75">
      <c r="A166" s="9" t="s">
        <v>945</v>
      </c>
      <c r="B166" s="9" t="s">
        <v>989</v>
      </c>
      <c r="C166" s="19">
        <v>2020</v>
      </c>
      <c r="D166" s="19" t="s">
        <v>1909</v>
      </c>
      <c r="E166" s="10" t="s">
        <v>203</v>
      </c>
      <c r="F166" s="10" t="s">
        <v>990</v>
      </c>
      <c r="G166" s="10" t="s">
        <v>991</v>
      </c>
      <c r="H166" s="10" t="s">
        <v>992</v>
      </c>
      <c r="I166" s="10" t="s">
        <v>993</v>
      </c>
      <c r="J166" s="10" t="s">
        <v>206</v>
      </c>
      <c r="K166" s="10" t="s">
        <v>994</v>
      </c>
      <c r="L166" s="10" t="s">
        <v>995</v>
      </c>
      <c r="M166" s="10"/>
      <c r="N166" s="11"/>
      <c r="O166" s="11"/>
      <c r="P166" s="11"/>
      <c r="Q166" s="10"/>
      <c r="R166" s="11"/>
      <c r="S166" s="11"/>
    </row>
    <row r="167" spans="1:19" ht="12.75">
      <c r="A167" s="9" t="s">
        <v>945</v>
      </c>
      <c r="B167" s="9" t="s">
        <v>996</v>
      </c>
      <c r="C167" s="19">
        <v>2020</v>
      </c>
      <c r="D167" s="19" t="s">
        <v>1909</v>
      </c>
      <c r="E167" s="10" t="s">
        <v>997</v>
      </c>
      <c r="F167" s="10" t="s">
        <v>998</v>
      </c>
      <c r="G167" s="10" t="s">
        <v>999</v>
      </c>
      <c r="H167" s="10" t="s">
        <v>1000</v>
      </c>
      <c r="I167" s="10" t="s">
        <v>1001</v>
      </c>
      <c r="J167" s="10" t="s">
        <v>1002</v>
      </c>
      <c r="K167" s="10" t="s">
        <v>1790</v>
      </c>
      <c r="L167" s="10" t="s">
        <v>1003</v>
      </c>
      <c r="M167" s="10"/>
      <c r="N167" s="11"/>
      <c r="O167" s="11"/>
      <c r="P167" s="11"/>
      <c r="Q167" s="10"/>
      <c r="R167" s="11"/>
      <c r="S167" s="11"/>
    </row>
    <row r="168" spans="1:19" ht="12.75">
      <c r="A168" s="9" t="s">
        <v>945</v>
      </c>
      <c r="B168" s="9" t="s">
        <v>1004</v>
      </c>
      <c r="C168" s="19">
        <v>2020</v>
      </c>
      <c r="D168" s="19" t="s">
        <v>1909</v>
      </c>
      <c r="E168" s="10" t="s">
        <v>1005</v>
      </c>
      <c r="F168" s="10" t="s">
        <v>1006</v>
      </c>
      <c r="G168" s="10" t="s">
        <v>1791</v>
      </c>
      <c r="H168" s="10" t="s">
        <v>1007</v>
      </c>
      <c r="I168" s="10" t="s">
        <v>1008</v>
      </c>
      <c r="J168" s="10" t="s">
        <v>1009</v>
      </c>
      <c r="K168" s="10" t="s">
        <v>1010</v>
      </c>
      <c r="L168" s="10"/>
      <c r="M168" s="10"/>
      <c r="N168" s="11"/>
      <c r="O168" s="11"/>
      <c r="P168" s="11"/>
      <c r="Q168" s="10"/>
      <c r="R168" s="11"/>
      <c r="S168" s="11"/>
    </row>
    <row r="169" spans="1:19" ht="12.75">
      <c r="A169" s="9" t="s">
        <v>945</v>
      </c>
      <c r="B169" s="9" t="s">
        <v>1011</v>
      </c>
      <c r="C169" s="19">
        <v>2020</v>
      </c>
      <c r="D169" s="19" t="s">
        <v>1909</v>
      </c>
      <c r="E169" s="10" t="s">
        <v>983</v>
      </c>
      <c r="F169" s="10" t="s">
        <v>984</v>
      </c>
      <c r="G169" s="10" t="s">
        <v>985</v>
      </c>
      <c r="H169" s="10" t="s">
        <v>986</v>
      </c>
      <c r="I169" s="10" t="s">
        <v>1012</v>
      </c>
      <c r="J169" s="10" t="s">
        <v>987</v>
      </c>
      <c r="K169" s="10" t="s">
        <v>988</v>
      </c>
      <c r="L169" s="10"/>
      <c r="M169" s="10"/>
      <c r="N169" s="11"/>
      <c r="O169" s="11"/>
      <c r="P169" s="11"/>
      <c r="Q169" s="10"/>
      <c r="R169" s="11"/>
      <c r="S169" s="11"/>
    </row>
    <row r="170" spans="1:19" ht="12.75">
      <c r="A170" s="9" t="s">
        <v>945</v>
      </c>
      <c r="B170" s="9" t="s">
        <v>1013</v>
      </c>
      <c r="C170" s="19">
        <v>2020</v>
      </c>
      <c r="D170" s="19" t="s">
        <v>1909</v>
      </c>
      <c r="E170" s="10" t="s">
        <v>1792</v>
      </c>
      <c r="F170" s="10" t="s">
        <v>1014</v>
      </c>
      <c r="G170" s="10" t="s">
        <v>1015</v>
      </c>
      <c r="H170" s="10" t="s">
        <v>1016</v>
      </c>
      <c r="I170" s="10" t="s">
        <v>1017</v>
      </c>
      <c r="J170" s="10" t="s">
        <v>1018</v>
      </c>
      <c r="K170" s="10"/>
      <c r="L170" s="10"/>
      <c r="M170" s="10"/>
      <c r="N170" s="11"/>
      <c r="O170" s="11"/>
      <c r="P170" s="11"/>
      <c r="Q170" s="10"/>
      <c r="R170" s="11"/>
      <c r="S170" s="11"/>
    </row>
    <row r="171" spans="1:19" ht="12.75">
      <c r="A171" s="9" t="s">
        <v>1019</v>
      </c>
      <c r="B171" s="9" t="s">
        <v>1020</v>
      </c>
      <c r="C171" s="19">
        <v>2020</v>
      </c>
      <c r="D171" s="19" t="s">
        <v>1909</v>
      </c>
      <c r="E171" s="10" t="s">
        <v>1021</v>
      </c>
      <c r="F171" s="10" t="s">
        <v>1022</v>
      </c>
      <c r="G171" s="10" t="s">
        <v>1023</v>
      </c>
      <c r="H171" s="10" t="s">
        <v>1024</v>
      </c>
      <c r="I171" s="10" t="s">
        <v>1025</v>
      </c>
      <c r="J171" s="10" t="s">
        <v>1026</v>
      </c>
      <c r="K171" s="10" t="s">
        <v>1027</v>
      </c>
      <c r="L171" s="10" t="s">
        <v>1028</v>
      </c>
      <c r="M171" s="10" t="s">
        <v>1029</v>
      </c>
      <c r="N171" s="11" t="s">
        <v>1030</v>
      </c>
      <c r="O171" s="11"/>
      <c r="P171" s="11"/>
      <c r="Q171" s="10"/>
      <c r="R171" s="11"/>
      <c r="S171" s="11"/>
    </row>
    <row r="172" spans="1:19" ht="12.75">
      <c r="A172" s="9" t="s">
        <v>1019</v>
      </c>
      <c r="B172" s="9" t="s">
        <v>1031</v>
      </c>
      <c r="C172" s="19">
        <v>2020</v>
      </c>
      <c r="D172" s="19" t="s">
        <v>1909</v>
      </c>
      <c r="E172" s="10" t="s">
        <v>1032</v>
      </c>
      <c r="F172" s="10" t="s">
        <v>1033</v>
      </c>
      <c r="G172" s="10" t="s">
        <v>1034</v>
      </c>
      <c r="H172" s="10" t="s">
        <v>1035</v>
      </c>
      <c r="I172" s="10" t="s">
        <v>1036</v>
      </c>
      <c r="J172" s="10" t="s">
        <v>1037</v>
      </c>
      <c r="K172" s="10" t="s">
        <v>1038</v>
      </c>
      <c r="L172" s="10"/>
      <c r="M172" s="10"/>
      <c r="N172" s="11"/>
      <c r="O172" s="11"/>
      <c r="P172" s="11"/>
      <c r="Q172" s="10"/>
      <c r="R172" s="11"/>
      <c r="S172" s="11"/>
    </row>
    <row r="173" spans="1:19" ht="12.75">
      <c r="A173" s="9" t="s">
        <v>1019</v>
      </c>
      <c r="B173" s="9" t="s">
        <v>1039</v>
      </c>
      <c r="C173" s="19">
        <v>2020</v>
      </c>
      <c r="D173" s="19" t="s">
        <v>1909</v>
      </c>
      <c r="E173" s="10" t="s">
        <v>1040</v>
      </c>
      <c r="F173" s="10" t="s">
        <v>1041</v>
      </c>
      <c r="G173" s="10" t="s">
        <v>1042</v>
      </c>
      <c r="H173" s="10" t="s">
        <v>1043</v>
      </c>
      <c r="I173" s="10" t="s">
        <v>1044</v>
      </c>
      <c r="J173" s="10" t="s">
        <v>1045</v>
      </c>
      <c r="K173" s="10" t="s">
        <v>1046</v>
      </c>
      <c r="L173" s="10" t="s">
        <v>1047</v>
      </c>
      <c r="M173" s="10"/>
      <c r="N173" s="11"/>
      <c r="O173" s="11"/>
      <c r="P173" s="11"/>
      <c r="Q173" s="10"/>
      <c r="R173" s="11"/>
      <c r="S173" s="11"/>
    </row>
    <row r="174" spans="1:19" ht="12.75">
      <c r="A174" s="9" t="s">
        <v>1019</v>
      </c>
      <c r="B174" s="9" t="s">
        <v>1048</v>
      </c>
      <c r="C174" s="19">
        <v>2020</v>
      </c>
      <c r="D174" s="19" t="s">
        <v>1909</v>
      </c>
      <c r="E174" s="10" t="s">
        <v>1049</v>
      </c>
      <c r="F174" s="10" t="s">
        <v>1050</v>
      </c>
      <c r="G174" s="10" t="s">
        <v>1051</v>
      </c>
      <c r="H174" s="10" t="s">
        <v>1052</v>
      </c>
      <c r="I174" s="10" t="s">
        <v>1793</v>
      </c>
      <c r="J174" s="10" t="s">
        <v>1053</v>
      </c>
      <c r="K174" s="10" t="s">
        <v>1794</v>
      </c>
      <c r="L174" s="10" t="s">
        <v>1054</v>
      </c>
      <c r="M174" s="10"/>
      <c r="N174" s="11"/>
      <c r="O174" s="11"/>
      <c r="P174" s="11"/>
      <c r="Q174" s="10"/>
      <c r="R174" s="11"/>
      <c r="S174" s="11"/>
    </row>
    <row r="175" spans="1:19" ht="12.75">
      <c r="A175" s="9" t="s">
        <v>1019</v>
      </c>
      <c r="B175" s="9" t="s">
        <v>1055</v>
      </c>
      <c r="C175" s="19">
        <v>2020</v>
      </c>
      <c r="D175" s="19" t="s">
        <v>1909</v>
      </c>
      <c r="E175" s="10" t="s">
        <v>1056</v>
      </c>
      <c r="F175" s="10" t="s">
        <v>1057</v>
      </c>
      <c r="G175" s="10" t="s">
        <v>1058</v>
      </c>
      <c r="H175" s="10" t="s">
        <v>1059</v>
      </c>
      <c r="I175" s="10" t="s">
        <v>1060</v>
      </c>
      <c r="J175" s="10" t="s">
        <v>1061</v>
      </c>
      <c r="K175" s="10" t="s">
        <v>1062</v>
      </c>
      <c r="L175" s="10" t="s">
        <v>1063</v>
      </c>
      <c r="M175" s="10"/>
      <c r="N175" s="11"/>
      <c r="O175" s="11"/>
      <c r="P175" s="11"/>
      <c r="Q175" s="10"/>
      <c r="R175" s="11"/>
      <c r="S175" s="11"/>
    </row>
    <row r="176" spans="1:19" ht="12.75">
      <c r="A176" s="9" t="s">
        <v>1019</v>
      </c>
      <c r="B176" s="9" t="s">
        <v>1064</v>
      </c>
      <c r="C176" s="19">
        <v>2020</v>
      </c>
      <c r="D176" s="19" t="s">
        <v>1909</v>
      </c>
      <c r="E176" s="10" t="s">
        <v>1065</v>
      </c>
      <c r="F176" s="10" t="s">
        <v>1795</v>
      </c>
      <c r="G176" s="10" t="s">
        <v>1066</v>
      </c>
      <c r="H176" s="10" t="s">
        <v>1067</v>
      </c>
      <c r="I176" s="10" t="s">
        <v>1068</v>
      </c>
      <c r="J176" s="10" t="s">
        <v>1069</v>
      </c>
      <c r="K176" s="10" t="s">
        <v>1070</v>
      </c>
      <c r="L176" s="10"/>
      <c r="M176" s="10"/>
      <c r="N176" s="11"/>
      <c r="O176" s="11"/>
      <c r="P176" s="11"/>
      <c r="Q176" s="10"/>
      <c r="R176" s="11"/>
      <c r="S176" s="11"/>
    </row>
    <row r="177" spans="1:19" ht="12.75">
      <c r="A177" s="9" t="s">
        <v>1019</v>
      </c>
      <c r="B177" s="9" t="s">
        <v>1071</v>
      </c>
      <c r="C177" s="19">
        <v>2020</v>
      </c>
      <c r="D177" s="19" t="s">
        <v>1909</v>
      </c>
      <c r="E177" s="17" t="s">
        <v>1072</v>
      </c>
      <c r="F177" s="17" t="s">
        <v>1073</v>
      </c>
      <c r="G177" s="17" t="s">
        <v>1796</v>
      </c>
      <c r="H177" s="17" t="s">
        <v>1074</v>
      </c>
      <c r="I177" s="17" t="s">
        <v>1075</v>
      </c>
      <c r="J177" s="10"/>
      <c r="K177" s="10"/>
      <c r="L177" s="10"/>
      <c r="M177" s="10"/>
      <c r="N177" s="11"/>
      <c r="O177" s="11"/>
      <c r="P177" s="11"/>
      <c r="Q177" s="10"/>
      <c r="R177" s="11"/>
      <c r="S177" s="11"/>
    </row>
    <row r="178" spans="1:19" ht="12.75">
      <c r="A178" s="9" t="s">
        <v>1019</v>
      </c>
      <c r="B178" s="9" t="s">
        <v>1076</v>
      </c>
      <c r="C178" s="19">
        <v>2020</v>
      </c>
      <c r="D178" s="19" t="s">
        <v>1909</v>
      </c>
      <c r="E178" s="10" t="s">
        <v>1077</v>
      </c>
      <c r="F178" s="10" t="s">
        <v>1078</v>
      </c>
      <c r="G178" s="10" t="s">
        <v>1079</v>
      </c>
      <c r="H178" s="10" t="s">
        <v>1080</v>
      </c>
      <c r="I178" s="10" t="s">
        <v>1081</v>
      </c>
      <c r="J178" s="10"/>
      <c r="K178" s="10"/>
      <c r="L178" s="10"/>
      <c r="M178" s="10"/>
      <c r="N178" s="11"/>
      <c r="O178" s="11"/>
      <c r="P178" s="11"/>
      <c r="Q178" s="10"/>
      <c r="R178" s="11"/>
      <c r="S178" s="11"/>
    </row>
    <row r="179" spans="1:19" ht="12.75">
      <c r="A179" s="19" t="s">
        <v>1019</v>
      </c>
      <c r="B179" s="9" t="s">
        <v>1082</v>
      </c>
      <c r="C179" s="19">
        <v>2020</v>
      </c>
      <c r="D179" s="19" t="s">
        <v>1909</v>
      </c>
      <c r="E179" s="17" t="s">
        <v>1797</v>
      </c>
      <c r="F179" s="17" t="s">
        <v>1083</v>
      </c>
      <c r="G179" s="17" t="s">
        <v>1084</v>
      </c>
      <c r="H179" s="17" t="s">
        <v>1085</v>
      </c>
      <c r="I179" s="17" t="s">
        <v>1086</v>
      </c>
      <c r="J179" s="17" t="s">
        <v>1087</v>
      </c>
      <c r="K179" s="10"/>
      <c r="L179" s="10"/>
      <c r="M179" s="10"/>
      <c r="N179" s="11"/>
      <c r="O179" s="11"/>
      <c r="P179" s="11"/>
      <c r="Q179" s="10"/>
      <c r="R179" s="11"/>
      <c r="S179" s="11"/>
    </row>
    <row r="180" spans="1:19" ht="12.75">
      <c r="A180" s="9" t="s">
        <v>1019</v>
      </c>
      <c r="B180" s="9" t="s">
        <v>1088</v>
      </c>
      <c r="C180" s="19">
        <v>2020</v>
      </c>
      <c r="D180" s="19" t="s">
        <v>1909</v>
      </c>
      <c r="E180" s="17" t="s">
        <v>1089</v>
      </c>
      <c r="F180" s="17" t="s">
        <v>1090</v>
      </c>
      <c r="G180" s="17" t="s">
        <v>1091</v>
      </c>
      <c r="H180" s="17" t="s">
        <v>1092</v>
      </c>
      <c r="I180" s="17" t="s">
        <v>1093</v>
      </c>
      <c r="J180" s="17" t="s">
        <v>1094</v>
      </c>
      <c r="K180" s="17" t="s">
        <v>1095</v>
      </c>
      <c r="L180" s="10"/>
      <c r="M180" s="10"/>
      <c r="N180" s="11"/>
      <c r="O180" s="11"/>
      <c r="P180" s="11"/>
      <c r="Q180" s="10"/>
      <c r="R180" s="11"/>
      <c r="S180" s="11"/>
    </row>
    <row r="181" spans="1:19" ht="12.75">
      <c r="A181" s="9" t="s">
        <v>1019</v>
      </c>
      <c r="B181" s="19" t="s">
        <v>1096</v>
      </c>
      <c r="C181" s="19">
        <v>2020</v>
      </c>
      <c r="D181" s="19" t="s">
        <v>1909</v>
      </c>
      <c r="E181" s="17" t="s">
        <v>1097</v>
      </c>
      <c r="F181" s="17" t="s">
        <v>1098</v>
      </c>
      <c r="G181" s="17" t="s">
        <v>1099</v>
      </c>
      <c r="H181" s="17" t="s">
        <v>1100</v>
      </c>
      <c r="I181" s="17" t="s">
        <v>1101</v>
      </c>
      <c r="J181" s="27" t="s">
        <v>1102</v>
      </c>
      <c r="K181" s="10"/>
      <c r="L181" s="27"/>
      <c r="M181" s="17"/>
      <c r="N181" s="17"/>
      <c r="O181" s="27"/>
      <c r="P181" s="11"/>
      <c r="Q181" s="10"/>
      <c r="R181" s="11"/>
      <c r="S181" s="11"/>
    </row>
    <row r="182" spans="1:19" ht="12.75">
      <c r="A182" s="9" t="s">
        <v>1019</v>
      </c>
      <c r="B182" s="9" t="s">
        <v>1103</v>
      </c>
      <c r="C182" s="19">
        <v>2020</v>
      </c>
      <c r="D182" s="19" t="s">
        <v>1909</v>
      </c>
      <c r="E182" s="10" t="s">
        <v>1104</v>
      </c>
      <c r="F182" s="10" t="s">
        <v>1105</v>
      </c>
      <c r="G182" s="10" t="s">
        <v>1106</v>
      </c>
      <c r="H182" s="11" t="s">
        <v>1107</v>
      </c>
      <c r="I182" s="10" t="s">
        <v>1108</v>
      </c>
      <c r="J182" s="28" t="s">
        <v>1109</v>
      </c>
      <c r="K182" s="10" t="s">
        <v>1111</v>
      </c>
      <c r="L182" s="28" t="s">
        <v>1112</v>
      </c>
      <c r="M182" s="10"/>
      <c r="N182" s="11"/>
      <c r="O182" s="12"/>
      <c r="P182" s="11"/>
      <c r="Q182" s="10"/>
      <c r="R182" s="11"/>
      <c r="S182" s="11"/>
    </row>
    <row r="183" spans="1:19" ht="12.75">
      <c r="A183" s="9" t="s">
        <v>1019</v>
      </c>
      <c r="B183" s="9" t="s">
        <v>1113</v>
      </c>
      <c r="C183" s="19">
        <v>2020</v>
      </c>
      <c r="D183" s="19" t="s">
        <v>1909</v>
      </c>
      <c r="E183" s="17" t="s">
        <v>1798</v>
      </c>
      <c r="F183" s="10" t="s">
        <v>1799</v>
      </c>
      <c r="G183" s="10" t="s">
        <v>1800</v>
      </c>
      <c r="H183" s="29" t="s">
        <v>1801</v>
      </c>
      <c r="I183" s="10" t="s">
        <v>1127</v>
      </c>
      <c r="J183" s="10"/>
      <c r="K183" s="10"/>
      <c r="L183" s="10"/>
      <c r="M183" s="10"/>
      <c r="N183" s="11"/>
      <c r="O183" s="11"/>
      <c r="P183" s="11"/>
      <c r="Q183" s="10"/>
      <c r="R183" s="11"/>
      <c r="S183" s="11"/>
    </row>
    <row r="184" spans="1:19" ht="12.75">
      <c r="A184" s="9" t="s">
        <v>1019</v>
      </c>
      <c r="B184" s="9" t="s">
        <v>1114</v>
      </c>
      <c r="C184" s="19">
        <v>2020</v>
      </c>
      <c r="D184" s="19" t="s">
        <v>1909</v>
      </c>
      <c r="E184" s="10" t="s">
        <v>1115</v>
      </c>
      <c r="F184" s="10" t="s">
        <v>1116</v>
      </c>
      <c r="G184" s="10" t="s">
        <v>1117</v>
      </c>
      <c r="H184" s="10" t="s">
        <v>1802</v>
      </c>
      <c r="I184" s="10" t="s">
        <v>1118</v>
      </c>
      <c r="J184" s="10" t="s">
        <v>1119</v>
      </c>
      <c r="K184" s="10" t="s">
        <v>1120</v>
      </c>
      <c r="L184" s="10"/>
      <c r="M184" s="10"/>
      <c r="N184" s="11"/>
      <c r="O184" s="11"/>
      <c r="P184" s="11"/>
      <c r="Q184" s="10"/>
      <c r="R184" s="11"/>
      <c r="S184" s="11"/>
    </row>
    <row r="185" spans="1:19" ht="12.75">
      <c r="A185" s="9" t="s">
        <v>1019</v>
      </c>
      <c r="B185" s="9" t="s">
        <v>1121</v>
      </c>
      <c r="C185" s="19">
        <v>2020</v>
      </c>
      <c r="D185" s="19" t="s">
        <v>1909</v>
      </c>
      <c r="E185" s="10" t="s">
        <v>1122</v>
      </c>
      <c r="F185" s="10" t="s">
        <v>1123</v>
      </c>
      <c r="G185" s="10" t="s">
        <v>1124</v>
      </c>
      <c r="H185" s="10" t="s">
        <v>1125</v>
      </c>
      <c r="I185" s="10" t="s">
        <v>1126</v>
      </c>
      <c r="J185" s="30" t="s">
        <v>1127</v>
      </c>
      <c r="K185" s="10"/>
      <c r="L185" s="10"/>
      <c r="M185" s="10"/>
      <c r="N185" s="11"/>
      <c r="O185" s="11"/>
      <c r="P185" s="11"/>
      <c r="Q185" s="10"/>
      <c r="R185" s="11"/>
      <c r="S185" s="11"/>
    </row>
    <row r="186" spans="1:19" ht="12.75">
      <c r="A186" s="9" t="s">
        <v>1019</v>
      </c>
      <c r="B186" s="9" t="s">
        <v>1128</v>
      </c>
      <c r="C186" s="19">
        <v>2020</v>
      </c>
      <c r="D186" s="19" t="s">
        <v>1909</v>
      </c>
      <c r="E186" s="10" t="s">
        <v>1129</v>
      </c>
      <c r="F186" s="10" t="s">
        <v>1130</v>
      </c>
      <c r="G186" s="10" t="s">
        <v>1131</v>
      </c>
      <c r="H186" s="10" t="s">
        <v>1132</v>
      </c>
      <c r="I186" s="10" t="s">
        <v>1133</v>
      </c>
      <c r="J186" s="10" t="s">
        <v>1134</v>
      </c>
      <c r="K186" s="10" t="s">
        <v>1135</v>
      </c>
      <c r="L186" s="10"/>
      <c r="M186" s="10"/>
      <c r="N186" s="11"/>
      <c r="O186" s="11"/>
      <c r="P186" s="11"/>
      <c r="Q186" s="10"/>
      <c r="R186" s="11"/>
      <c r="S186" s="11"/>
    </row>
    <row r="187" spans="1:19" ht="12.75">
      <c r="A187" s="9" t="s">
        <v>1019</v>
      </c>
      <c r="B187" s="9" t="s">
        <v>1136</v>
      </c>
      <c r="C187" s="19">
        <v>2020</v>
      </c>
      <c r="D187" s="19" t="s">
        <v>1909</v>
      </c>
      <c r="E187" s="10" t="s">
        <v>1137</v>
      </c>
      <c r="F187" s="10" t="s">
        <v>1803</v>
      </c>
      <c r="G187" s="10" t="s">
        <v>1138</v>
      </c>
      <c r="H187" s="10" t="s">
        <v>1139</v>
      </c>
      <c r="I187" s="10" t="s">
        <v>1140</v>
      </c>
      <c r="J187" s="10"/>
      <c r="K187" s="10"/>
      <c r="L187" s="10"/>
      <c r="M187" s="10"/>
      <c r="N187" s="11"/>
      <c r="O187" s="11"/>
      <c r="P187" s="11"/>
      <c r="Q187" s="10"/>
      <c r="R187" s="11"/>
      <c r="S187" s="11"/>
    </row>
    <row r="188" spans="1:19" ht="12.75">
      <c r="A188" s="9" t="s">
        <v>1019</v>
      </c>
      <c r="B188" s="9" t="s">
        <v>1141</v>
      </c>
      <c r="C188" s="19">
        <v>2020</v>
      </c>
      <c r="D188" s="19" t="s">
        <v>1909</v>
      </c>
      <c r="E188" s="10" t="s">
        <v>1142</v>
      </c>
      <c r="F188" s="10" t="s">
        <v>1804</v>
      </c>
      <c r="G188" s="10" t="s">
        <v>1143</v>
      </c>
      <c r="H188" s="10" t="s">
        <v>1805</v>
      </c>
      <c r="I188" s="10"/>
      <c r="J188" s="10"/>
      <c r="K188" s="10"/>
      <c r="L188" s="10"/>
      <c r="M188" s="10"/>
      <c r="N188" s="11"/>
      <c r="O188" s="11"/>
      <c r="P188" s="11"/>
      <c r="Q188" s="10"/>
      <c r="R188" s="11"/>
      <c r="S188" s="11"/>
    </row>
    <row r="189" spans="1:19" ht="14.25">
      <c r="A189" s="9" t="s">
        <v>1019</v>
      </c>
      <c r="B189" s="9" t="s">
        <v>1144</v>
      </c>
      <c r="C189" s="19">
        <v>2020</v>
      </c>
      <c r="D189" s="19" t="s">
        <v>1909</v>
      </c>
      <c r="E189" s="31" t="s">
        <v>1145</v>
      </c>
      <c r="F189" s="20" t="s">
        <v>1147</v>
      </c>
      <c r="G189" s="20" t="s">
        <v>1148</v>
      </c>
      <c r="H189" s="20" t="s">
        <v>1149</v>
      </c>
      <c r="I189" s="20" t="s">
        <v>1150</v>
      </c>
      <c r="J189" s="20" t="s">
        <v>1806</v>
      </c>
      <c r="K189" s="10"/>
      <c r="L189" s="10"/>
      <c r="M189" s="10"/>
      <c r="N189" s="11"/>
      <c r="O189" s="11"/>
      <c r="P189" s="11"/>
      <c r="Q189" s="10"/>
      <c r="R189" s="11"/>
      <c r="S189" s="11"/>
    </row>
    <row r="190" spans="1:19" ht="12.75">
      <c r="A190" s="9" t="s">
        <v>1151</v>
      </c>
      <c r="B190" s="9" t="s">
        <v>1152</v>
      </c>
      <c r="C190" s="19">
        <v>2020</v>
      </c>
      <c r="D190" s="19" t="s">
        <v>1909</v>
      </c>
      <c r="E190" s="10"/>
      <c r="F190" s="10"/>
      <c r="G190" s="10"/>
      <c r="H190" s="10"/>
      <c r="I190" s="10"/>
      <c r="J190" s="10"/>
      <c r="K190" s="10"/>
      <c r="L190" s="10"/>
      <c r="M190" s="10"/>
      <c r="N190" s="11"/>
      <c r="O190" s="11"/>
      <c r="P190" s="11"/>
      <c r="Q190" s="10"/>
      <c r="R190" s="11"/>
      <c r="S190" s="11"/>
    </row>
    <row r="191" spans="1:19" ht="12.75">
      <c r="A191" s="9" t="s">
        <v>1151</v>
      </c>
      <c r="B191" s="9" t="s">
        <v>1153</v>
      </c>
      <c r="C191" s="19">
        <v>2020</v>
      </c>
      <c r="D191" s="19" t="s">
        <v>1909</v>
      </c>
      <c r="E191" s="10"/>
      <c r="F191" s="10"/>
      <c r="G191" s="10"/>
      <c r="H191" s="10"/>
      <c r="I191" s="10"/>
      <c r="J191" s="10"/>
      <c r="K191" s="10"/>
      <c r="L191" s="10"/>
      <c r="M191" s="10"/>
      <c r="N191" s="11"/>
      <c r="O191" s="11"/>
      <c r="P191" s="11"/>
      <c r="Q191" s="10"/>
      <c r="R191" s="11"/>
      <c r="S191" s="11"/>
    </row>
    <row r="192" spans="1:19" ht="15">
      <c r="A192" s="9" t="s">
        <v>1151</v>
      </c>
      <c r="B192" s="9" t="s">
        <v>1154</v>
      </c>
      <c r="C192" s="19">
        <v>2020</v>
      </c>
      <c r="D192" s="19" t="s">
        <v>1909</v>
      </c>
      <c r="E192" s="32" t="s">
        <v>1155</v>
      </c>
      <c r="F192" s="32" t="s">
        <v>1156</v>
      </c>
      <c r="G192" s="32" t="s">
        <v>1807</v>
      </c>
      <c r="H192" s="32" t="s">
        <v>1808</v>
      </c>
      <c r="I192" s="32" t="s">
        <v>1157</v>
      </c>
      <c r="J192" s="32" t="s">
        <v>1809</v>
      </c>
      <c r="K192" s="32" t="s">
        <v>1158</v>
      </c>
      <c r="L192" s="32" t="s">
        <v>1159</v>
      </c>
      <c r="M192" s="10"/>
      <c r="N192" s="11"/>
      <c r="O192" s="11"/>
      <c r="P192" s="11"/>
      <c r="Q192" s="10"/>
      <c r="R192" s="11"/>
      <c r="S192" s="11"/>
    </row>
    <row r="193" spans="1:19" ht="12.75">
      <c r="A193" s="9" t="s">
        <v>1151</v>
      </c>
      <c r="B193" s="9" t="s">
        <v>1160</v>
      </c>
      <c r="C193" s="19">
        <v>2020</v>
      </c>
      <c r="D193" s="19" t="s">
        <v>1909</v>
      </c>
      <c r="E193" s="10"/>
      <c r="F193" s="10"/>
      <c r="G193" s="10"/>
      <c r="H193" s="10"/>
      <c r="I193" s="10"/>
      <c r="J193" s="10"/>
      <c r="K193" s="10"/>
      <c r="L193" s="10"/>
      <c r="M193" s="10"/>
      <c r="N193" s="11"/>
      <c r="O193" s="11"/>
      <c r="P193" s="11"/>
      <c r="Q193" s="10"/>
      <c r="R193" s="11"/>
      <c r="S193" s="11"/>
    </row>
    <row r="194" spans="1:19" ht="12.75">
      <c r="A194" s="9" t="s">
        <v>1151</v>
      </c>
      <c r="B194" s="9" t="s">
        <v>1161</v>
      </c>
      <c r="C194" s="19">
        <v>2020</v>
      </c>
      <c r="D194" s="19" t="s">
        <v>1909</v>
      </c>
      <c r="E194" s="10"/>
      <c r="F194" s="10"/>
      <c r="G194" s="10"/>
      <c r="H194" s="10"/>
      <c r="I194" s="10"/>
      <c r="J194" s="10"/>
      <c r="K194" s="10"/>
      <c r="L194" s="10"/>
      <c r="M194" s="10"/>
      <c r="N194" s="11"/>
      <c r="O194" s="11"/>
      <c r="P194" s="11"/>
      <c r="Q194" s="10"/>
      <c r="R194" s="11"/>
      <c r="S194" s="11"/>
    </row>
    <row r="195" spans="1:19" ht="15">
      <c r="A195" s="9" t="s">
        <v>1151</v>
      </c>
      <c r="B195" s="9" t="s">
        <v>1162</v>
      </c>
      <c r="C195" s="19">
        <v>2020</v>
      </c>
      <c r="D195" s="19" t="s">
        <v>1909</v>
      </c>
      <c r="E195" s="20" t="s">
        <v>1163</v>
      </c>
      <c r="F195" s="17" t="s">
        <v>1810</v>
      </c>
      <c r="G195" s="17" t="s">
        <v>1811</v>
      </c>
      <c r="H195" s="32" t="s">
        <v>1164</v>
      </c>
      <c r="I195" s="17" t="s">
        <v>1165</v>
      </c>
      <c r="J195" s="17" t="s">
        <v>1166</v>
      </c>
      <c r="K195" s="10"/>
      <c r="L195" s="10"/>
      <c r="M195" s="10"/>
      <c r="N195" s="11"/>
      <c r="O195" s="11"/>
      <c r="P195" s="11"/>
      <c r="Q195" s="10"/>
      <c r="R195" s="11"/>
      <c r="S195" s="11"/>
    </row>
    <row r="196" spans="1:19" ht="12.75">
      <c r="A196" s="9" t="s">
        <v>1151</v>
      </c>
      <c r="B196" s="9" t="s">
        <v>1167</v>
      </c>
      <c r="C196" s="19">
        <v>2020</v>
      </c>
      <c r="D196" s="19" t="s">
        <v>1909</v>
      </c>
      <c r="E196" s="10" t="s">
        <v>1168</v>
      </c>
      <c r="F196" s="10" t="s">
        <v>1812</v>
      </c>
      <c r="G196" s="10" t="s">
        <v>1169</v>
      </c>
      <c r="H196" s="10" t="s">
        <v>1813</v>
      </c>
      <c r="I196" s="10" t="s">
        <v>1170</v>
      </c>
      <c r="J196" s="10" t="s">
        <v>1171</v>
      </c>
      <c r="K196" s="10" t="s">
        <v>1814</v>
      </c>
      <c r="L196" s="10" t="s">
        <v>1815</v>
      </c>
      <c r="M196" s="10" t="s">
        <v>1172</v>
      </c>
      <c r="N196" s="11" t="s">
        <v>1816</v>
      </c>
      <c r="O196" s="11" t="s">
        <v>1173</v>
      </c>
      <c r="P196" s="11"/>
      <c r="Q196" s="10"/>
      <c r="R196" s="11"/>
      <c r="S196" s="11"/>
    </row>
    <row r="197" spans="1:19" ht="12.75">
      <c r="A197" s="9" t="s">
        <v>1151</v>
      </c>
      <c r="B197" s="9" t="s">
        <v>1174</v>
      </c>
      <c r="C197" s="19">
        <v>2020</v>
      </c>
      <c r="D197" s="19" t="s">
        <v>1909</v>
      </c>
      <c r="E197" s="10"/>
      <c r="F197" s="10"/>
      <c r="G197" s="10"/>
      <c r="H197" s="10"/>
      <c r="I197" s="10"/>
      <c r="J197" s="10"/>
      <c r="K197" s="10"/>
      <c r="L197" s="10"/>
      <c r="M197" s="10"/>
      <c r="N197" s="11"/>
      <c r="O197" s="11"/>
      <c r="P197" s="11"/>
      <c r="Q197" s="10"/>
      <c r="R197" s="11"/>
      <c r="S197" s="11"/>
    </row>
    <row r="198" spans="1:19" ht="15">
      <c r="A198" s="9" t="s">
        <v>1151</v>
      </c>
      <c r="B198" s="9" t="s">
        <v>1176</v>
      </c>
      <c r="C198" s="19">
        <v>2020</v>
      </c>
      <c r="D198" s="19" t="s">
        <v>1909</v>
      </c>
      <c r="E198" s="32" t="s">
        <v>1177</v>
      </c>
      <c r="F198" s="32" t="s">
        <v>1178</v>
      </c>
      <c r="G198" s="32" t="s">
        <v>1179</v>
      </c>
      <c r="H198" s="32" t="s">
        <v>1180</v>
      </c>
      <c r="I198" s="32" t="s">
        <v>1181</v>
      </c>
      <c r="J198" s="32" t="s">
        <v>1817</v>
      </c>
      <c r="K198" s="32" t="s">
        <v>1182</v>
      </c>
      <c r="L198" s="33" t="s">
        <v>1183</v>
      </c>
      <c r="M198" s="10"/>
      <c r="N198" s="11"/>
      <c r="O198" s="11"/>
      <c r="P198" s="11"/>
      <c r="Q198" s="10"/>
      <c r="R198" s="11"/>
      <c r="S198" s="11"/>
    </row>
    <row r="199" spans="1:19" ht="12.75">
      <c r="A199" s="9" t="s">
        <v>1151</v>
      </c>
      <c r="B199" s="9" t="s">
        <v>1184</v>
      </c>
      <c r="C199" s="19">
        <v>2020</v>
      </c>
      <c r="D199" s="19" t="s">
        <v>1909</v>
      </c>
      <c r="E199" s="10" t="s">
        <v>1185</v>
      </c>
      <c r="F199" s="10" t="s">
        <v>1186</v>
      </c>
      <c r="G199" s="10" t="s">
        <v>1187</v>
      </c>
      <c r="H199" s="10" t="s">
        <v>1188</v>
      </c>
      <c r="I199" s="10" t="s">
        <v>1189</v>
      </c>
      <c r="J199" s="10" t="s">
        <v>1190</v>
      </c>
      <c r="K199" s="10" t="s">
        <v>1191</v>
      </c>
      <c r="L199" s="10" t="s">
        <v>1192</v>
      </c>
      <c r="M199" s="10" t="s">
        <v>1193</v>
      </c>
      <c r="N199" s="11" t="s">
        <v>1194</v>
      </c>
      <c r="O199" s="11" t="s">
        <v>1195</v>
      </c>
      <c r="P199" s="11"/>
      <c r="Q199" s="10"/>
      <c r="R199" s="11"/>
      <c r="S199" s="11"/>
    </row>
    <row r="200" spans="1:19" ht="12.75">
      <c r="A200" s="9" t="s">
        <v>1151</v>
      </c>
      <c r="B200" s="9" t="s">
        <v>1196</v>
      </c>
      <c r="C200" s="19">
        <v>2020</v>
      </c>
      <c r="D200" s="19" t="s">
        <v>1909</v>
      </c>
      <c r="E200" s="10" t="s">
        <v>1197</v>
      </c>
      <c r="F200" s="10" t="s">
        <v>1198</v>
      </c>
      <c r="G200" s="10" t="s">
        <v>1199</v>
      </c>
      <c r="H200" s="10" t="s">
        <v>1200</v>
      </c>
      <c r="I200" s="10" t="s">
        <v>1201</v>
      </c>
      <c r="J200" s="10" t="s">
        <v>1202</v>
      </c>
      <c r="K200" s="10" t="s">
        <v>1203</v>
      </c>
      <c r="L200" s="10" t="s">
        <v>1204</v>
      </c>
      <c r="M200" s="10"/>
      <c r="N200" s="11"/>
      <c r="O200" s="11"/>
      <c r="P200" s="11"/>
      <c r="Q200" s="10"/>
      <c r="R200" s="11"/>
      <c r="S200" s="11"/>
    </row>
    <row r="201" spans="1:19" ht="12.75">
      <c r="A201" s="9" t="s">
        <v>1151</v>
      </c>
      <c r="B201" s="9" t="s">
        <v>1205</v>
      </c>
      <c r="C201" s="19">
        <v>2020</v>
      </c>
      <c r="D201" s="19" t="s">
        <v>1909</v>
      </c>
      <c r="E201" s="10" t="s">
        <v>1206</v>
      </c>
      <c r="F201" s="10" t="s">
        <v>1207</v>
      </c>
      <c r="G201" s="10" t="s">
        <v>1208</v>
      </c>
      <c r="H201" s="10" t="s">
        <v>1209</v>
      </c>
      <c r="I201" s="10" t="s">
        <v>1210</v>
      </c>
      <c r="J201" s="10" t="s">
        <v>1211</v>
      </c>
      <c r="K201" s="10" t="s">
        <v>1212</v>
      </c>
      <c r="L201" s="10" t="s">
        <v>1213</v>
      </c>
      <c r="M201" s="10"/>
      <c r="N201" s="11"/>
      <c r="O201" s="11"/>
      <c r="P201" s="11"/>
      <c r="Q201" s="10"/>
      <c r="R201" s="11"/>
      <c r="S201" s="11"/>
    </row>
    <row r="202" spans="1:19" ht="12.75">
      <c r="A202" s="9" t="s">
        <v>1151</v>
      </c>
      <c r="B202" s="9" t="s">
        <v>1214</v>
      </c>
      <c r="C202" s="19">
        <v>2020</v>
      </c>
      <c r="D202" s="19" t="s">
        <v>1909</v>
      </c>
      <c r="E202" s="10" t="s">
        <v>1818</v>
      </c>
      <c r="F202" s="10" t="s">
        <v>1215</v>
      </c>
      <c r="G202" s="10" t="s">
        <v>1216</v>
      </c>
      <c r="H202" s="10" t="s">
        <v>1819</v>
      </c>
      <c r="I202" s="10" t="s">
        <v>1820</v>
      </c>
      <c r="J202" s="10" t="s">
        <v>1821</v>
      </c>
      <c r="K202" s="10" t="s">
        <v>1822</v>
      </c>
      <c r="L202" s="10" t="s">
        <v>1217</v>
      </c>
      <c r="M202" s="10"/>
      <c r="N202" s="11"/>
      <c r="O202" s="11"/>
      <c r="P202" s="11"/>
      <c r="Q202" s="10"/>
      <c r="R202" s="11"/>
      <c r="S202" s="11"/>
    </row>
    <row r="203" spans="1:19" ht="12.75">
      <c r="A203" s="9" t="s">
        <v>1151</v>
      </c>
      <c r="B203" s="9" t="s">
        <v>1218</v>
      </c>
      <c r="C203" s="19">
        <v>2020</v>
      </c>
      <c r="D203" s="19" t="s">
        <v>1909</v>
      </c>
      <c r="E203" s="17" t="s">
        <v>1219</v>
      </c>
      <c r="F203" s="17" t="s">
        <v>1220</v>
      </c>
      <c r="G203" s="17" t="s">
        <v>1221</v>
      </c>
      <c r="H203" s="10" t="s">
        <v>1222</v>
      </c>
      <c r="I203" s="10" t="s">
        <v>48</v>
      </c>
      <c r="J203" s="10"/>
      <c r="K203" s="10"/>
      <c r="L203" s="10"/>
      <c r="M203" s="10"/>
      <c r="N203" s="11"/>
      <c r="O203" s="11"/>
      <c r="P203" s="11"/>
      <c r="Q203" s="10"/>
      <c r="R203" s="11"/>
      <c r="S203" s="11"/>
    </row>
    <row r="204" spans="1:19" ht="12.75">
      <c r="A204" s="9" t="s">
        <v>1151</v>
      </c>
      <c r="B204" s="9" t="s">
        <v>1223</v>
      </c>
      <c r="C204" s="19">
        <v>2020</v>
      </c>
      <c r="D204" s="19" t="s">
        <v>1909</v>
      </c>
      <c r="E204" s="10" t="s">
        <v>1224</v>
      </c>
      <c r="F204" s="10" t="s">
        <v>1225</v>
      </c>
      <c r="G204" s="10" t="s">
        <v>1226</v>
      </c>
      <c r="H204" s="10" t="s">
        <v>1227</v>
      </c>
      <c r="I204" s="10" t="s">
        <v>1228</v>
      </c>
      <c r="J204" s="10" t="s">
        <v>1229</v>
      </c>
      <c r="K204" s="10"/>
      <c r="L204" s="10"/>
      <c r="M204" s="10"/>
      <c r="N204" s="11"/>
      <c r="O204" s="11"/>
      <c r="P204" s="11"/>
      <c r="Q204" s="10"/>
      <c r="R204" s="11"/>
      <c r="S204" s="11"/>
    </row>
    <row r="205" spans="1:19" ht="12.75">
      <c r="A205" s="9" t="s">
        <v>1151</v>
      </c>
      <c r="B205" s="9" t="s">
        <v>1230</v>
      </c>
      <c r="C205" s="19">
        <v>2020</v>
      </c>
      <c r="D205" s="19" t="s">
        <v>1909</v>
      </c>
      <c r="E205" s="17" t="s">
        <v>1231</v>
      </c>
      <c r="F205" s="17" t="s">
        <v>1232</v>
      </c>
      <c r="G205" s="17" t="s">
        <v>1233</v>
      </c>
      <c r="H205" s="17" t="s">
        <v>1234</v>
      </c>
      <c r="I205" s="17" t="s">
        <v>1235</v>
      </c>
      <c r="J205" s="17" t="s">
        <v>1236</v>
      </c>
      <c r="K205" s="17" t="s">
        <v>1237</v>
      </c>
      <c r="L205" s="17" t="s">
        <v>1238</v>
      </c>
      <c r="M205" s="17" t="s">
        <v>1239</v>
      </c>
      <c r="N205" s="17" t="s">
        <v>1495</v>
      </c>
      <c r="O205" s="17" t="s">
        <v>1240</v>
      </c>
      <c r="P205" s="11"/>
      <c r="Q205" s="10"/>
      <c r="R205" s="11"/>
      <c r="S205" s="11"/>
    </row>
    <row r="206" spans="1:19" ht="12.75">
      <c r="A206" s="9" t="s">
        <v>1151</v>
      </c>
      <c r="B206" s="9" t="s">
        <v>1241</v>
      </c>
      <c r="C206" s="19">
        <v>2020</v>
      </c>
      <c r="D206" s="19" t="s">
        <v>1909</v>
      </c>
      <c r="E206" s="10" t="s">
        <v>1242</v>
      </c>
      <c r="F206" s="10" t="s">
        <v>1823</v>
      </c>
      <c r="G206" s="10" t="s">
        <v>1243</v>
      </c>
      <c r="H206" s="10" t="s">
        <v>1824</v>
      </c>
      <c r="I206" s="10" t="s">
        <v>1825</v>
      </c>
      <c r="J206" s="10" t="s">
        <v>1826</v>
      </c>
      <c r="K206" s="10" t="s">
        <v>1244</v>
      </c>
      <c r="L206" s="10" t="s">
        <v>1245</v>
      </c>
      <c r="M206" s="10"/>
      <c r="N206" s="11"/>
      <c r="O206" s="11"/>
      <c r="P206" s="11"/>
      <c r="Q206" s="10"/>
      <c r="R206" s="11"/>
      <c r="S206" s="11"/>
    </row>
    <row r="207" spans="1:19" ht="12.75">
      <c r="A207" s="9" t="s">
        <v>1151</v>
      </c>
      <c r="B207" s="9" t="s">
        <v>1247</v>
      </c>
      <c r="C207" s="19">
        <v>2020</v>
      </c>
      <c r="D207" s="19" t="s">
        <v>1909</v>
      </c>
      <c r="E207" s="10"/>
      <c r="F207" s="10"/>
      <c r="G207" s="10"/>
      <c r="H207" s="10"/>
      <c r="I207" s="10"/>
      <c r="J207" s="10"/>
      <c r="K207" s="10"/>
      <c r="L207" s="10"/>
      <c r="M207" s="10"/>
      <c r="N207" s="11"/>
      <c r="O207" s="11"/>
      <c r="P207" s="11"/>
      <c r="Q207" s="10"/>
      <c r="R207" s="11"/>
      <c r="S207" s="11"/>
    </row>
    <row r="208" spans="1:19" ht="12.75">
      <c r="A208" s="9" t="s">
        <v>1151</v>
      </c>
      <c r="B208" s="9" t="s">
        <v>1248</v>
      </c>
      <c r="C208" s="19">
        <v>2020</v>
      </c>
      <c r="D208" s="19" t="s">
        <v>1909</v>
      </c>
      <c r="E208" s="10" t="s">
        <v>1249</v>
      </c>
      <c r="F208" s="10" t="s">
        <v>1250</v>
      </c>
      <c r="G208" s="10" t="s">
        <v>1251</v>
      </c>
      <c r="H208" s="10" t="s">
        <v>1252</v>
      </c>
      <c r="I208" s="10" t="s">
        <v>1253</v>
      </c>
      <c r="J208" s="10" t="s">
        <v>1827</v>
      </c>
      <c r="K208" s="10"/>
      <c r="L208" s="10"/>
      <c r="M208" s="10"/>
      <c r="N208" s="11"/>
      <c r="O208" s="11"/>
      <c r="P208" s="11"/>
      <c r="Q208" s="10"/>
      <c r="R208" s="11"/>
      <c r="S208" s="11"/>
    </row>
    <row r="209" spans="1:19" ht="12.75">
      <c r="A209" s="9" t="s">
        <v>1151</v>
      </c>
      <c r="B209" s="9" t="s">
        <v>1254</v>
      </c>
      <c r="C209" s="19">
        <v>2020</v>
      </c>
      <c r="D209" s="19" t="s">
        <v>1909</v>
      </c>
      <c r="E209" s="10" t="s">
        <v>1255</v>
      </c>
      <c r="F209" s="10" t="s">
        <v>1256</v>
      </c>
      <c r="G209" s="10" t="s">
        <v>1257</v>
      </c>
      <c r="H209" s="10" t="s">
        <v>1258</v>
      </c>
      <c r="I209" s="10" t="s">
        <v>1259</v>
      </c>
      <c r="J209" s="10" t="s">
        <v>1260</v>
      </c>
      <c r="K209" s="10" t="s">
        <v>1261</v>
      </c>
      <c r="L209" s="10"/>
      <c r="M209" s="10"/>
      <c r="N209" s="11"/>
      <c r="O209" s="11"/>
      <c r="P209" s="11"/>
      <c r="Q209" s="10"/>
      <c r="R209" s="11"/>
      <c r="S209" s="11"/>
    </row>
    <row r="210" spans="1:19" ht="15">
      <c r="A210" s="9" t="s">
        <v>1151</v>
      </c>
      <c r="B210" s="9" t="s">
        <v>1262</v>
      </c>
      <c r="C210" s="19">
        <v>2020</v>
      </c>
      <c r="D210" s="19" t="s">
        <v>1909</v>
      </c>
      <c r="E210" s="32" t="s">
        <v>1263</v>
      </c>
      <c r="F210" s="32" t="s">
        <v>1264</v>
      </c>
      <c r="G210" s="32" t="s">
        <v>1265</v>
      </c>
      <c r="H210" s="17" t="s">
        <v>1266</v>
      </c>
      <c r="I210" s="32" t="s">
        <v>1267</v>
      </c>
      <c r="J210" s="32" t="s">
        <v>1268</v>
      </c>
      <c r="K210" s="10"/>
      <c r="L210" s="10"/>
      <c r="M210" s="10"/>
      <c r="N210" s="11"/>
      <c r="O210" s="11"/>
      <c r="P210" s="11"/>
      <c r="Q210" s="10"/>
      <c r="R210" s="11"/>
      <c r="S210" s="11"/>
    </row>
    <row r="211" spans="1:19" ht="15">
      <c r="A211" s="9" t="s">
        <v>1151</v>
      </c>
      <c r="B211" s="9" t="s">
        <v>1269</v>
      </c>
      <c r="C211" s="19">
        <v>2020</v>
      </c>
      <c r="D211" s="19" t="s">
        <v>1909</v>
      </c>
      <c r="E211" s="17" t="s">
        <v>1270</v>
      </c>
      <c r="F211" s="17" t="s">
        <v>1271</v>
      </c>
      <c r="G211" s="10" t="s">
        <v>1272</v>
      </c>
      <c r="H211" s="10" t="s">
        <v>1273</v>
      </c>
      <c r="I211" s="10" t="s">
        <v>1274</v>
      </c>
      <c r="J211" s="10" t="s">
        <v>1275</v>
      </c>
      <c r="K211" s="10" t="s">
        <v>1276</v>
      </c>
      <c r="L211" s="32" t="s">
        <v>1277</v>
      </c>
      <c r="M211" s="32" t="s">
        <v>1278</v>
      </c>
      <c r="N211" s="11"/>
      <c r="O211" s="11"/>
      <c r="P211" s="11"/>
      <c r="Q211" s="10"/>
      <c r="R211" s="11"/>
      <c r="S211" s="11"/>
    </row>
    <row r="212" spans="1:19" ht="15">
      <c r="A212" s="9" t="s">
        <v>1151</v>
      </c>
      <c r="B212" s="9" t="s">
        <v>1279</v>
      </c>
      <c r="C212" s="19">
        <v>2020</v>
      </c>
      <c r="D212" s="19" t="s">
        <v>1909</v>
      </c>
      <c r="E212" s="32" t="s">
        <v>1280</v>
      </c>
      <c r="F212" s="32" t="s">
        <v>1281</v>
      </c>
      <c r="G212" s="32" t="s">
        <v>1282</v>
      </c>
      <c r="H212" s="32" t="s">
        <v>1283</v>
      </c>
      <c r="I212" s="32" t="s">
        <v>1284</v>
      </c>
      <c r="J212" s="32" t="s">
        <v>1285</v>
      </c>
      <c r="K212" s="33" t="s">
        <v>1286</v>
      </c>
      <c r="L212" s="32" t="s">
        <v>1287</v>
      </c>
      <c r="M212" s="33" t="s">
        <v>1288</v>
      </c>
      <c r="N212" s="11"/>
      <c r="O212" s="11"/>
      <c r="P212" s="11"/>
      <c r="Q212" s="10"/>
      <c r="R212" s="11"/>
      <c r="S212" s="11"/>
    </row>
    <row r="213" spans="1:19" ht="12.75">
      <c r="A213" s="9" t="s">
        <v>1151</v>
      </c>
      <c r="B213" s="9" t="s">
        <v>1289</v>
      </c>
      <c r="C213" s="19">
        <v>2020</v>
      </c>
      <c r="D213" s="19" t="s">
        <v>1909</v>
      </c>
      <c r="E213" s="10" t="s">
        <v>1828</v>
      </c>
      <c r="F213" s="10" t="s">
        <v>1829</v>
      </c>
      <c r="G213" s="10" t="s">
        <v>1290</v>
      </c>
      <c r="H213" s="10" t="s">
        <v>1291</v>
      </c>
      <c r="I213" s="10" t="s">
        <v>1292</v>
      </c>
      <c r="J213" s="10" t="s">
        <v>1293</v>
      </c>
      <c r="K213" s="10" t="s">
        <v>1294</v>
      </c>
      <c r="L213" s="10" t="s">
        <v>1295</v>
      </c>
      <c r="M213" s="10" t="s">
        <v>1296</v>
      </c>
      <c r="N213" s="11" t="s">
        <v>1297</v>
      </c>
      <c r="O213" s="11" t="s">
        <v>1298</v>
      </c>
      <c r="P213" s="11"/>
      <c r="Q213" s="10"/>
      <c r="R213" s="11"/>
      <c r="S213" s="11"/>
    </row>
    <row r="214" spans="1:19" ht="15">
      <c r="A214" s="9" t="s">
        <v>1151</v>
      </c>
      <c r="B214" s="9" t="s">
        <v>1299</v>
      </c>
      <c r="C214" s="19">
        <v>2020</v>
      </c>
      <c r="D214" s="19" t="s">
        <v>1909</v>
      </c>
      <c r="E214" s="20" t="s">
        <v>1300</v>
      </c>
      <c r="F214" s="20" t="s">
        <v>1301</v>
      </c>
      <c r="G214" s="32" t="s">
        <v>1302</v>
      </c>
      <c r="H214" s="20" t="s">
        <v>1303</v>
      </c>
      <c r="I214" s="32" t="s">
        <v>1304</v>
      </c>
      <c r="J214" s="32" t="s">
        <v>1305</v>
      </c>
      <c r="K214" s="32" t="s">
        <v>1306</v>
      </c>
      <c r="L214" s="32" t="s">
        <v>1307</v>
      </c>
      <c r="M214" s="10"/>
      <c r="N214" s="11"/>
      <c r="O214" s="11"/>
      <c r="P214" s="11"/>
      <c r="Q214" s="10"/>
      <c r="R214" s="11"/>
      <c r="S214" s="11"/>
    </row>
    <row r="215" spans="1:19" ht="12.75">
      <c r="A215" s="9" t="s">
        <v>1151</v>
      </c>
      <c r="B215" s="9" t="s">
        <v>1308</v>
      </c>
      <c r="C215" s="19">
        <v>2020</v>
      </c>
      <c r="D215" s="19" t="s">
        <v>1909</v>
      </c>
      <c r="E215" s="10" t="s">
        <v>1309</v>
      </c>
      <c r="F215" s="10" t="s">
        <v>1310</v>
      </c>
      <c r="G215" s="10" t="s">
        <v>1311</v>
      </c>
      <c r="H215" s="10" t="s">
        <v>1312</v>
      </c>
      <c r="I215" s="10" t="s">
        <v>1313</v>
      </c>
      <c r="J215" s="10" t="s">
        <v>1314</v>
      </c>
      <c r="K215" s="10" t="s">
        <v>1315</v>
      </c>
      <c r="L215" s="10"/>
      <c r="M215" s="10"/>
      <c r="N215" s="11"/>
      <c r="O215" s="11"/>
      <c r="P215" s="11"/>
      <c r="Q215" s="10"/>
      <c r="R215" s="11"/>
      <c r="S215" s="11"/>
    </row>
    <row r="216" spans="1:19" ht="12.75">
      <c r="A216" s="9" t="s">
        <v>1151</v>
      </c>
      <c r="B216" s="9" t="s">
        <v>1316</v>
      </c>
      <c r="C216" s="19">
        <v>2020</v>
      </c>
      <c r="D216" s="19" t="s">
        <v>1909</v>
      </c>
      <c r="E216" s="10" t="s">
        <v>1318</v>
      </c>
      <c r="F216" s="10" t="s">
        <v>1830</v>
      </c>
      <c r="G216" s="10" t="s">
        <v>1831</v>
      </c>
      <c r="H216" s="10" t="s">
        <v>1319</v>
      </c>
      <c r="I216" s="10" t="s">
        <v>1320</v>
      </c>
      <c r="J216" s="10" t="s">
        <v>1832</v>
      </c>
      <c r="K216" s="10" t="s">
        <v>1833</v>
      </c>
      <c r="L216" s="10" t="s">
        <v>1321</v>
      </c>
      <c r="M216" s="10"/>
      <c r="N216" s="11"/>
      <c r="O216" s="11"/>
      <c r="P216" s="11"/>
      <c r="Q216" s="10"/>
      <c r="R216" s="11"/>
      <c r="S216" s="11"/>
    </row>
    <row r="217" spans="1:19" ht="12.75">
      <c r="A217" s="9" t="s">
        <v>1151</v>
      </c>
      <c r="B217" s="9" t="s">
        <v>1322</v>
      </c>
      <c r="C217" s="19">
        <v>2020</v>
      </c>
      <c r="D217" s="19" t="s">
        <v>1909</v>
      </c>
      <c r="E217" s="10" t="s">
        <v>1323</v>
      </c>
      <c r="F217" s="10" t="s">
        <v>1324</v>
      </c>
      <c r="G217" s="10" t="s">
        <v>1834</v>
      </c>
      <c r="H217" s="10" t="s">
        <v>1325</v>
      </c>
      <c r="I217" s="10" t="s">
        <v>1326</v>
      </c>
      <c r="J217" s="10" t="s">
        <v>1327</v>
      </c>
      <c r="K217" s="10" t="s">
        <v>1328</v>
      </c>
      <c r="L217" s="10" t="s">
        <v>1217</v>
      </c>
      <c r="M217" s="10"/>
      <c r="N217" s="11"/>
      <c r="O217" s="11"/>
      <c r="P217" s="11"/>
      <c r="Q217" s="10"/>
      <c r="R217" s="11"/>
      <c r="S217" s="11"/>
    </row>
    <row r="218" spans="1:19" ht="12.75">
      <c r="A218" s="9" t="s">
        <v>1151</v>
      </c>
      <c r="B218" s="9" t="s">
        <v>1329</v>
      </c>
      <c r="C218" s="19">
        <v>2020</v>
      </c>
      <c r="D218" s="19" t="s">
        <v>1909</v>
      </c>
      <c r="E218" s="17" t="s">
        <v>1330</v>
      </c>
      <c r="F218" s="17" t="s">
        <v>1331</v>
      </c>
      <c r="G218" s="17" t="s">
        <v>1332</v>
      </c>
      <c r="H218" s="17" t="s">
        <v>1333</v>
      </c>
      <c r="I218" s="17" t="s">
        <v>1334</v>
      </c>
      <c r="J218" s="17" t="s">
        <v>1335</v>
      </c>
      <c r="K218" s="17" t="s">
        <v>1835</v>
      </c>
      <c r="L218" s="10"/>
      <c r="M218" s="10"/>
      <c r="N218" s="11"/>
      <c r="O218" s="11"/>
      <c r="P218" s="11"/>
      <c r="Q218" s="10"/>
      <c r="R218" s="11"/>
      <c r="S218" s="11"/>
    </row>
    <row r="219" spans="1:19" ht="12.75">
      <c r="A219" s="9" t="s">
        <v>1151</v>
      </c>
      <c r="B219" s="9" t="s">
        <v>1336</v>
      </c>
      <c r="C219" s="19">
        <v>2020</v>
      </c>
      <c r="D219" s="19" t="s">
        <v>1909</v>
      </c>
      <c r="E219" s="10"/>
      <c r="F219" s="10"/>
      <c r="G219" s="10"/>
      <c r="H219" s="10"/>
      <c r="I219" s="10"/>
      <c r="J219" s="10"/>
      <c r="K219" s="10"/>
      <c r="L219" s="10"/>
      <c r="M219" s="10"/>
      <c r="N219" s="11"/>
      <c r="O219" s="11"/>
      <c r="P219" s="11"/>
      <c r="Q219" s="10"/>
      <c r="R219" s="11"/>
      <c r="S219" s="11"/>
    </row>
    <row r="220" spans="1:19" ht="12.75">
      <c r="A220" s="9" t="s">
        <v>1151</v>
      </c>
      <c r="B220" s="9" t="s">
        <v>1337</v>
      </c>
      <c r="C220" s="19">
        <v>2020</v>
      </c>
      <c r="D220" s="19" t="s">
        <v>1909</v>
      </c>
      <c r="E220" s="10"/>
      <c r="F220" s="10"/>
      <c r="G220" s="10"/>
      <c r="H220" s="10"/>
      <c r="I220" s="10"/>
      <c r="J220" s="10"/>
      <c r="K220" s="10"/>
      <c r="L220" s="10"/>
      <c r="M220" s="10"/>
      <c r="N220" s="11"/>
      <c r="O220" s="11"/>
      <c r="P220" s="11"/>
      <c r="Q220" s="10"/>
      <c r="R220" s="11"/>
      <c r="S220" s="11"/>
    </row>
    <row r="221" spans="1:19" ht="12.75">
      <c r="A221" s="9" t="s">
        <v>1151</v>
      </c>
      <c r="B221" s="9" t="s">
        <v>1338</v>
      </c>
      <c r="C221" s="19">
        <v>2020</v>
      </c>
      <c r="D221" s="19" t="s">
        <v>1909</v>
      </c>
      <c r="E221" s="10"/>
      <c r="F221" s="10"/>
      <c r="G221" s="10"/>
      <c r="H221" s="10"/>
      <c r="I221" s="10"/>
      <c r="J221" s="10"/>
      <c r="K221" s="10"/>
      <c r="L221" s="10"/>
      <c r="M221" s="10"/>
      <c r="N221" s="11"/>
      <c r="O221" s="11"/>
      <c r="P221" s="11"/>
      <c r="Q221" s="10"/>
      <c r="R221" s="11"/>
      <c r="S221" s="11"/>
    </row>
    <row r="222" spans="1:19" ht="12.75">
      <c r="A222" s="9" t="s">
        <v>1151</v>
      </c>
      <c r="B222" s="9" t="s">
        <v>1339</v>
      </c>
      <c r="C222" s="19">
        <v>2020</v>
      </c>
      <c r="D222" s="19" t="s">
        <v>1909</v>
      </c>
      <c r="E222" s="10"/>
      <c r="F222" s="10"/>
      <c r="G222" s="10"/>
      <c r="H222" s="10"/>
      <c r="I222" s="10"/>
      <c r="J222" s="10"/>
      <c r="K222" s="10"/>
      <c r="L222" s="10"/>
      <c r="M222" s="10"/>
      <c r="N222" s="11"/>
      <c r="O222" s="11"/>
      <c r="P222" s="11"/>
      <c r="Q222" s="10"/>
      <c r="R222" s="11"/>
      <c r="S222" s="11"/>
    </row>
    <row r="223" spans="1:19" ht="12.75">
      <c r="A223" s="9" t="s">
        <v>1340</v>
      </c>
      <c r="B223" s="9" t="s">
        <v>1110</v>
      </c>
      <c r="C223" s="19">
        <v>2020</v>
      </c>
      <c r="D223" s="19" t="s">
        <v>1909</v>
      </c>
      <c r="E223" s="10" t="s">
        <v>1836</v>
      </c>
      <c r="F223" s="10" t="s">
        <v>1341</v>
      </c>
      <c r="G223" s="17" t="s">
        <v>1837</v>
      </c>
      <c r="H223" s="17" t="s">
        <v>1838</v>
      </c>
      <c r="I223" s="17" t="s">
        <v>1839</v>
      </c>
      <c r="J223" s="17" t="s">
        <v>1342</v>
      </c>
      <c r="K223" s="10"/>
      <c r="L223" s="10"/>
      <c r="M223" s="10"/>
      <c r="N223" s="11"/>
      <c r="O223" s="11"/>
      <c r="P223" s="11"/>
      <c r="Q223" s="10"/>
      <c r="R223" s="11"/>
      <c r="S223" s="11"/>
    </row>
    <row r="224" spans="1:19" ht="12.75">
      <c r="A224" s="9" t="s">
        <v>1340</v>
      </c>
      <c r="B224" s="9" t="s">
        <v>1146</v>
      </c>
      <c r="C224" s="19">
        <v>2020</v>
      </c>
      <c r="D224" s="19" t="s">
        <v>1909</v>
      </c>
      <c r="E224" s="17" t="s">
        <v>1343</v>
      </c>
      <c r="F224" s="17" t="s">
        <v>1344</v>
      </c>
      <c r="G224" s="17" t="s">
        <v>1345</v>
      </c>
      <c r="H224" s="17" t="s">
        <v>1346</v>
      </c>
      <c r="I224" s="17" t="s">
        <v>1347</v>
      </c>
      <c r="J224" s="17" t="s">
        <v>1348</v>
      </c>
      <c r="K224" s="10"/>
      <c r="L224" s="10"/>
      <c r="M224" s="10"/>
      <c r="N224" s="11"/>
      <c r="O224" s="11"/>
      <c r="P224" s="11"/>
      <c r="Q224" s="10"/>
      <c r="R224" s="11"/>
      <c r="S224" s="11"/>
    </row>
    <row r="225" spans="1:19" ht="12.75">
      <c r="A225" s="9" t="s">
        <v>1340</v>
      </c>
      <c r="B225" s="9" t="s">
        <v>1175</v>
      </c>
      <c r="C225" s="19">
        <v>2020</v>
      </c>
      <c r="D225" s="19" t="s">
        <v>1909</v>
      </c>
      <c r="E225" s="10" t="s">
        <v>1840</v>
      </c>
      <c r="F225" s="10" t="s">
        <v>1841</v>
      </c>
      <c r="G225" s="10" t="s">
        <v>1842</v>
      </c>
      <c r="H225" s="10" t="s">
        <v>1843</v>
      </c>
      <c r="I225" s="10" t="s">
        <v>1844</v>
      </c>
      <c r="J225" s="10" t="s">
        <v>1845</v>
      </c>
      <c r="K225" s="10" t="s">
        <v>1846</v>
      </c>
      <c r="L225" s="10" t="s">
        <v>1847</v>
      </c>
      <c r="M225" s="10" t="s">
        <v>1848</v>
      </c>
      <c r="N225" s="11" t="s">
        <v>1849</v>
      </c>
      <c r="O225" s="11" t="s">
        <v>1850</v>
      </c>
      <c r="P225" s="11" t="s">
        <v>1851</v>
      </c>
      <c r="Q225" s="10" t="s">
        <v>1852</v>
      </c>
      <c r="R225" s="11" t="s">
        <v>1853</v>
      </c>
      <c r="S225" s="11"/>
    </row>
    <row r="226" spans="1:19" ht="12.75">
      <c r="A226" s="9" t="s">
        <v>1340</v>
      </c>
      <c r="B226" s="9" t="s">
        <v>1246</v>
      </c>
      <c r="C226" s="19">
        <v>2020</v>
      </c>
      <c r="D226" s="19" t="s">
        <v>1909</v>
      </c>
      <c r="E226" s="10" t="s">
        <v>1840</v>
      </c>
      <c r="F226" s="10" t="s">
        <v>1841</v>
      </c>
      <c r="G226" s="10" t="s">
        <v>1854</v>
      </c>
      <c r="H226" s="10" t="s">
        <v>1855</v>
      </c>
      <c r="I226" s="10" t="s">
        <v>1856</v>
      </c>
      <c r="J226" s="10" t="s">
        <v>1857</v>
      </c>
      <c r="K226" s="10" t="s">
        <v>1858</v>
      </c>
      <c r="L226" s="10" t="s">
        <v>1859</v>
      </c>
      <c r="M226" s="10" t="s">
        <v>1860</v>
      </c>
      <c r="N226" s="11" t="s">
        <v>1861</v>
      </c>
      <c r="O226" s="11" t="s">
        <v>1852</v>
      </c>
      <c r="P226" s="11" t="s">
        <v>1853</v>
      </c>
      <c r="Q226" s="10"/>
      <c r="R226" s="11"/>
      <c r="S226" s="11"/>
    </row>
    <row r="227" spans="1:19" ht="12.75">
      <c r="A227" s="9" t="s">
        <v>1340</v>
      </c>
      <c r="B227" s="9" t="s">
        <v>1317</v>
      </c>
      <c r="C227" s="19">
        <v>2020</v>
      </c>
      <c r="D227" s="19" t="s">
        <v>1909</v>
      </c>
      <c r="E227" s="57" t="s">
        <v>1681</v>
      </c>
      <c r="F227" s="57" t="s">
        <v>1682</v>
      </c>
      <c r="G227" s="57" t="s">
        <v>1683</v>
      </c>
      <c r="H227" s="57" t="s">
        <v>1379</v>
      </c>
      <c r="I227" s="57" t="s">
        <v>1684</v>
      </c>
      <c r="J227" s="57" t="s">
        <v>1685</v>
      </c>
      <c r="K227" s="10"/>
      <c r="L227" s="10"/>
      <c r="M227" s="10"/>
      <c r="N227" s="11"/>
      <c r="O227" s="11"/>
      <c r="P227" s="11"/>
      <c r="Q227" s="10"/>
      <c r="R227" s="11"/>
      <c r="S227" s="11"/>
    </row>
    <row r="228" spans="1:19" ht="12.75">
      <c r="A228" s="9" t="s">
        <v>1340</v>
      </c>
      <c r="B228" s="9" t="s">
        <v>1349</v>
      </c>
      <c r="C228" s="19">
        <v>2020</v>
      </c>
      <c r="D228" s="19" t="s">
        <v>1909</v>
      </c>
      <c r="E228" s="10" t="s">
        <v>1350</v>
      </c>
      <c r="F228" s="10" t="s">
        <v>1351</v>
      </c>
      <c r="G228" s="10" t="s">
        <v>1352</v>
      </c>
      <c r="H228" s="10" t="s">
        <v>1353</v>
      </c>
      <c r="I228" s="10" t="s">
        <v>1354</v>
      </c>
      <c r="J228" s="10" t="s">
        <v>1355</v>
      </c>
      <c r="K228" s="10" t="s">
        <v>1356</v>
      </c>
      <c r="L228" s="10"/>
      <c r="M228" s="10"/>
      <c r="N228" s="11"/>
      <c r="O228" s="11"/>
      <c r="P228" s="11"/>
      <c r="Q228" s="10"/>
      <c r="R228" s="11"/>
      <c r="S228" s="11"/>
    </row>
    <row r="229" spans="1:19" ht="12.75">
      <c r="A229" s="9" t="s">
        <v>1340</v>
      </c>
      <c r="B229" s="9" t="s">
        <v>1357</v>
      </c>
      <c r="C229" s="19">
        <v>2020</v>
      </c>
      <c r="D229" s="19" t="s">
        <v>1909</v>
      </c>
      <c r="E229" s="10" t="s">
        <v>1358</v>
      </c>
      <c r="F229" s="10" t="s">
        <v>1359</v>
      </c>
      <c r="G229" s="10" t="s">
        <v>1360</v>
      </c>
      <c r="H229" s="10" t="s">
        <v>1361</v>
      </c>
      <c r="I229" s="10" t="s">
        <v>1362</v>
      </c>
      <c r="J229" s="10" t="s">
        <v>1363</v>
      </c>
      <c r="K229" s="10" t="s">
        <v>1364</v>
      </c>
      <c r="L229" s="10"/>
      <c r="M229" s="10"/>
      <c r="N229" s="11"/>
      <c r="O229" s="11"/>
      <c r="P229" s="11"/>
      <c r="Q229" s="10"/>
      <c r="R229" s="11"/>
      <c r="S229" s="11"/>
    </row>
    <row r="230" spans="1:19" ht="12.75">
      <c r="A230" s="9" t="s">
        <v>1340</v>
      </c>
      <c r="B230" s="9" t="s">
        <v>1365</v>
      </c>
      <c r="C230" s="19">
        <v>2020</v>
      </c>
      <c r="D230" s="19" t="s">
        <v>1909</v>
      </c>
      <c r="E230" s="10" t="s">
        <v>1072</v>
      </c>
      <c r="F230" s="10" t="s">
        <v>1073</v>
      </c>
      <c r="G230" s="10" t="s">
        <v>1366</v>
      </c>
      <c r="H230" s="10" t="s">
        <v>1367</v>
      </c>
      <c r="I230" s="10" t="s">
        <v>1368</v>
      </c>
      <c r="J230" s="10"/>
      <c r="K230" s="10"/>
      <c r="L230" s="10"/>
      <c r="M230" s="10"/>
      <c r="N230" s="11"/>
      <c r="O230" s="11"/>
      <c r="P230" s="11"/>
      <c r="Q230" s="10"/>
      <c r="R230" s="11"/>
      <c r="S230" s="11"/>
    </row>
    <row r="231" spans="1:19" ht="12.75">
      <c r="A231" s="9" t="s">
        <v>1340</v>
      </c>
      <c r="B231" s="9" t="s">
        <v>1369</v>
      </c>
      <c r="C231" s="19">
        <v>2020</v>
      </c>
      <c r="D231" s="19" t="s">
        <v>1909</v>
      </c>
      <c r="E231" s="10" t="s">
        <v>1370</v>
      </c>
      <c r="F231" s="10" t="s">
        <v>1371</v>
      </c>
      <c r="G231" s="10" t="s">
        <v>1372</v>
      </c>
      <c r="H231" s="10" t="s">
        <v>1373</v>
      </c>
      <c r="I231" s="10" t="s">
        <v>1374</v>
      </c>
      <c r="J231" s="10"/>
      <c r="K231" s="10"/>
      <c r="L231" s="10"/>
      <c r="M231" s="10"/>
      <c r="N231" s="11"/>
      <c r="O231" s="11"/>
      <c r="P231" s="10"/>
      <c r="Q231" s="11"/>
      <c r="R231" s="11"/>
      <c r="S231" s="12" t="b">
        <v>1</v>
      </c>
    </row>
    <row r="232" spans="1:19" ht="12.75">
      <c r="A232" s="9" t="s">
        <v>1340</v>
      </c>
      <c r="B232" s="9" t="s">
        <v>1375</v>
      </c>
      <c r="C232" s="19">
        <v>2020</v>
      </c>
      <c r="D232" s="19" t="s">
        <v>1909</v>
      </c>
      <c r="E232" s="10" t="s">
        <v>1862</v>
      </c>
      <c r="F232" s="10" t="s">
        <v>1863</v>
      </c>
      <c r="G232" s="10" t="s">
        <v>1864</v>
      </c>
      <c r="H232" s="10" t="s">
        <v>1865</v>
      </c>
      <c r="I232" s="10" t="s">
        <v>1866</v>
      </c>
      <c r="J232" s="10" t="s">
        <v>1867</v>
      </c>
      <c r="K232" s="10" t="s">
        <v>1868</v>
      </c>
      <c r="L232" s="10" t="s">
        <v>1869</v>
      </c>
      <c r="M232" s="10" t="s">
        <v>1870</v>
      </c>
      <c r="N232" s="11"/>
      <c r="O232" s="11"/>
      <c r="P232" s="11"/>
      <c r="Q232" s="10"/>
      <c r="R232" s="11"/>
      <c r="S232" s="11"/>
    </row>
    <row r="233" spans="1:19" ht="12.75">
      <c r="A233" s="9" t="s">
        <v>1340</v>
      </c>
      <c r="B233" s="9" t="s">
        <v>1376</v>
      </c>
      <c r="C233" s="19">
        <v>2020</v>
      </c>
      <c r="D233" s="19" t="s">
        <v>1909</v>
      </c>
      <c r="E233" s="10" t="s">
        <v>1377</v>
      </c>
      <c r="F233" s="10" t="s">
        <v>1871</v>
      </c>
      <c r="G233" s="10" t="s">
        <v>1378</v>
      </c>
      <c r="H233" s="10" t="s">
        <v>1379</v>
      </c>
      <c r="I233" s="10" t="s">
        <v>1380</v>
      </c>
      <c r="J233" s="10" t="s">
        <v>1381</v>
      </c>
      <c r="K233" s="10"/>
      <c r="L233" s="10"/>
      <c r="M233" s="10"/>
      <c r="N233" s="11"/>
      <c r="O233" s="11"/>
      <c r="P233" s="11"/>
      <c r="Q233" s="10"/>
      <c r="R233" s="11"/>
      <c r="S233" s="11"/>
    </row>
    <row r="234" spans="1:19" ht="12.75">
      <c r="A234" s="9" t="s">
        <v>1340</v>
      </c>
      <c r="B234" s="9" t="s">
        <v>1382</v>
      </c>
      <c r="C234" s="19">
        <v>2020</v>
      </c>
      <c r="D234" s="19" t="s">
        <v>1909</v>
      </c>
      <c r="E234" s="10" t="s">
        <v>1872</v>
      </c>
      <c r="F234" s="10" t="s">
        <v>1873</v>
      </c>
      <c r="G234" s="10" t="s">
        <v>1874</v>
      </c>
      <c r="H234" s="10" t="s">
        <v>1875</v>
      </c>
      <c r="I234" s="10" t="s">
        <v>1876</v>
      </c>
      <c r="J234" s="10" t="s">
        <v>1877</v>
      </c>
      <c r="K234" s="10" t="s">
        <v>1878</v>
      </c>
      <c r="L234" s="10" t="s">
        <v>1879</v>
      </c>
      <c r="M234" s="10" t="s">
        <v>1880</v>
      </c>
      <c r="N234" s="11" t="s">
        <v>1881</v>
      </c>
      <c r="O234" s="11" t="s">
        <v>1882</v>
      </c>
      <c r="P234" s="11"/>
      <c r="Q234" s="10"/>
      <c r="R234" s="11"/>
      <c r="S234" s="11"/>
    </row>
    <row r="235" spans="1:19" ht="12.75">
      <c r="A235" s="9" t="s">
        <v>1340</v>
      </c>
      <c r="B235" s="9" t="s">
        <v>1383</v>
      </c>
      <c r="C235" s="19">
        <v>2020</v>
      </c>
      <c r="D235" s="19" t="s">
        <v>1909</v>
      </c>
      <c r="E235" s="10" t="s">
        <v>1883</v>
      </c>
      <c r="F235" s="10" t="s">
        <v>1884</v>
      </c>
      <c r="G235" s="10" t="s">
        <v>1885</v>
      </c>
      <c r="H235" s="10" t="s">
        <v>1886</v>
      </c>
      <c r="I235" s="10" t="s">
        <v>1887</v>
      </c>
      <c r="J235" s="10" t="s">
        <v>1888</v>
      </c>
      <c r="K235" s="10"/>
      <c r="L235" s="10"/>
      <c r="M235" s="10"/>
      <c r="N235" s="11"/>
      <c r="O235" s="11"/>
      <c r="P235" s="11"/>
      <c r="Q235" s="10"/>
      <c r="R235" s="11"/>
      <c r="S235" s="11"/>
    </row>
    <row r="236" spans="1:19" ht="12.75">
      <c r="A236" s="9" t="s">
        <v>1340</v>
      </c>
      <c r="B236" s="9" t="s">
        <v>1384</v>
      </c>
      <c r="C236" s="19">
        <v>2020</v>
      </c>
      <c r="D236" s="19" t="s">
        <v>1909</v>
      </c>
      <c r="E236" s="10" t="s">
        <v>1889</v>
      </c>
      <c r="F236" s="10"/>
      <c r="G236" s="10"/>
      <c r="H236" s="10"/>
      <c r="I236" s="10"/>
      <c r="J236" s="10"/>
      <c r="K236" s="10"/>
      <c r="L236" s="10"/>
      <c r="M236" s="10"/>
      <c r="N236" s="11"/>
      <c r="O236" s="11"/>
      <c r="P236" s="11"/>
      <c r="Q236" s="10"/>
      <c r="R236" s="11"/>
      <c r="S236" s="11"/>
    </row>
    <row r="237" spans="1:19" ht="12.75">
      <c r="A237" s="9" t="s">
        <v>1340</v>
      </c>
      <c r="B237" s="9" t="s">
        <v>1385</v>
      </c>
      <c r="C237" s="19">
        <v>2020</v>
      </c>
      <c r="D237" s="19" t="s">
        <v>1909</v>
      </c>
      <c r="E237" s="17" t="s">
        <v>1386</v>
      </c>
      <c r="F237" s="17" t="s">
        <v>1387</v>
      </c>
      <c r="G237" s="17" t="s">
        <v>1388</v>
      </c>
      <c r="H237" s="17" t="s">
        <v>1389</v>
      </c>
      <c r="I237" s="10"/>
      <c r="J237" s="10"/>
      <c r="K237" s="10"/>
      <c r="L237" s="10"/>
      <c r="M237" s="10"/>
      <c r="N237" s="11"/>
      <c r="O237" s="11"/>
      <c r="P237" s="11"/>
      <c r="Q237" s="10"/>
      <c r="R237" s="11"/>
      <c r="S237" s="11"/>
    </row>
    <row r="238" spans="1:19" ht="12.75">
      <c r="A238" s="9" t="s">
        <v>1340</v>
      </c>
      <c r="B238" s="9" t="s">
        <v>1390</v>
      </c>
      <c r="C238" s="19">
        <v>2020</v>
      </c>
      <c r="D238" s="19" t="s">
        <v>1909</v>
      </c>
      <c r="E238" s="17" t="s">
        <v>1391</v>
      </c>
      <c r="F238" s="17" t="s">
        <v>1392</v>
      </c>
      <c r="G238" s="17" t="s">
        <v>1378</v>
      </c>
      <c r="H238" s="17" t="s">
        <v>1379</v>
      </c>
      <c r="I238" s="17" t="s">
        <v>1380</v>
      </c>
      <c r="J238" s="17" t="s">
        <v>1381</v>
      </c>
      <c r="K238" s="10"/>
      <c r="L238" s="10"/>
      <c r="M238" s="10"/>
      <c r="N238" s="11"/>
      <c r="O238" s="11"/>
      <c r="P238" s="11"/>
      <c r="Q238" s="10"/>
      <c r="R238" s="11"/>
      <c r="S238" s="11"/>
    </row>
    <row r="239" spans="1:19" ht="12.75">
      <c r="A239" s="9" t="s">
        <v>1340</v>
      </c>
      <c r="B239" s="9" t="s">
        <v>1393</v>
      </c>
      <c r="C239" s="19">
        <v>2020</v>
      </c>
      <c r="D239" s="19" t="s">
        <v>1909</v>
      </c>
      <c r="E239" s="10"/>
      <c r="F239" s="10"/>
      <c r="G239" s="10"/>
      <c r="H239" s="10"/>
      <c r="I239" s="10"/>
      <c r="J239" s="10"/>
      <c r="K239" s="10"/>
      <c r="L239" s="10"/>
      <c r="M239" s="10"/>
      <c r="N239" s="11"/>
      <c r="O239" s="11"/>
      <c r="P239" s="11"/>
      <c r="Q239" s="10"/>
      <c r="R239" s="11"/>
      <c r="S239" s="11"/>
    </row>
    <row r="240" spans="1:19" ht="12.75">
      <c r="A240" s="9" t="s">
        <v>1340</v>
      </c>
      <c r="B240" s="9" t="s">
        <v>1394</v>
      </c>
      <c r="C240" s="19">
        <v>2020</v>
      </c>
      <c r="D240" s="19" t="s">
        <v>1909</v>
      </c>
      <c r="E240" s="10" t="s">
        <v>1890</v>
      </c>
      <c r="F240" s="10" t="s">
        <v>1871</v>
      </c>
      <c r="G240" s="10" t="s">
        <v>1891</v>
      </c>
      <c r="H240" s="10" t="s">
        <v>1892</v>
      </c>
      <c r="I240" s="10" t="s">
        <v>1381</v>
      </c>
      <c r="J240" s="10"/>
      <c r="K240" s="10"/>
      <c r="L240" s="10"/>
      <c r="M240" s="10"/>
      <c r="N240" s="11"/>
      <c r="O240" s="11"/>
      <c r="P240" s="11"/>
      <c r="Q240" s="10"/>
      <c r="R240" s="11"/>
      <c r="S240" s="11"/>
    </row>
    <row r="241" spans="1:19" ht="12.75">
      <c r="A241" s="9" t="s">
        <v>1340</v>
      </c>
      <c r="B241" s="9" t="s">
        <v>1395</v>
      </c>
      <c r="C241" s="19">
        <v>2020</v>
      </c>
      <c r="D241" s="19" t="s">
        <v>1909</v>
      </c>
      <c r="E241" s="10" t="s">
        <v>1396</v>
      </c>
      <c r="F241" s="10" t="s">
        <v>1397</v>
      </c>
      <c r="G241" s="10" t="s">
        <v>1398</v>
      </c>
      <c r="H241" s="10" t="s">
        <v>1399</v>
      </c>
      <c r="I241" s="10" t="s">
        <v>1400</v>
      </c>
      <c r="J241" s="10" t="s">
        <v>1401</v>
      </c>
      <c r="K241" s="10" t="s">
        <v>1402</v>
      </c>
      <c r="L241" s="10" t="s">
        <v>1403</v>
      </c>
      <c r="M241" s="10" t="s">
        <v>1404</v>
      </c>
      <c r="N241" s="11"/>
      <c r="O241" s="11"/>
      <c r="P241" s="11"/>
      <c r="Q241" s="10"/>
      <c r="R241" s="11"/>
      <c r="S241" s="11"/>
    </row>
    <row r="242" spans="1:19" ht="12.75">
      <c r="A242" s="9" t="s">
        <v>1340</v>
      </c>
      <c r="B242" s="9" t="s">
        <v>1405</v>
      </c>
      <c r="C242" s="19">
        <v>2020</v>
      </c>
      <c r="D242" s="19" t="s">
        <v>1909</v>
      </c>
      <c r="E242" s="10"/>
      <c r="F242" s="10"/>
      <c r="G242" s="10"/>
      <c r="H242" s="10"/>
      <c r="I242" s="10"/>
      <c r="J242" s="10"/>
      <c r="K242" s="10"/>
      <c r="L242" s="10"/>
      <c r="M242" s="10"/>
      <c r="N242" s="11"/>
      <c r="O242" s="11"/>
      <c r="P242" s="11"/>
      <c r="Q242" s="10"/>
      <c r="R242" s="11"/>
      <c r="S242" s="11"/>
    </row>
    <row r="243" spans="1:19" ht="12.75">
      <c r="A243" s="9" t="s">
        <v>1340</v>
      </c>
      <c r="B243" s="9" t="s">
        <v>1406</v>
      </c>
      <c r="C243" s="19">
        <v>2020</v>
      </c>
      <c r="D243" s="19" t="s">
        <v>1909</v>
      </c>
      <c r="E243" s="10"/>
      <c r="F243" s="10"/>
      <c r="G243" s="10"/>
      <c r="H243" s="10"/>
      <c r="I243" s="10"/>
      <c r="J243" s="10"/>
      <c r="K243" s="10"/>
      <c r="L243" s="10"/>
      <c r="M243" s="10"/>
      <c r="N243" s="11"/>
      <c r="O243" s="11"/>
      <c r="P243" s="11"/>
      <c r="Q243" s="10"/>
      <c r="R243" s="11"/>
      <c r="S243" s="11"/>
    </row>
    <row r="244" spans="1:19" ht="12.75">
      <c r="A244" s="9" t="s">
        <v>1340</v>
      </c>
      <c r="B244" s="9" t="s">
        <v>1407</v>
      </c>
      <c r="C244" s="19">
        <v>2020</v>
      </c>
      <c r="D244" s="19" t="s">
        <v>1909</v>
      </c>
      <c r="E244" s="10" t="s">
        <v>1893</v>
      </c>
      <c r="F244" s="10" t="s">
        <v>1894</v>
      </c>
      <c r="G244" s="10" t="s">
        <v>1895</v>
      </c>
      <c r="H244" s="10" t="s">
        <v>1896</v>
      </c>
      <c r="I244" s="10" t="s">
        <v>1897</v>
      </c>
      <c r="J244" s="10" t="s">
        <v>1898</v>
      </c>
      <c r="K244" s="10" t="s">
        <v>1899</v>
      </c>
      <c r="L244" s="10" t="s">
        <v>1900</v>
      </c>
      <c r="M244" s="10"/>
      <c r="N244" s="11"/>
      <c r="O244" s="11"/>
      <c r="P244" s="11"/>
      <c r="Q244" s="10"/>
      <c r="R244" s="11"/>
      <c r="S244" s="11"/>
    </row>
    <row r="245" spans="1:19" ht="12.75">
      <c r="A245" s="9" t="s">
        <v>1340</v>
      </c>
      <c r="B245" s="9" t="s">
        <v>1408</v>
      </c>
      <c r="C245" s="19">
        <v>2020</v>
      </c>
      <c r="D245" s="19" t="s">
        <v>1909</v>
      </c>
      <c r="E245" s="10"/>
      <c r="F245" s="10"/>
      <c r="G245" s="10"/>
      <c r="H245" s="10"/>
      <c r="I245" s="10"/>
      <c r="J245" s="10"/>
      <c r="K245" s="10"/>
      <c r="L245" s="10"/>
      <c r="M245" s="10"/>
      <c r="N245" s="11"/>
      <c r="O245" s="11"/>
      <c r="P245" s="11"/>
      <c r="Q245" s="10"/>
      <c r="R245" s="11"/>
      <c r="S245" s="11"/>
    </row>
    <row r="246" spans="1:19" ht="12.75">
      <c r="A246" s="9" t="s">
        <v>1340</v>
      </c>
      <c r="B246" s="9" t="s">
        <v>1409</v>
      </c>
      <c r="C246" s="19">
        <v>2020</v>
      </c>
      <c r="D246" s="19" t="s">
        <v>1909</v>
      </c>
      <c r="E246" s="10"/>
      <c r="F246" s="10"/>
      <c r="G246" s="10"/>
      <c r="H246" s="10"/>
      <c r="I246" s="10"/>
      <c r="J246" s="10"/>
      <c r="K246" s="10"/>
      <c r="L246" s="10"/>
      <c r="M246" s="10"/>
      <c r="N246" s="11"/>
      <c r="O246" s="11"/>
      <c r="P246" s="11"/>
      <c r="Q246" s="10"/>
      <c r="R246" s="11"/>
      <c r="S246" s="11"/>
    </row>
    <row r="247" spans="1:19" ht="12.75">
      <c r="A247" s="9" t="s">
        <v>1340</v>
      </c>
      <c r="B247" s="9" t="s">
        <v>1410</v>
      </c>
      <c r="C247" s="19">
        <v>2020</v>
      </c>
      <c r="D247" s="19" t="s">
        <v>1909</v>
      </c>
      <c r="E247" s="10" t="s">
        <v>1901</v>
      </c>
      <c r="F247" s="10" t="s">
        <v>1902</v>
      </c>
      <c r="G247" s="10" t="s">
        <v>1903</v>
      </c>
      <c r="H247" s="10" t="s">
        <v>1904</v>
      </c>
      <c r="I247" s="10" t="s">
        <v>1905</v>
      </c>
      <c r="J247" s="10" t="s">
        <v>1906</v>
      </c>
      <c r="K247" s="10" t="s">
        <v>1907</v>
      </c>
      <c r="L247" s="10"/>
      <c r="M247" s="10"/>
      <c r="N247" s="11"/>
      <c r="O247" s="11"/>
      <c r="P247" s="11"/>
      <c r="Q247" s="10"/>
      <c r="R247" s="11"/>
      <c r="S247" s="11"/>
    </row>
    <row r="248" spans="1:19" ht="12.75">
      <c r="A248" s="9" t="s">
        <v>1411</v>
      </c>
      <c r="B248" s="9" t="s">
        <v>1412</v>
      </c>
      <c r="C248" s="19">
        <v>2020</v>
      </c>
      <c r="D248" s="19" t="s">
        <v>1909</v>
      </c>
      <c r="E248" s="10" t="s">
        <v>1413</v>
      </c>
      <c r="F248" s="10" t="s">
        <v>1414</v>
      </c>
      <c r="G248" s="10" t="s">
        <v>1415</v>
      </c>
      <c r="H248" s="10" t="s">
        <v>1416</v>
      </c>
      <c r="I248" s="10" t="s">
        <v>1417</v>
      </c>
      <c r="J248" s="10" t="s">
        <v>1418</v>
      </c>
      <c r="K248" s="10" t="s">
        <v>1419</v>
      </c>
      <c r="L248" s="10" t="s">
        <v>1420</v>
      </c>
      <c r="M248" s="10" t="s">
        <v>1421</v>
      </c>
      <c r="N248" s="11" t="s">
        <v>1422</v>
      </c>
      <c r="O248" s="11" t="s">
        <v>1423</v>
      </c>
      <c r="P248" s="11"/>
      <c r="Q248" s="10"/>
      <c r="R248" s="11"/>
      <c r="S248" s="11"/>
    </row>
    <row r="249" spans="1:19" ht="12.75">
      <c r="A249" s="9" t="s">
        <v>1411</v>
      </c>
      <c r="B249" s="9" t="s">
        <v>1424</v>
      </c>
      <c r="C249" s="19">
        <v>2020</v>
      </c>
      <c r="D249" s="19" t="s">
        <v>1909</v>
      </c>
      <c r="E249" s="10" t="s">
        <v>1425</v>
      </c>
      <c r="F249" s="10" t="s">
        <v>1426</v>
      </c>
      <c r="G249" s="10" t="s">
        <v>1427</v>
      </c>
      <c r="H249" s="10" t="s">
        <v>1428</v>
      </c>
      <c r="I249" s="10" t="s">
        <v>1429</v>
      </c>
      <c r="J249" s="10" t="s">
        <v>1430</v>
      </c>
      <c r="K249" s="10" t="s">
        <v>1431</v>
      </c>
      <c r="L249" s="10" t="s">
        <v>1432</v>
      </c>
      <c r="M249" s="10" t="s">
        <v>1433</v>
      </c>
      <c r="N249" s="11" t="s">
        <v>1434</v>
      </c>
      <c r="O249" s="11" t="s">
        <v>1435</v>
      </c>
      <c r="P249" s="11"/>
      <c r="Q249" s="10"/>
      <c r="R249" s="11"/>
      <c r="S249" s="11"/>
    </row>
    <row r="250" spans="1:19" ht="12.75">
      <c r="A250" s="9" t="s">
        <v>1411</v>
      </c>
      <c r="B250" s="9" t="s">
        <v>1436</v>
      </c>
      <c r="C250" s="19">
        <v>2020</v>
      </c>
      <c r="D250" s="19" t="s">
        <v>1909</v>
      </c>
      <c r="E250" s="10" t="s">
        <v>1437</v>
      </c>
      <c r="F250" s="10" t="s">
        <v>1438</v>
      </c>
      <c r="G250" s="10" t="s">
        <v>1439</v>
      </c>
      <c r="H250" s="10" t="s">
        <v>1440</v>
      </c>
      <c r="I250" s="10" t="s">
        <v>1441</v>
      </c>
      <c r="J250" s="10" t="s">
        <v>1442</v>
      </c>
      <c r="K250" s="10" t="s">
        <v>1443</v>
      </c>
      <c r="L250" s="10" t="s">
        <v>1444</v>
      </c>
      <c r="M250" s="10" t="s">
        <v>1445</v>
      </c>
      <c r="N250" s="11" t="s">
        <v>1446</v>
      </c>
      <c r="O250" s="11"/>
      <c r="P250" s="11"/>
      <c r="Q250" s="10"/>
      <c r="R250" s="11"/>
      <c r="S250" s="11"/>
    </row>
    <row r="251" spans="1:19" ht="12.75">
      <c r="A251" s="9" t="s">
        <v>1411</v>
      </c>
      <c r="B251" s="9" t="s">
        <v>1447</v>
      </c>
      <c r="C251" s="19">
        <v>2020</v>
      </c>
      <c r="D251" s="19" t="s">
        <v>1909</v>
      </c>
      <c r="E251" s="10"/>
      <c r="F251" s="10"/>
      <c r="G251" s="10"/>
      <c r="H251" s="10"/>
      <c r="I251" s="10"/>
      <c r="J251" s="10"/>
      <c r="K251" s="10"/>
      <c r="L251" s="10"/>
      <c r="M251" s="10"/>
      <c r="N251" s="11"/>
      <c r="O251" s="11"/>
      <c r="P251" s="11"/>
      <c r="Q251" s="10"/>
      <c r="R251" s="11"/>
      <c r="S251" s="11"/>
    </row>
    <row r="252" spans="1:19" ht="12.75">
      <c r="A252" s="9" t="s">
        <v>1411</v>
      </c>
      <c r="B252" s="9" t="s">
        <v>1448</v>
      </c>
      <c r="C252" s="19">
        <v>2020</v>
      </c>
      <c r="D252" s="19" t="s">
        <v>1909</v>
      </c>
      <c r="E252" s="10" t="s">
        <v>1449</v>
      </c>
      <c r="F252" s="10" t="s">
        <v>1450</v>
      </c>
      <c r="G252" s="10" t="s">
        <v>1451</v>
      </c>
      <c r="H252" s="10" t="s">
        <v>1452</v>
      </c>
      <c r="I252" s="10" t="s">
        <v>1453</v>
      </c>
      <c r="J252" s="10" t="s">
        <v>1454</v>
      </c>
      <c r="K252" s="10" t="s">
        <v>1455</v>
      </c>
      <c r="L252" s="10" t="s">
        <v>1456</v>
      </c>
      <c r="M252" s="10" t="s">
        <v>1457</v>
      </c>
      <c r="N252" s="11" t="s">
        <v>1458</v>
      </c>
      <c r="O252" s="11" t="s">
        <v>1459</v>
      </c>
      <c r="P252" s="11" t="s">
        <v>1460</v>
      </c>
      <c r="Q252" s="10" t="s">
        <v>1461</v>
      </c>
      <c r="R252" s="11" t="s">
        <v>1462</v>
      </c>
      <c r="S252" s="11"/>
    </row>
    <row r="253" spans="1:19" ht="12.75">
      <c r="A253" s="9" t="s">
        <v>1411</v>
      </c>
      <c r="B253" s="9" t="s">
        <v>1463</v>
      </c>
      <c r="C253" s="19">
        <v>2020</v>
      </c>
      <c r="D253" s="19" t="s">
        <v>1909</v>
      </c>
      <c r="E253" s="57" t="s">
        <v>1605</v>
      </c>
      <c r="F253" s="57" t="s">
        <v>1606</v>
      </c>
      <c r="G253" s="57" t="s">
        <v>1607</v>
      </c>
      <c r="H253" s="57" t="s">
        <v>1608</v>
      </c>
      <c r="I253" s="57" t="s">
        <v>1609</v>
      </c>
      <c r="J253" s="57" t="s">
        <v>1610</v>
      </c>
      <c r="K253" s="57" t="s">
        <v>1611</v>
      </c>
      <c r="L253" s="57" t="s">
        <v>1612</v>
      </c>
      <c r="M253" s="57" t="s">
        <v>1613</v>
      </c>
      <c r="N253" s="57" t="s">
        <v>1614</v>
      </c>
      <c r="O253" s="57" t="s">
        <v>1615</v>
      </c>
      <c r="P253" s="11"/>
      <c r="Q253" s="10"/>
      <c r="R253" s="11"/>
      <c r="S253" s="11"/>
    </row>
    <row r="254" spans="1:19" ht="12.75">
      <c r="A254" s="9" t="s">
        <v>1411</v>
      </c>
      <c r="B254" s="9" t="s">
        <v>1464</v>
      </c>
      <c r="C254" s="19">
        <v>2020</v>
      </c>
      <c r="D254" s="19" t="s">
        <v>1909</v>
      </c>
      <c r="E254" s="57" t="s">
        <v>1616</v>
      </c>
      <c r="F254" s="57" t="s">
        <v>1619</v>
      </c>
      <c r="G254" s="57" t="s">
        <v>1618</v>
      </c>
      <c r="H254" s="57" t="s">
        <v>1617</v>
      </c>
      <c r="I254" s="10"/>
      <c r="J254" s="10"/>
      <c r="K254" s="10"/>
      <c r="L254" s="10"/>
      <c r="M254" s="10"/>
      <c r="N254" s="11"/>
      <c r="O254" s="11"/>
      <c r="P254" s="11"/>
      <c r="Q254" s="10"/>
      <c r="R254" s="11"/>
      <c r="S254" s="11"/>
    </row>
    <row r="255" spans="1:19" ht="12.75">
      <c r="A255" s="9" t="s">
        <v>1411</v>
      </c>
      <c r="B255" s="9" t="s">
        <v>1465</v>
      </c>
      <c r="C255" s="19">
        <v>2020</v>
      </c>
      <c r="D255" s="19" t="s">
        <v>1909</v>
      </c>
      <c r="E255" s="10" t="s">
        <v>1466</v>
      </c>
      <c r="F255" s="10" t="s">
        <v>1467</v>
      </c>
      <c r="G255" s="10" t="s">
        <v>1468</v>
      </c>
      <c r="H255" s="10" t="s">
        <v>1469</v>
      </c>
      <c r="I255" s="10" t="s">
        <v>1470</v>
      </c>
      <c r="J255" s="10"/>
      <c r="K255" s="10"/>
      <c r="L255" s="10"/>
      <c r="M255" s="10"/>
      <c r="N255" s="11"/>
      <c r="O255" s="11"/>
      <c r="P255" s="11"/>
      <c r="Q255" s="10"/>
      <c r="R255" s="11"/>
      <c r="S255" s="11"/>
    </row>
    <row r="256" spans="1:19" ht="12.75">
      <c r="A256" s="9" t="s">
        <v>1411</v>
      </c>
      <c r="B256" s="9" t="s">
        <v>1471</v>
      </c>
      <c r="C256" s="19">
        <v>2020</v>
      </c>
      <c r="D256" s="19" t="s">
        <v>1909</v>
      </c>
      <c r="E256" s="10" t="s">
        <v>1472</v>
      </c>
      <c r="F256" s="10" t="s">
        <v>1473</v>
      </c>
      <c r="G256" s="10" t="s">
        <v>1474</v>
      </c>
      <c r="H256" s="10"/>
      <c r="I256" s="10"/>
      <c r="J256" s="10"/>
      <c r="K256" s="10"/>
      <c r="L256" s="10"/>
      <c r="M256" s="10"/>
      <c r="N256" s="11"/>
      <c r="O256" s="11"/>
      <c r="P256" s="11"/>
      <c r="Q256" s="10"/>
      <c r="R256" s="11"/>
      <c r="S256" s="11"/>
    </row>
    <row r="257" spans="1:19" ht="12.75">
      <c r="A257" s="9" t="s">
        <v>1411</v>
      </c>
      <c r="B257" s="9" t="s">
        <v>1475</v>
      </c>
      <c r="C257" s="19">
        <v>2020</v>
      </c>
      <c r="D257" s="19" t="s">
        <v>1909</v>
      </c>
      <c r="E257" s="10" t="s">
        <v>1476</v>
      </c>
      <c r="F257" s="10" t="s">
        <v>1476</v>
      </c>
      <c r="G257" s="10" t="s">
        <v>1477</v>
      </c>
      <c r="H257" s="10" t="s">
        <v>1478</v>
      </c>
      <c r="I257" s="10" t="s">
        <v>1479</v>
      </c>
      <c r="J257" s="10" t="s">
        <v>1908</v>
      </c>
      <c r="K257" s="10" t="s">
        <v>1480</v>
      </c>
      <c r="L257" s="10"/>
      <c r="M257" s="10"/>
      <c r="N257" s="11"/>
      <c r="O257" s="11"/>
      <c r="P257" s="11"/>
      <c r="Q257" s="10"/>
      <c r="R257" s="11"/>
      <c r="S257" s="11"/>
    </row>
    <row r="258" spans="1:19" ht="12.75">
      <c r="A258" s="9" t="s">
        <v>1411</v>
      </c>
      <c r="B258" s="9" t="s">
        <v>1481</v>
      </c>
      <c r="C258" s="19">
        <v>2020</v>
      </c>
      <c r="D258" s="19" t="s">
        <v>1909</v>
      </c>
      <c r="E258" s="10" t="s">
        <v>1482</v>
      </c>
      <c r="F258" s="10" t="s">
        <v>1483</v>
      </c>
      <c r="G258" s="10" t="s">
        <v>1484</v>
      </c>
      <c r="H258" s="10" t="s">
        <v>1485</v>
      </c>
      <c r="I258" s="10"/>
      <c r="J258" s="10"/>
      <c r="K258" s="10"/>
      <c r="L258" s="10"/>
      <c r="M258" s="10"/>
      <c r="N258" s="11"/>
      <c r="O258" s="11"/>
      <c r="P258" s="11"/>
      <c r="Q258" s="10"/>
      <c r="R258" s="11"/>
      <c r="S258" s="11"/>
    </row>
    <row r="259" spans="1:19" ht="12.75">
      <c r="A259" s="9" t="s">
        <v>1411</v>
      </c>
      <c r="B259" s="9" t="s">
        <v>1486</v>
      </c>
      <c r="C259" s="19">
        <v>2020</v>
      </c>
      <c r="D259" s="19" t="s">
        <v>1909</v>
      </c>
      <c r="E259" s="57" t="s">
        <v>1620</v>
      </c>
      <c r="F259" s="57" t="s">
        <v>1621</v>
      </c>
      <c r="G259" s="57" t="s">
        <v>1622</v>
      </c>
      <c r="H259" s="57" t="s">
        <v>1623</v>
      </c>
      <c r="I259" s="57" t="s">
        <v>1624</v>
      </c>
      <c r="J259" s="57" t="s">
        <v>1625</v>
      </c>
      <c r="K259" s="57" t="s">
        <v>1626</v>
      </c>
      <c r="L259" s="10"/>
      <c r="M259" s="10"/>
      <c r="N259" s="11"/>
      <c r="O259" s="11"/>
      <c r="P259" s="11"/>
      <c r="Q259" s="10"/>
      <c r="R259" s="11"/>
      <c r="S259" s="11"/>
    </row>
    <row r="260" spans="1:19" ht="12.75">
      <c r="A260" s="9" t="s">
        <v>1411</v>
      </c>
      <c r="B260" s="9" t="s">
        <v>1487</v>
      </c>
      <c r="C260" s="19">
        <v>2020</v>
      </c>
      <c r="D260" s="19" t="s">
        <v>1909</v>
      </c>
      <c r="E260" s="10" t="s">
        <v>1488</v>
      </c>
      <c r="F260" s="10" t="s">
        <v>1489</v>
      </c>
      <c r="G260" s="10" t="s">
        <v>1490</v>
      </c>
      <c r="H260" s="10" t="s">
        <v>1491</v>
      </c>
      <c r="I260" s="10" t="s">
        <v>1492</v>
      </c>
      <c r="J260" s="10" t="s">
        <v>1493</v>
      </c>
      <c r="K260" s="10" t="s">
        <v>1494</v>
      </c>
      <c r="L260" s="10" t="s">
        <v>1495</v>
      </c>
      <c r="M260" s="10" t="s">
        <v>1240</v>
      </c>
      <c r="N260" s="11"/>
      <c r="O260" s="11"/>
      <c r="P260" s="11"/>
      <c r="Q260" s="10"/>
      <c r="R260" s="11"/>
      <c r="S260" s="11"/>
    </row>
    <row r="261" spans="1:19" ht="12.75">
      <c r="A261" s="9" t="s">
        <v>1411</v>
      </c>
      <c r="B261" s="9" t="s">
        <v>1496</v>
      </c>
      <c r="C261" s="19">
        <v>2020</v>
      </c>
      <c r="D261" s="19" t="s">
        <v>1909</v>
      </c>
      <c r="E261" s="10"/>
      <c r="F261" s="10"/>
      <c r="G261" s="10"/>
      <c r="H261" s="10"/>
      <c r="I261" s="10"/>
      <c r="J261" s="10"/>
      <c r="K261" s="10"/>
      <c r="L261" s="10"/>
      <c r="M261" s="10"/>
      <c r="N261" s="11"/>
      <c r="O261" s="11"/>
      <c r="P261" s="11"/>
      <c r="Q261" s="10"/>
      <c r="R261" s="11"/>
      <c r="S261" s="11"/>
    </row>
    <row r="262" spans="1:19" ht="12.75">
      <c r="A262" s="9" t="s">
        <v>1411</v>
      </c>
      <c r="B262" s="9" t="s">
        <v>1497</v>
      </c>
      <c r="C262" s="19">
        <v>2020</v>
      </c>
      <c r="D262" s="19" t="s">
        <v>1909</v>
      </c>
      <c r="E262" s="10" t="s">
        <v>1498</v>
      </c>
      <c r="F262" s="10" t="s">
        <v>1499</v>
      </c>
      <c r="G262" s="10" t="s">
        <v>1500</v>
      </c>
      <c r="H262" s="10" t="s">
        <v>1501</v>
      </c>
      <c r="I262" s="10"/>
      <c r="J262" s="10"/>
      <c r="K262" s="10"/>
      <c r="L262" s="10"/>
      <c r="M262" s="10"/>
      <c r="N262" s="11"/>
      <c r="O262" s="11"/>
      <c r="P262" s="11"/>
      <c r="Q262" s="10"/>
      <c r="R262" s="11"/>
      <c r="S262" s="11"/>
    </row>
    <row r="263" spans="1:19" ht="12.75">
      <c r="A263" s="9" t="s">
        <v>1411</v>
      </c>
      <c r="B263" s="9" t="s">
        <v>1502</v>
      </c>
      <c r="C263" s="19">
        <v>2020</v>
      </c>
      <c r="D263" s="19" t="s">
        <v>1909</v>
      </c>
      <c r="E263" s="10" t="s">
        <v>1503</v>
      </c>
      <c r="F263" s="10" t="s">
        <v>1504</v>
      </c>
      <c r="G263" s="10" t="s">
        <v>1505</v>
      </c>
      <c r="H263" s="10" t="s">
        <v>1506</v>
      </c>
      <c r="I263" s="10"/>
      <c r="J263" s="10"/>
      <c r="K263" s="10"/>
      <c r="L263" s="10"/>
      <c r="M263" s="10"/>
      <c r="N263" s="11"/>
      <c r="O263" s="11"/>
      <c r="P263" s="11"/>
      <c r="Q263" s="10"/>
      <c r="R263" s="11"/>
      <c r="S263" s="11"/>
    </row>
    <row r="264" spans="1:19" ht="12.75">
      <c r="A264" s="9" t="s">
        <v>1411</v>
      </c>
      <c r="B264" s="9" t="s">
        <v>1507</v>
      </c>
      <c r="C264" s="19">
        <v>2020</v>
      </c>
      <c r="D264" s="19" t="s">
        <v>1909</v>
      </c>
      <c r="E264" s="57" t="s">
        <v>1627</v>
      </c>
      <c r="F264" s="57" t="s">
        <v>1628</v>
      </c>
      <c r="G264" s="57" t="s">
        <v>1629</v>
      </c>
      <c r="H264" s="57" t="s">
        <v>1630</v>
      </c>
      <c r="I264" s="10"/>
      <c r="J264" s="10"/>
      <c r="K264" s="10"/>
      <c r="L264" s="10"/>
      <c r="M264" s="10"/>
      <c r="N264" s="11"/>
      <c r="O264" s="11"/>
      <c r="P264" s="11"/>
      <c r="Q264" s="10"/>
      <c r="R264" s="11"/>
      <c r="S264" s="11"/>
    </row>
    <row r="265" spans="1:19" ht="12.75">
      <c r="A265" s="9" t="s">
        <v>1411</v>
      </c>
      <c r="B265" s="9" t="s">
        <v>1508</v>
      </c>
      <c r="C265" s="19">
        <v>2020</v>
      </c>
      <c r="D265" s="19" t="s">
        <v>1909</v>
      </c>
      <c r="E265" s="57" t="s">
        <v>1674</v>
      </c>
      <c r="F265" s="57" t="s">
        <v>1675</v>
      </c>
      <c r="G265" s="57" t="s">
        <v>1676</v>
      </c>
      <c r="H265" s="57" t="s">
        <v>1677</v>
      </c>
      <c r="I265" s="57" t="s">
        <v>1678</v>
      </c>
      <c r="J265" s="57" t="s">
        <v>1679</v>
      </c>
      <c r="K265" s="57" t="s">
        <v>1680</v>
      </c>
      <c r="L265" s="10"/>
      <c r="M265" s="10"/>
      <c r="N265" s="11"/>
      <c r="O265" s="11"/>
      <c r="P265" s="11"/>
      <c r="Q265" s="10"/>
      <c r="R265" s="11"/>
      <c r="S265" s="11"/>
    </row>
    <row r="266" spans="1:19" ht="12.75">
      <c r="A266" s="9" t="s">
        <v>1411</v>
      </c>
      <c r="B266" s="9" t="s">
        <v>1509</v>
      </c>
      <c r="C266" s="19">
        <v>2020</v>
      </c>
      <c r="D266" s="19" t="s">
        <v>1909</v>
      </c>
      <c r="E266" s="10" t="s">
        <v>1510</v>
      </c>
      <c r="F266" s="10" t="s">
        <v>1511</v>
      </c>
      <c r="G266" s="10" t="s">
        <v>1512</v>
      </c>
      <c r="H266" s="10"/>
      <c r="I266" s="10"/>
      <c r="J266" s="10"/>
      <c r="K266" s="10"/>
      <c r="L266" s="10"/>
      <c r="M266" s="10"/>
      <c r="N266" s="11"/>
      <c r="O266" s="11"/>
      <c r="P266" s="11"/>
      <c r="Q266" s="10"/>
      <c r="R266" s="11"/>
      <c r="S266" s="11"/>
    </row>
    <row r="267" spans="1:19" ht="12.75">
      <c r="A267" s="9" t="s">
        <v>1411</v>
      </c>
      <c r="B267" s="9" t="s">
        <v>1513</v>
      </c>
      <c r="C267" s="19">
        <v>2020</v>
      </c>
      <c r="D267" s="19" t="s">
        <v>1909</v>
      </c>
      <c r="E267" s="10" t="s">
        <v>1514</v>
      </c>
      <c r="F267" s="10" t="s">
        <v>1515</v>
      </c>
      <c r="G267" s="10" t="s">
        <v>1379</v>
      </c>
      <c r="H267" s="10" t="s">
        <v>1516</v>
      </c>
      <c r="I267" s="10" t="s">
        <v>1517</v>
      </c>
      <c r="J267" s="10"/>
      <c r="K267" s="10"/>
      <c r="L267" s="10"/>
      <c r="M267" s="10"/>
      <c r="N267" s="11"/>
      <c r="O267" s="11"/>
      <c r="P267" s="11"/>
      <c r="Q267" s="10"/>
      <c r="R267" s="11"/>
      <c r="S267" s="11"/>
    </row>
    <row r="268" spans="1:19" ht="12.75">
      <c r="A268" s="9" t="s">
        <v>1411</v>
      </c>
      <c r="B268" s="9" t="s">
        <v>1518</v>
      </c>
      <c r="C268" s="19">
        <v>2020</v>
      </c>
      <c r="D268" s="19" t="s">
        <v>1909</v>
      </c>
      <c r="E268" s="10" t="s">
        <v>1519</v>
      </c>
      <c r="F268" s="10" t="s">
        <v>1514</v>
      </c>
      <c r="G268" s="10" t="s">
        <v>1520</v>
      </c>
      <c r="H268" s="10" t="s">
        <v>1379</v>
      </c>
      <c r="I268" s="10" t="s">
        <v>1516</v>
      </c>
      <c r="J268" s="10" t="s">
        <v>1521</v>
      </c>
      <c r="K268" s="10" t="s">
        <v>1522</v>
      </c>
      <c r="L268" s="10"/>
      <c r="M268" s="10"/>
      <c r="N268" s="11"/>
      <c r="O268" s="11"/>
      <c r="P268" s="11"/>
      <c r="Q268" s="10"/>
      <c r="R268" s="11"/>
      <c r="S268" s="11"/>
    </row>
    <row r="269" spans="1:19" ht="12.75">
      <c r="A269" s="9" t="s">
        <v>1411</v>
      </c>
      <c r="B269" s="9" t="s">
        <v>1523</v>
      </c>
      <c r="C269" s="19">
        <v>2020</v>
      </c>
      <c r="D269" s="19" t="s">
        <v>1909</v>
      </c>
      <c r="E269" s="10" t="s">
        <v>1524</v>
      </c>
      <c r="F269" s="10" t="s">
        <v>1525</v>
      </c>
      <c r="G269" s="10" t="s">
        <v>1526</v>
      </c>
      <c r="H269" s="10" t="s">
        <v>1527</v>
      </c>
      <c r="I269" s="10" t="s">
        <v>1528</v>
      </c>
      <c r="J269" s="10" t="s">
        <v>1529</v>
      </c>
      <c r="K269" s="10" t="s">
        <v>1530</v>
      </c>
      <c r="L269" s="10"/>
      <c r="M269" s="10"/>
      <c r="N269" s="11"/>
      <c r="O269" s="11"/>
      <c r="P269" s="11"/>
      <c r="Q269" s="10"/>
      <c r="R269" s="11"/>
      <c r="S269" s="11"/>
    </row>
    <row r="270" spans="1:19" ht="12.75">
      <c r="A270" s="9" t="s">
        <v>1411</v>
      </c>
      <c r="B270" s="9" t="s">
        <v>1531</v>
      </c>
      <c r="C270" s="19">
        <v>2020</v>
      </c>
      <c r="D270" s="19" t="s">
        <v>1909</v>
      </c>
      <c r="E270" s="57" t="s">
        <v>1631</v>
      </c>
      <c r="F270" s="57" t="s">
        <v>1632</v>
      </c>
      <c r="G270" s="57" t="s">
        <v>1633</v>
      </c>
      <c r="H270" s="57" t="s">
        <v>1634</v>
      </c>
      <c r="I270" s="57" t="s">
        <v>1635</v>
      </c>
      <c r="J270" s="10"/>
      <c r="K270" s="10"/>
      <c r="L270" s="10"/>
      <c r="M270" s="10"/>
      <c r="N270" s="11"/>
      <c r="O270" s="11"/>
      <c r="P270" s="11"/>
      <c r="Q270" s="10"/>
      <c r="R270" s="11"/>
      <c r="S270" s="11"/>
    </row>
    <row r="271" spans="1:19" ht="12.75">
      <c r="A271" s="9" t="s">
        <v>1411</v>
      </c>
      <c r="B271" s="9" t="s">
        <v>1532</v>
      </c>
      <c r="C271" s="19">
        <v>2020</v>
      </c>
      <c r="D271" s="19" t="s">
        <v>1909</v>
      </c>
      <c r="E271" s="10"/>
      <c r="F271" s="10"/>
      <c r="G271" s="10"/>
      <c r="H271" s="10"/>
      <c r="I271" s="10"/>
      <c r="J271" s="10"/>
      <c r="K271" s="10"/>
      <c r="L271" s="10"/>
      <c r="M271" s="10"/>
      <c r="N271" s="11"/>
      <c r="O271" s="11"/>
      <c r="P271" s="11"/>
      <c r="Q271" s="10"/>
      <c r="R271" s="11"/>
      <c r="S271" s="11"/>
    </row>
    <row r="272" spans="1:19" ht="12.75">
      <c r="A272" s="9" t="s">
        <v>1411</v>
      </c>
      <c r="B272" s="9" t="s">
        <v>1533</v>
      </c>
      <c r="C272" s="19">
        <v>2020</v>
      </c>
      <c r="D272" s="19" t="s">
        <v>1909</v>
      </c>
      <c r="E272" s="10" t="s">
        <v>1534</v>
      </c>
      <c r="F272" s="10" t="s">
        <v>1535</v>
      </c>
      <c r="G272" s="10" t="s">
        <v>1536</v>
      </c>
      <c r="H272" s="10" t="s">
        <v>1537</v>
      </c>
      <c r="I272" s="10" t="s">
        <v>1538</v>
      </c>
      <c r="J272" s="10"/>
      <c r="K272" s="10"/>
      <c r="L272" s="10"/>
      <c r="M272" s="10"/>
      <c r="N272" s="11"/>
      <c r="O272" s="11"/>
      <c r="P272" s="11"/>
      <c r="Q272" s="10"/>
      <c r="R272" s="11"/>
      <c r="S272" s="11"/>
    </row>
    <row r="273" spans="1:19" ht="12.75">
      <c r="A273" s="9" t="s">
        <v>1411</v>
      </c>
      <c r="B273" s="9" t="s">
        <v>1539</v>
      </c>
      <c r="C273" s="19">
        <v>2020</v>
      </c>
      <c r="D273" s="19" t="s">
        <v>1909</v>
      </c>
      <c r="E273" s="10" t="s">
        <v>1540</v>
      </c>
      <c r="F273" s="10" t="s">
        <v>1541</v>
      </c>
      <c r="G273" s="10" t="s">
        <v>1542</v>
      </c>
      <c r="H273" s="10" t="s">
        <v>1543</v>
      </c>
      <c r="I273" s="10" t="s">
        <v>1544</v>
      </c>
      <c r="J273" s="10" t="s">
        <v>1545</v>
      </c>
      <c r="K273" s="10" t="s">
        <v>1546</v>
      </c>
      <c r="L273" s="10" t="s">
        <v>1547</v>
      </c>
      <c r="M273" s="10" t="s">
        <v>1548</v>
      </c>
      <c r="N273" s="11" t="s">
        <v>1549</v>
      </c>
      <c r="O273" s="11"/>
      <c r="P273" s="11"/>
      <c r="Q273" s="10"/>
      <c r="R273" s="11"/>
      <c r="S273" s="11"/>
    </row>
    <row r="274" spans="1:19" ht="12.75">
      <c r="A274" s="9" t="s">
        <v>1411</v>
      </c>
      <c r="B274" s="9" t="s">
        <v>1550</v>
      </c>
      <c r="C274" s="19">
        <v>2020</v>
      </c>
      <c r="D274" s="19" t="s">
        <v>1909</v>
      </c>
      <c r="E274" s="57" t="s">
        <v>1636</v>
      </c>
      <c r="F274" s="57" t="s">
        <v>1637</v>
      </c>
      <c r="G274" s="57" t="s">
        <v>1638</v>
      </c>
      <c r="H274" s="57" t="s">
        <v>1639</v>
      </c>
      <c r="I274" s="57" t="s">
        <v>1640</v>
      </c>
      <c r="J274" s="57" t="s">
        <v>1641</v>
      </c>
      <c r="K274" s="10"/>
      <c r="L274" s="10"/>
      <c r="M274" s="10"/>
      <c r="N274" s="11"/>
      <c r="O274" s="11"/>
      <c r="P274" s="11"/>
      <c r="Q274" s="10"/>
      <c r="R274" s="11"/>
      <c r="S274" s="11"/>
    </row>
    <row r="275" spans="1:19" ht="12.75">
      <c r="A275" s="9" t="s">
        <v>1411</v>
      </c>
      <c r="B275" s="9" t="s">
        <v>1551</v>
      </c>
      <c r="C275" s="19">
        <v>2020</v>
      </c>
      <c r="D275" s="19" t="s">
        <v>1909</v>
      </c>
      <c r="E275" s="10"/>
      <c r="F275" s="10"/>
      <c r="G275" s="10"/>
      <c r="H275" s="10"/>
      <c r="I275" s="10"/>
      <c r="J275" s="10"/>
      <c r="K275" s="10"/>
      <c r="L275" s="10"/>
      <c r="M275" s="10"/>
      <c r="N275" s="11"/>
      <c r="O275" s="11"/>
      <c r="P275" s="11"/>
      <c r="Q275" s="10"/>
      <c r="R275" s="11"/>
      <c r="S275" s="11"/>
    </row>
    <row r="276" spans="1:19" ht="12.75">
      <c r="A276" s="19" t="s">
        <v>1552</v>
      </c>
      <c r="B276" s="9" t="s">
        <v>1553</v>
      </c>
      <c r="C276" s="19">
        <v>2020</v>
      </c>
      <c r="D276" s="19" t="s">
        <v>1909</v>
      </c>
      <c r="E276" s="10"/>
      <c r="F276" s="10"/>
      <c r="G276" s="10"/>
      <c r="H276" s="10"/>
      <c r="I276" s="10"/>
      <c r="J276" s="10"/>
      <c r="K276" s="10"/>
      <c r="L276" s="10"/>
      <c r="M276" s="10"/>
      <c r="N276" s="11"/>
      <c r="O276" s="11"/>
      <c r="P276" s="11"/>
      <c r="Q276" s="10"/>
      <c r="R276" s="11"/>
      <c r="S276" s="11"/>
    </row>
    <row r="277" spans="1:19" ht="12.75">
      <c r="A277" s="9" t="s">
        <v>1552</v>
      </c>
      <c r="B277" s="9" t="s">
        <v>1554</v>
      </c>
      <c r="C277" s="19">
        <v>2020</v>
      </c>
      <c r="D277" s="19" t="s">
        <v>1909</v>
      </c>
      <c r="E277" s="10"/>
      <c r="F277" s="10"/>
      <c r="G277" s="10"/>
      <c r="H277" s="10"/>
      <c r="I277" s="10"/>
      <c r="J277" s="10"/>
      <c r="K277" s="10"/>
      <c r="L277" s="10"/>
      <c r="M277" s="10"/>
      <c r="N277" s="11"/>
      <c r="O277" s="11"/>
      <c r="P277" s="11"/>
      <c r="Q277" s="10"/>
      <c r="R277" s="11"/>
      <c r="S277" s="11"/>
    </row>
    <row r="278" spans="1:19" ht="12.75">
      <c r="A278" s="9" t="s">
        <v>1552</v>
      </c>
      <c r="B278" s="9" t="s">
        <v>1555</v>
      </c>
      <c r="C278" s="19">
        <v>2020</v>
      </c>
      <c r="D278" s="19" t="s">
        <v>1909</v>
      </c>
      <c r="E278" s="10"/>
      <c r="F278" s="10"/>
      <c r="G278" s="10"/>
      <c r="H278" s="10"/>
      <c r="I278" s="10"/>
      <c r="J278" s="10"/>
      <c r="K278" s="10"/>
      <c r="L278" s="10"/>
      <c r="M278" s="10"/>
      <c r="N278" s="11"/>
      <c r="O278" s="11"/>
      <c r="P278" s="11"/>
      <c r="Q278" s="10"/>
      <c r="R278" s="11"/>
      <c r="S278" s="11"/>
    </row>
    <row r="279" spans="1:19" ht="12.75">
      <c r="A279" s="9" t="s">
        <v>1552</v>
      </c>
      <c r="B279" s="9" t="s">
        <v>1556</v>
      </c>
      <c r="C279" s="19">
        <v>2020</v>
      </c>
      <c r="D279" s="19" t="s">
        <v>1909</v>
      </c>
      <c r="E279" s="10"/>
      <c r="F279" s="10"/>
      <c r="G279" s="10"/>
      <c r="H279" s="10"/>
      <c r="I279" s="10"/>
      <c r="J279" s="10"/>
      <c r="K279" s="10"/>
      <c r="L279" s="10"/>
      <c r="M279" s="10"/>
      <c r="N279" s="11"/>
      <c r="O279" s="11"/>
      <c r="P279" s="11"/>
      <c r="Q279" s="10"/>
      <c r="R279" s="11"/>
      <c r="S279" s="11"/>
    </row>
    <row r="280" spans="1:19" ht="12.75">
      <c r="A280" s="9" t="s">
        <v>1552</v>
      </c>
      <c r="B280" s="9" t="s">
        <v>1557</v>
      </c>
      <c r="C280" s="19">
        <v>2020</v>
      </c>
      <c r="D280" s="19" t="s">
        <v>1909</v>
      </c>
      <c r="E280" s="10"/>
      <c r="F280" s="10"/>
      <c r="G280" s="10"/>
      <c r="H280" s="10"/>
      <c r="I280" s="10"/>
      <c r="J280" s="10"/>
      <c r="K280" s="10"/>
      <c r="L280" s="10"/>
      <c r="M280" s="10"/>
      <c r="N280" s="11"/>
      <c r="O280" s="11"/>
      <c r="P280" s="11"/>
      <c r="Q280" s="10"/>
      <c r="R280" s="11"/>
      <c r="S280" s="11"/>
    </row>
    <row r="281" spans="1:19" ht="12.75">
      <c r="A281" s="9" t="s">
        <v>1552</v>
      </c>
      <c r="B281" s="9" t="s">
        <v>1558</v>
      </c>
      <c r="C281" s="19">
        <v>2020</v>
      </c>
      <c r="D281" s="19" t="s">
        <v>1909</v>
      </c>
      <c r="E281" s="10"/>
      <c r="F281" s="10"/>
      <c r="G281" s="10"/>
      <c r="H281" s="10"/>
      <c r="I281" s="10"/>
      <c r="J281" s="10"/>
      <c r="K281" s="10"/>
      <c r="L281" s="10"/>
      <c r="M281" s="10"/>
      <c r="N281" s="11"/>
      <c r="O281" s="11"/>
      <c r="P281" s="11"/>
      <c r="Q281" s="10"/>
      <c r="R281" s="11"/>
      <c r="S281" s="11"/>
    </row>
    <row r="282" spans="1:19" ht="12.75">
      <c r="A282" s="9" t="s">
        <v>1552</v>
      </c>
      <c r="B282" s="9" t="s">
        <v>1559</v>
      </c>
      <c r="C282" s="19">
        <v>2020</v>
      </c>
      <c r="D282" s="19" t="s">
        <v>1909</v>
      </c>
      <c r="E282" s="10"/>
      <c r="F282" s="10"/>
      <c r="G282" s="10"/>
      <c r="H282" s="10"/>
      <c r="I282" s="10"/>
      <c r="J282" s="10"/>
      <c r="K282" s="10"/>
      <c r="L282" s="10"/>
      <c r="M282" s="10"/>
      <c r="N282" s="11"/>
      <c r="O282" s="11"/>
      <c r="P282" s="11"/>
      <c r="Q282" s="10"/>
      <c r="R282" s="11"/>
      <c r="S282" s="11"/>
    </row>
    <row r="283" spans="1:19" ht="12.75">
      <c r="A283" s="9" t="s">
        <v>1552</v>
      </c>
      <c r="B283" s="9" t="s">
        <v>1560</v>
      </c>
      <c r="C283" s="19">
        <v>2020</v>
      </c>
      <c r="D283" s="19" t="s">
        <v>1909</v>
      </c>
      <c r="E283" s="10"/>
      <c r="F283" s="10"/>
      <c r="G283" s="10"/>
      <c r="H283" s="10"/>
      <c r="I283" s="10"/>
      <c r="J283" s="10"/>
      <c r="K283" s="10"/>
      <c r="L283" s="10"/>
      <c r="M283" s="10"/>
      <c r="N283" s="11"/>
      <c r="O283" s="11"/>
      <c r="P283" s="11"/>
      <c r="Q283" s="10"/>
      <c r="R283" s="11"/>
      <c r="S283" s="11"/>
    </row>
    <row r="284" spans="1:19" ht="12.75">
      <c r="A284" s="9" t="s">
        <v>1552</v>
      </c>
      <c r="B284" s="9" t="s">
        <v>1561</v>
      </c>
      <c r="C284" s="19">
        <v>2020</v>
      </c>
      <c r="D284" s="19" t="s">
        <v>1909</v>
      </c>
      <c r="E284" s="10"/>
      <c r="F284" s="10"/>
      <c r="G284" s="10"/>
      <c r="H284" s="10"/>
      <c r="I284" s="10"/>
      <c r="J284" s="10"/>
      <c r="K284" s="10"/>
      <c r="L284" s="10"/>
      <c r="M284" s="10"/>
      <c r="N284" s="11"/>
      <c r="O284" s="11"/>
      <c r="P284" s="11"/>
      <c r="Q284" s="10"/>
      <c r="R284" s="11"/>
      <c r="S284" s="11"/>
    </row>
    <row r="285" spans="1:19" ht="12.75">
      <c r="A285" s="9" t="s">
        <v>1552</v>
      </c>
      <c r="B285" s="9" t="s">
        <v>1562</v>
      </c>
      <c r="C285" s="19">
        <v>2020</v>
      </c>
      <c r="D285" s="19" t="s">
        <v>1909</v>
      </c>
      <c r="E285" s="10"/>
      <c r="F285" s="10"/>
      <c r="G285" s="10"/>
      <c r="H285" s="10"/>
      <c r="I285" s="10"/>
      <c r="J285" s="10"/>
      <c r="K285" s="10"/>
      <c r="L285" s="10"/>
      <c r="M285" s="10"/>
      <c r="N285" s="11"/>
      <c r="O285" s="11"/>
      <c r="P285" s="11"/>
      <c r="Q285" s="10"/>
      <c r="R285" s="11"/>
      <c r="S285" s="11"/>
    </row>
    <row r="286" spans="1:19" ht="12.75">
      <c r="A286" s="9" t="s">
        <v>1552</v>
      </c>
      <c r="B286" s="9" t="s">
        <v>1563</v>
      </c>
      <c r="C286" s="19">
        <v>2020</v>
      </c>
      <c r="D286" s="19" t="s">
        <v>1909</v>
      </c>
      <c r="E286" s="10"/>
      <c r="F286" s="10"/>
      <c r="G286" s="10"/>
      <c r="H286" s="10"/>
      <c r="I286" s="10"/>
      <c r="J286" s="10"/>
      <c r="K286" s="10"/>
      <c r="L286" s="10"/>
      <c r="M286" s="10"/>
      <c r="N286" s="11"/>
      <c r="O286" s="11"/>
      <c r="P286" s="11"/>
      <c r="Q286" s="10"/>
      <c r="R286" s="11"/>
      <c r="S286" s="11"/>
    </row>
    <row r="287" spans="1:19" ht="12.75">
      <c r="A287" s="9" t="s">
        <v>1552</v>
      </c>
      <c r="B287" s="9" t="s">
        <v>1564</v>
      </c>
      <c r="C287" s="19">
        <v>2020</v>
      </c>
      <c r="D287" s="19" t="s">
        <v>1909</v>
      </c>
      <c r="E287" s="10"/>
      <c r="F287" s="10"/>
      <c r="G287" s="10"/>
      <c r="H287" s="10"/>
      <c r="I287" s="10"/>
      <c r="J287" s="10"/>
      <c r="K287" s="10"/>
      <c r="L287" s="10"/>
      <c r="M287" s="10"/>
      <c r="N287" s="11"/>
      <c r="O287" s="11"/>
      <c r="P287" s="11"/>
      <c r="Q287" s="10"/>
      <c r="R287" s="11"/>
      <c r="S287" s="11"/>
    </row>
    <row r="288" spans="1:19" ht="12.75">
      <c r="A288" s="9" t="s">
        <v>1552</v>
      </c>
      <c r="B288" s="9" t="s">
        <v>1565</v>
      </c>
      <c r="C288" s="19">
        <v>2020</v>
      </c>
      <c r="D288" s="19" t="s">
        <v>1909</v>
      </c>
      <c r="E288" s="10"/>
      <c r="F288" s="10"/>
      <c r="G288" s="10"/>
      <c r="H288" s="10"/>
      <c r="I288" s="10"/>
      <c r="J288" s="10"/>
      <c r="K288" s="10"/>
      <c r="L288" s="10"/>
      <c r="M288" s="10"/>
      <c r="N288" s="11"/>
      <c r="O288" s="11"/>
      <c r="P288" s="11"/>
      <c r="Q288" s="10"/>
      <c r="R288" s="11"/>
      <c r="S288" s="11"/>
    </row>
    <row r="289" spans="1:19" ht="12.75">
      <c r="A289" s="9" t="s">
        <v>1552</v>
      </c>
      <c r="B289" s="9" t="s">
        <v>1566</v>
      </c>
      <c r="C289" s="19">
        <v>2020</v>
      </c>
      <c r="D289" s="19" t="s">
        <v>1909</v>
      </c>
      <c r="E289" s="10"/>
      <c r="F289" s="10"/>
      <c r="G289" s="10"/>
      <c r="H289" s="10"/>
      <c r="I289" s="10"/>
      <c r="J289" s="10"/>
      <c r="K289" s="10"/>
      <c r="L289" s="10"/>
      <c r="M289" s="10"/>
      <c r="N289" s="11"/>
      <c r="O289" s="11"/>
      <c r="P289" s="11"/>
      <c r="Q289" s="10"/>
      <c r="R289" s="11"/>
      <c r="S289" s="11"/>
    </row>
    <row r="290" spans="1:19" ht="12.75">
      <c r="A290" s="9" t="s">
        <v>1552</v>
      </c>
      <c r="B290" s="9" t="s">
        <v>1567</v>
      </c>
      <c r="C290" s="19">
        <v>2020</v>
      </c>
      <c r="D290" s="19" t="s">
        <v>1909</v>
      </c>
      <c r="E290" s="10"/>
      <c r="F290" s="10"/>
      <c r="G290" s="10"/>
      <c r="H290" s="10"/>
      <c r="I290" s="10"/>
      <c r="J290" s="10"/>
      <c r="K290" s="10"/>
      <c r="L290" s="10"/>
      <c r="M290" s="10"/>
      <c r="N290" s="11"/>
      <c r="O290" s="11"/>
      <c r="P290" s="11"/>
      <c r="Q290" s="10"/>
      <c r="R290" s="11"/>
      <c r="S290" s="11"/>
    </row>
    <row r="291" spans="1:19" ht="12.75">
      <c r="A291" s="9" t="s">
        <v>1552</v>
      </c>
      <c r="B291" s="9" t="s">
        <v>1568</v>
      </c>
      <c r="C291" s="19">
        <v>2020</v>
      </c>
      <c r="D291" s="19" t="s">
        <v>1909</v>
      </c>
      <c r="E291" s="10"/>
      <c r="F291" s="10"/>
      <c r="G291" s="10"/>
      <c r="H291" s="10"/>
      <c r="I291" s="10"/>
      <c r="J291" s="10"/>
      <c r="K291" s="10"/>
      <c r="L291" s="10"/>
      <c r="M291" s="10"/>
      <c r="N291" s="11"/>
      <c r="O291" s="11"/>
      <c r="P291" s="11"/>
      <c r="Q291" s="10"/>
      <c r="R291" s="11"/>
      <c r="S291" s="11"/>
    </row>
    <row r="292" spans="1:19" ht="12.75">
      <c r="A292" s="9" t="s">
        <v>1552</v>
      </c>
      <c r="B292" s="9" t="s">
        <v>1569</v>
      </c>
      <c r="C292" s="19">
        <v>2020</v>
      </c>
      <c r="D292" s="19" t="s">
        <v>1909</v>
      </c>
      <c r="E292" s="10"/>
      <c r="F292" s="10"/>
      <c r="G292" s="10"/>
      <c r="H292" s="10"/>
      <c r="I292" s="10"/>
      <c r="J292" s="10"/>
      <c r="K292" s="10"/>
      <c r="L292" s="10"/>
      <c r="M292" s="10"/>
      <c r="N292" s="11"/>
      <c r="O292" s="11"/>
      <c r="P292" s="11"/>
      <c r="Q292" s="10"/>
      <c r="R292" s="11"/>
      <c r="S292" s="11"/>
    </row>
    <row r="293" spans="1:19" ht="12.75">
      <c r="A293" s="9" t="s">
        <v>1552</v>
      </c>
      <c r="B293" s="9" t="s">
        <v>1570</v>
      </c>
      <c r="C293" s="19">
        <v>2020</v>
      </c>
      <c r="D293" s="19" t="s">
        <v>1909</v>
      </c>
      <c r="E293" s="10"/>
      <c r="F293" s="10"/>
      <c r="G293" s="10"/>
      <c r="H293" s="10"/>
      <c r="I293" s="10"/>
      <c r="J293" s="10"/>
      <c r="K293" s="10"/>
      <c r="L293" s="10"/>
      <c r="M293" s="10"/>
      <c r="N293" s="11"/>
      <c r="O293" s="11"/>
      <c r="P293" s="11"/>
      <c r="Q293" s="10"/>
      <c r="R293" s="11"/>
      <c r="S293" s="11"/>
    </row>
    <row r="294" spans="1:19" ht="12.75">
      <c r="A294" s="9" t="s">
        <v>1552</v>
      </c>
      <c r="B294" s="9" t="s">
        <v>1571</v>
      </c>
      <c r="C294" s="19">
        <v>2020</v>
      </c>
      <c r="D294" s="19" t="s">
        <v>1909</v>
      </c>
      <c r="E294" s="10"/>
      <c r="F294" s="10"/>
      <c r="G294" s="10"/>
      <c r="H294" s="10"/>
      <c r="I294" s="10"/>
      <c r="J294" s="10"/>
      <c r="K294" s="10"/>
      <c r="L294" s="10"/>
      <c r="M294" s="10"/>
      <c r="N294" s="11"/>
      <c r="O294" s="11"/>
      <c r="P294" s="11"/>
      <c r="Q294" s="10"/>
      <c r="R294" s="11"/>
      <c r="S294" s="11"/>
    </row>
    <row r="295" spans="1:19" ht="12.75">
      <c r="A295" s="9" t="s">
        <v>1552</v>
      </c>
      <c r="B295" s="9" t="s">
        <v>1572</v>
      </c>
      <c r="C295" s="19">
        <v>2020</v>
      </c>
      <c r="D295" s="19" t="s">
        <v>1909</v>
      </c>
      <c r="E295" s="10"/>
      <c r="F295" s="10"/>
      <c r="G295" s="10"/>
      <c r="H295" s="10"/>
      <c r="I295" s="10"/>
      <c r="J295" s="10"/>
      <c r="K295" s="10"/>
      <c r="L295" s="10"/>
      <c r="M295" s="10"/>
      <c r="N295" s="11"/>
      <c r="O295" s="11"/>
      <c r="P295" s="11"/>
      <c r="Q295" s="10"/>
      <c r="R295" s="11"/>
      <c r="S295" s="11"/>
    </row>
    <row r="296" spans="1:19" ht="12.75">
      <c r="A296" s="9" t="s">
        <v>1552</v>
      </c>
      <c r="B296" s="9" t="s">
        <v>1573</v>
      </c>
      <c r="C296" s="19">
        <v>2020</v>
      </c>
      <c r="D296" s="19" t="s">
        <v>1909</v>
      </c>
      <c r="E296" s="10"/>
      <c r="F296" s="10"/>
      <c r="G296" s="10"/>
      <c r="H296" s="10"/>
      <c r="I296" s="10"/>
      <c r="J296" s="10"/>
      <c r="K296" s="10"/>
      <c r="L296" s="10"/>
      <c r="M296" s="10"/>
      <c r="N296" s="11"/>
      <c r="O296" s="11"/>
      <c r="P296" s="11"/>
      <c r="Q296" s="10"/>
      <c r="R296" s="11"/>
      <c r="S296" s="11"/>
    </row>
    <row r="297" spans="1:19" ht="12.75">
      <c r="A297" s="9" t="s">
        <v>1552</v>
      </c>
      <c r="B297" s="9" t="s">
        <v>1574</v>
      </c>
      <c r="C297" s="19">
        <v>2020</v>
      </c>
      <c r="D297" s="19" t="s">
        <v>1909</v>
      </c>
      <c r="E297" s="10"/>
      <c r="F297" s="10"/>
      <c r="G297" s="10"/>
      <c r="H297" s="10"/>
      <c r="I297" s="10"/>
      <c r="J297" s="10"/>
      <c r="K297" s="10"/>
      <c r="L297" s="10"/>
      <c r="M297" s="10"/>
      <c r="N297" s="11"/>
      <c r="O297" s="11"/>
      <c r="P297" s="11"/>
      <c r="Q297" s="10"/>
      <c r="R297" s="11"/>
      <c r="S297" s="11"/>
    </row>
    <row r="298" spans="1:19" ht="12.75">
      <c r="A298" s="9" t="s">
        <v>1552</v>
      </c>
      <c r="B298" s="9" t="s">
        <v>1575</v>
      </c>
      <c r="C298" s="19">
        <v>2020</v>
      </c>
      <c r="D298" s="19" t="s">
        <v>1909</v>
      </c>
      <c r="E298" s="10"/>
      <c r="F298" s="10"/>
      <c r="G298" s="10"/>
      <c r="H298" s="10"/>
      <c r="I298" s="10"/>
      <c r="J298" s="10"/>
      <c r="K298" s="10"/>
      <c r="L298" s="10"/>
      <c r="M298" s="10"/>
      <c r="N298" s="11"/>
      <c r="O298" s="11"/>
      <c r="P298" s="11"/>
      <c r="Q298" s="10"/>
      <c r="R298" s="11"/>
      <c r="S298" s="11"/>
    </row>
    <row r="299" spans="1:19" ht="12.75">
      <c r="A299" s="9" t="s">
        <v>1576</v>
      </c>
      <c r="B299" s="9" t="s">
        <v>1577</v>
      </c>
      <c r="C299" s="19">
        <v>2020</v>
      </c>
      <c r="D299" s="19" t="s">
        <v>1909</v>
      </c>
      <c r="E299" s="10"/>
      <c r="F299" s="10"/>
      <c r="G299" s="10"/>
      <c r="H299" s="10"/>
      <c r="I299" s="10"/>
      <c r="J299" s="10"/>
      <c r="K299" s="10"/>
      <c r="L299" s="10"/>
      <c r="M299" s="10"/>
      <c r="N299" s="11"/>
      <c r="O299" s="11"/>
      <c r="P299" s="11"/>
      <c r="Q299" s="10"/>
      <c r="R299" s="11"/>
      <c r="S299" s="11"/>
    </row>
    <row r="300" spans="1:19" ht="12.75">
      <c r="A300" s="9" t="s">
        <v>1576</v>
      </c>
      <c r="B300" s="9" t="s">
        <v>1578</v>
      </c>
      <c r="C300" s="19">
        <v>2020</v>
      </c>
      <c r="D300" s="19" t="s">
        <v>1909</v>
      </c>
      <c r="E300" s="10"/>
      <c r="F300" s="10"/>
      <c r="G300" s="10"/>
      <c r="H300" s="10"/>
      <c r="I300" s="10"/>
      <c r="J300" s="10"/>
      <c r="K300" s="10"/>
      <c r="L300" s="10"/>
      <c r="M300" s="10"/>
      <c r="N300" s="11"/>
      <c r="O300" s="11"/>
      <c r="P300" s="11"/>
      <c r="Q300" s="10"/>
      <c r="R300" s="11"/>
      <c r="S300" s="11"/>
    </row>
    <row r="301" spans="1:19" ht="12.75">
      <c r="A301" s="9" t="s">
        <v>1576</v>
      </c>
      <c r="B301" s="9" t="s">
        <v>1579</v>
      </c>
      <c r="C301" s="19">
        <v>2020</v>
      </c>
      <c r="D301" s="19" t="s">
        <v>1909</v>
      </c>
      <c r="E301" s="10"/>
      <c r="F301" s="10"/>
      <c r="G301" s="10"/>
      <c r="H301" s="10"/>
      <c r="I301" s="10"/>
      <c r="J301" s="10"/>
      <c r="K301" s="10"/>
      <c r="L301" s="10"/>
      <c r="M301" s="10"/>
      <c r="N301" s="11"/>
      <c r="O301" s="11"/>
      <c r="P301" s="11"/>
      <c r="Q301" s="10"/>
      <c r="R301" s="11"/>
      <c r="S301" s="11"/>
    </row>
    <row r="302" spans="1:19" ht="12.75">
      <c r="A302" s="9" t="s">
        <v>1576</v>
      </c>
      <c r="B302" s="9" t="s">
        <v>1580</v>
      </c>
      <c r="C302" s="19">
        <v>2020</v>
      </c>
      <c r="D302" s="19" t="s">
        <v>1909</v>
      </c>
      <c r="E302" s="10"/>
      <c r="F302" s="10"/>
      <c r="G302" s="10"/>
      <c r="H302" s="10"/>
      <c r="I302" s="10"/>
      <c r="J302" s="10"/>
      <c r="K302" s="10"/>
      <c r="L302" s="10"/>
      <c r="M302" s="10"/>
      <c r="N302" s="11"/>
      <c r="O302" s="11"/>
      <c r="P302" s="11"/>
      <c r="Q302" s="10"/>
      <c r="R302" s="11"/>
      <c r="S302" s="11"/>
    </row>
    <row r="303" spans="1:19" ht="12.75">
      <c r="A303" s="9" t="s">
        <v>1576</v>
      </c>
      <c r="B303" s="9" t="s">
        <v>1581</v>
      </c>
      <c r="C303" s="19">
        <v>2020</v>
      </c>
      <c r="D303" s="19" t="s">
        <v>1909</v>
      </c>
      <c r="E303" s="10"/>
      <c r="F303" s="10"/>
      <c r="G303" s="10"/>
      <c r="H303" s="10"/>
      <c r="I303" s="10"/>
      <c r="J303" s="10"/>
      <c r="K303" s="10"/>
      <c r="L303" s="10"/>
      <c r="M303" s="10"/>
      <c r="N303" s="11"/>
      <c r="O303" s="11"/>
      <c r="P303" s="11"/>
      <c r="Q303" s="10"/>
      <c r="R303" s="11"/>
      <c r="S303" s="11"/>
    </row>
    <row r="304" spans="1:19" ht="12.75">
      <c r="A304" s="9" t="s">
        <v>1576</v>
      </c>
      <c r="B304" s="9" t="s">
        <v>1582</v>
      </c>
      <c r="C304" s="19">
        <v>2020</v>
      </c>
      <c r="D304" s="19" t="s">
        <v>1909</v>
      </c>
      <c r="E304" s="10"/>
      <c r="F304" s="10"/>
      <c r="G304" s="10"/>
      <c r="H304" s="10"/>
      <c r="I304" s="10"/>
      <c r="J304" s="10"/>
      <c r="K304" s="10"/>
      <c r="L304" s="10"/>
      <c r="M304" s="10"/>
      <c r="N304" s="11"/>
      <c r="O304" s="11"/>
      <c r="P304" s="11"/>
      <c r="Q304" s="10"/>
      <c r="R304" s="11"/>
      <c r="S304" s="11"/>
    </row>
    <row r="305" spans="1:19" ht="12.75">
      <c r="A305" s="9" t="s">
        <v>1576</v>
      </c>
      <c r="B305" s="9" t="s">
        <v>1583</v>
      </c>
      <c r="C305" s="19">
        <v>2020</v>
      </c>
      <c r="D305" s="19" t="s">
        <v>1909</v>
      </c>
      <c r="E305" s="10"/>
      <c r="F305" s="10"/>
      <c r="G305" s="10"/>
      <c r="H305" s="10"/>
      <c r="I305" s="10"/>
      <c r="J305" s="10"/>
      <c r="K305" s="10"/>
      <c r="L305" s="10"/>
      <c r="M305" s="10"/>
      <c r="N305" s="11"/>
      <c r="O305" s="11"/>
      <c r="P305" s="11"/>
      <c r="Q305" s="10"/>
      <c r="R305" s="11"/>
      <c r="S305" s="11"/>
    </row>
    <row r="306" spans="1:19" ht="12.75">
      <c r="A306" s="9" t="s">
        <v>1576</v>
      </c>
      <c r="B306" s="9" t="s">
        <v>1584</v>
      </c>
      <c r="C306" s="19">
        <v>2020</v>
      </c>
      <c r="D306" s="19" t="s">
        <v>1909</v>
      </c>
      <c r="E306" s="10"/>
      <c r="F306" s="10"/>
      <c r="G306" s="10"/>
      <c r="H306" s="10"/>
      <c r="I306" s="10"/>
      <c r="J306" s="10"/>
      <c r="K306" s="10"/>
      <c r="L306" s="10"/>
      <c r="M306" s="10"/>
      <c r="N306" s="11"/>
      <c r="O306" s="11"/>
      <c r="P306" s="11"/>
      <c r="Q306" s="10"/>
      <c r="R306" s="11"/>
      <c r="S306" s="11"/>
    </row>
    <row r="307" spans="1:19" ht="12.75">
      <c r="A307" s="9" t="s">
        <v>1576</v>
      </c>
      <c r="B307" s="9" t="s">
        <v>1585</v>
      </c>
      <c r="C307" s="19">
        <v>2020</v>
      </c>
      <c r="D307" s="19" t="s">
        <v>1909</v>
      </c>
      <c r="E307" s="10"/>
      <c r="F307" s="10"/>
      <c r="G307" s="10"/>
      <c r="H307" s="10"/>
      <c r="I307" s="10"/>
      <c r="J307" s="10"/>
      <c r="K307" s="10"/>
      <c r="L307" s="10"/>
      <c r="M307" s="10"/>
      <c r="N307" s="11"/>
      <c r="O307" s="11"/>
      <c r="P307" s="11"/>
      <c r="Q307" s="10"/>
      <c r="R307" s="11"/>
      <c r="S307" s="11"/>
    </row>
    <row r="308" spans="1:19" ht="12.75">
      <c r="A308" s="9" t="s">
        <v>1576</v>
      </c>
      <c r="B308" s="9" t="s">
        <v>1586</v>
      </c>
      <c r="C308" s="19">
        <v>2020</v>
      </c>
      <c r="D308" s="19" t="s">
        <v>1909</v>
      </c>
      <c r="E308" s="10"/>
      <c r="F308" s="10"/>
      <c r="G308" s="10"/>
      <c r="H308" s="10"/>
      <c r="I308" s="10"/>
      <c r="J308" s="10"/>
      <c r="K308" s="10"/>
      <c r="L308" s="10"/>
      <c r="M308" s="10"/>
      <c r="N308" s="11"/>
      <c r="O308" s="11"/>
      <c r="P308" s="11"/>
      <c r="Q308" s="10"/>
      <c r="R308" s="11"/>
      <c r="S308" s="11"/>
    </row>
    <row r="309" spans="1:19" ht="12.75">
      <c r="A309" s="9" t="s">
        <v>1576</v>
      </c>
      <c r="B309" s="9" t="s">
        <v>1587</v>
      </c>
      <c r="C309" s="19">
        <v>2020</v>
      </c>
      <c r="D309" s="19" t="s">
        <v>1909</v>
      </c>
      <c r="E309" s="10"/>
      <c r="F309" s="10"/>
      <c r="G309" s="10"/>
      <c r="H309" s="10"/>
      <c r="I309" s="10"/>
      <c r="J309" s="10"/>
      <c r="K309" s="10"/>
      <c r="L309" s="10"/>
      <c r="M309" s="10"/>
      <c r="N309" s="11"/>
      <c r="O309" s="11"/>
      <c r="P309" s="11"/>
      <c r="Q309" s="10"/>
      <c r="R309" s="11"/>
      <c r="S309" s="11"/>
    </row>
    <row r="310" spans="1:19" ht="12.75">
      <c r="A310" s="9" t="s">
        <v>1576</v>
      </c>
      <c r="B310" s="9" t="s">
        <v>1588</v>
      </c>
      <c r="C310" s="19">
        <v>2020</v>
      </c>
      <c r="D310" s="19" t="s">
        <v>1909</v>
      </c>
      <c r="E310" s="10"/>
      <c r="F310" s="10"/>
      <c r="G310" s="10"/>
      <c r="H310" s="10"/>
      <c r="I310" s="10"/>
      <c r="J310" s="10"/>
      <c r="K310" s="10"/>
      <c r="L310" s="10"/>
      <c r="M310" s="10"/>
      <c r="N310" s="11"/>
      <c r="O310" s="11"/>
      <c r="P310" s="11"/>
      <c r="Q310" s="10"/>
      <c r="R310" s="11"/>
      <c r="S310" s="11"/>
    </row>
    <row r="311" spans="1:19" ht="12.75">
      <c r="A311" s="9" t="s">
        <v>1576</v>
      </c>
      <c r="B311" s="9" t="s">
        <v>1589</v>
      </c>
      <c r="C311" s="19">
        <v>2020</v>
      </c>
      <c r="D311" s="19" t="s">
        <v>1909</v>
      </c>
      <c r="E311" s="10"/>
      <c r="F311" s="10"/>
      <c r="G311" s="10"/>
      <c r="H311" s="10"/>
      <c r="I311" s="10"/>
      <c r="J311" s="10"/>
      <c r="K311" s="10"/>
      <c r="L311" s="10"/>
      <c r="M311" s="10"/>
      <c r="N311" s="11"/>
      <c r="O311" s="11"/>
      <c r="P311" s="11"/>
      <c r="Q311" s="10"/>
      <c r="R311" s="11"/>
      <c r="S311" s="11"/>
    </row>
  </sheetData>
  <customSheetViews>
    <customSheetView guid="{5AD1DB9D-5AA6-4240-BF2F-0293C0D5B73F}" filter="1" showAutoFilter="1">
      <pageMargins left="0.7" right="0.7" top="0.75" bottom="0.75" header="0.3" footer="0.3"/>
      <autoFilter ref="A1:Q244"/>
    </customSheetView>
  </customSheetViews>
  <conditionalFormatting sqref="B2:D311">
    <cfRule type="expression" dxfId="37" priority="1">
      <formula>AND(INDIRECT("'Processing Database'!V"&amp;ROW()),INDIRECT("'Processing Database'!R"&amp;ROW()))</formula>
    </cfRule>
  </conditionalFormatting>
  <conditionalFormatting sqref="B2:D311">
    <cfRule type="expression" dxfId="36" priority="2">
      <formula>INDIRECT("'Processing Database'!R"&amp;ROW())</formula>
    </cfRule>
  </conditionalFormatting>
  <conditionalFormatting sqref="B2:C311">
    <cfRule type="expression" dxfId="35" priority="3">
      <formula>COUNTIF(B:B,B2)&gt;1</formula>
    </cfRule>
  </conditionalFormatting>
  <conditionalFormatting sqref="A2:A311">
    <cfRule type="cellIs" dxfId="34" priority="4" operator="equal">
      <formula>"BMS"</formula>
    </cfRule>
  </conditionalFormatting>
  <conditionalFormatting sqref="A2:A311">
    <cfRule type="cellIs" dxfId="33" priority="5" operator="equal">
      <formula>"CIE"</formula>
    </cfRule>
  </conditionalFormatting>
  <conditionalFormatting sqref="A2:A311">
    <cfRule type="cellIs" dxfId="32" priority="6" operator="equal">
      <formula>"ENV"</formula>
    </cfRule>
  </conditionalFormatting>
  <conditionalFormatting sqref="A2:A311">
    <cfRule type="cellIs" dxfId="31" priority="7" operator="equal">
      <formula>"GenEd"</formula>
    </cfRule>
  </conditionalFormatting>
  <conditionalFormatting sqref="A2:A311">
    <cfRule type="cellIs" dxfId="30" priority="8" operator="equal">
      <formula>"MATH"</formula>
    </cfRule>
  </conditionalFormatting>
  <conditionalFormatting sqref="A2:A311">
    <cfRule type="cellIs" dxfId="29" priority="9" operator="equal">
      <formula>"MATSCI"</formula>
    </cfRule>
  </conditionalFormatting>
  <conditionalFormatting sqref="A2:A311">
    <cfRule type="cellIs" dxfId="28" priority="10" operator="equal">
      <formula>"NANENG"</formula>
    </cfRule>
  </conditionalFormatting>
  <conditionalFormatting sqref="A2:A311">
    <cfRule type="cellIs" dxfId="27" priority="11" operator="equal">
      <formula>"NANOSC"</formula>
    </cfRule>
  </conditionalFormatting>
  <conditionalFormatting sqref="A2:A311">
    <cfRule type="cellIs" dxfId="26" priority="12" operator="equal">
      <formula>"PEU"</formula>
    </cfRule>
  </conditionalFormatting>
  <conditionalFormatting sqref="A2:A311">
    <cfRule type="cellIs" dxfId="25" priority="13" operator="equal">
      <formula>"REE"</formula>
    </cfRule>
  </conditionalFormatting>
  <conditionalFormatting sqref="D2:D311">
    <cfRule type="expression" dxfId="24" priority="19">
      <formula>COUNTIF(C:C,D2)&gt;1</formula>
    </cfRule>
  </conditionalFormatting>
  <dataValidations count="1">
    <dataValidation type="list" allowBlank="1" showErrorMessage="1" sqref="A2:A311">
      <formula1>Programs</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311"/>
  <sheetViews>
    <sheetView showGridLines="0" workbookViewId="0">
      <pane xSplit="2" ySplit="1" topLeftCell="C2" activePane="bottomRight" state="frozen"/>
      <selection pane="topRight" activeCell="C1" sqref="C1"/>
      <selection pane="bottomLeft" activeCell="A2" sqref="A2"/>
      <selection pane="bottomRight" activeCell="E3" sqref="E3"/>
    </sheetView>
  </sheetViews>
  <sheetFormatPr defaultColWidth="14.42578125" defaultRowHeight="15.75" customHeight="1"/>
  <cols>
    <col min="1" max="1" width="12" customWidth="1"/>
    <col min="2" max="2" width="15.5703125" customWidth="1"/>
    <col min="3" max="3" width="12.5703125" customWidth="1"/>
    <col min="4" max="4" width="11.42578125" customWidth="1"/>
    <col min="5" max="5" width="12" customWidth="1"/>
    <col min="6" max="6" width="11.85546875" customWidth="1"/>
    <col min="7" max="19" width="11.42578125" customWidth="1"/>
    <col min="20" max="22" width="3.140625" customWidth="1"/>
  </cols>
  <sheetData>
    <row r="1" spans="1:22" ht="15.75" customHeight="1">
      <c r="A1" s="1" t="str">
        <f t="array" ref="A1:Q311">Database!A1:S311</f>
        <v>Program</v>
      </c>
      <c r="B1" s="3" t="str">
        <v>Course Code</v>
      </c>
      <c r="C1" s="4" t="str">
        <v>Year</v>
      </c>
      <c r="D1" s="4" t="str">
        <v>Semestar</v>
      </c>
      <c r="E1" s="4" t="str">
        <v>CLO 01</v>
      </c>
      <c r="F1" s="4" t="str">
        <v>CLO 02</v>
      </c>
      <c r="G1" s="4" t="str">
        <v>CLO 03</v>
      </c>
      <c r="H1" s="4" t="str">
        <v>CLO 04</v>
      </c>
      <c r="I1" s="4" t="str">
        <v>CLO 05</v>
      </c>
      <c r="J1" s="4" t="str">
        <v>CLO 06</v>
      </c>
      <c r="K1" s="4" t="str">
        <v>CLO 07</v>
      </c>
      <c r="L1" s="4" t="str">
        <v>CLO 08</v>
      </c>
      <c r="M1" s="4" t="str">
        <v>CLO 09</v>
      </c>
      <c r="N1" s="4" t="str">
        <v>CLO 10</v>
      </c>
      <c r="O1" s="4" t="str">
        <v>CLO 11</v>
      </c>
      <c r="P1" s="4" t="str">
        <v>CLO 12</v>
      </c>
      <c r="Q1" s="4" t="str">
        <v>CLO 13</v>
      </c>
      <c r="R1" s="6"/>
      <c r="S1" s="6">
        <f t="array" ref="S1:S174">'Fl 19 Follow up'!AH:AH</f>
        <v>0</v>
      </c>
      <c r="T1" s="6"/>
      <c r="U1" s="6"/>
      <c r="V1" s="6"/>
    </row>
    <row r="2" spans="1:22" ht="15.75" customHeight="1">
      <c r="A2" s="7" t="str">
        <v>BMS</v>
      </c>
      <c r="B2" s="9" t="str">
        <v>BIOL 101</v>
      </c>
      <c r="C2" s="10">
        <v>2020</v>
      </c>
      <c r="D2" s="10" t="str">
        <v>SPRING</v>
      </c>
      <c r="E2" s="10" t="str">
        <v>Ability to interpret scientific inquiry and follow logical reasoning in relation to biology</v>
      </c>
      <c r="F2" s="10" t="str">
        <v>Recognize the basic structure of the cell and relations of structure to function</v>
      </c>
      <c r="G2" s="10" t="str">
        <v>Learn how evolution works, and the unity and the diversity of life</v>
      </c>
      <c r="H2" s="10" t="str">
        <v>Correlate basic life functions such as photosynthesis in plants to metabolism and respiration in animals</v>
      </c>
      <c r="I2" s="11" t="str">
        <v>Describe the DNA molecule, and describe DNA replication, including the principle steps and enzymes involved</v>
      </c>
      <c r="J2" s="11" t="str">
        <v>Define and be able to use the following terms correctly: genotype, phenotype, homozygous, heterozygous, alleles and genes</v>
      </c>
      <c r="K2" s="11">
        <v>0</v>
      </c>
      <c r="L2" s="11">
        <v>0</v>
      </c>
      <c r="M2" s="11">
        <v>0</v>
      </c>
      <c r="N2" s="11">
        <v>0</v>
      </c>
      <c r="O2" s="11">
        <v>0</v>
      </c>
      <c r="P2" s="11">
        <v>0</v>
      </c>
      <c r="Q2" s="11">
        <v>0</v>
      </c>
      <c r="R2" s="12" t="b">
        <f t="shared" ref="R2:R230" si="0">NOT(ISNA(VLOOKUP(B2,S:S,1,0)))</f>
        <v>1</v>
      </c>
      <c r="S2" s="12" t="str">
        <v>BIOL 101</v>
      </c>
      <c r="T2" s="12" t="e">
        <f t="array" aca="1" ref="T2" ca="1">_xludf.IFNA(LOOKUP(2,1/(C2:Q2&lt;&gt;""),COLUMN(C2:Q2))-2,0)</f>
        <v>#NAME?</v>
      </c>
      <c r="U2" s="12">
        <f t="shared" ref="U2:U230" si="1">COUNTA(C2:Q2)</f>
        <v>15</v>
      </c>
      <c r="V2" s="12" t="e">
        <f t="shared" ref="V2:V230" ca="1" si="2">NOT(OR(T2=0,T2=U2))</f>
        <v>#NAME?</v>
      </c>
    </row>
    <row r="3" spans="1:22" ht="15.75" customHeight="1">
      <c r="A3" s="9" t="str">
        <v>BMS</v>
      </c>
      <c r="B3" s="9" t="str">
        <v>BIOL 102</v>
      </c>
      <c r="C3" s="10">
        <v>2020</v>
      </c>
      <c r="D3" s="10" t="str">
        <v>SPRING</v>
      </c>
      <c r="E3" s="10" t="str">
        <v>Determine how cells and systems function in prokaryotes and eukaryotes.</v>
      </c>
      <c r="F3" s="10" t="str">
        <v>Appreciate the diversity of life.</v>
      </c>
      <c r="G3" s="10" t="str">
        <v>Understand the cell cycle and how cells divide in multicellular organisms.</v>
      </c>
      <c r="H3" s="10" t="str">
        <v>Understand meiosis and its underlying processes.</v>
      </c>
      <c r="I3" s="10" t="str">
        <v>Ability to apply their knowledge of the central dogma of biology in the fields of science</v>
      </c>
      <c r="J3" s="10" t="str">
        <v>Understand the Mendelian model of inheritance.</v>
      </c>
      <c r="K3" s="10" t="str">
        <v>Ability to determine how cells and systems function in both plants and animals</v>
      </c>
      <c r="L3" s="11" t="str">
        <v>Ability to analyse the role of nutritional intake to health outcome, and the role of the</v>
      </c>
      <c r="M3" s="11" t="str">
        <v>Ability to describe the different components of the immune system and their role in</v>
      </c>
      <c r="N3" s="11">
        <v>0</v>
      </c>
      <c r="O3" s="10">
        <v>0</v>
      </c>
      <c r="P3" s="11">
        <v>0</v>
      </c>
      <c r="Q3" s="11">
        <v>0</v>
      </c>
      <c r="R3" s="12" t="b">
        <f t="shared" ca="1" si="0"/>
        <v>0</v>
      </c>
      <c r="S3" s="12" t="str">
        <v>BIOL 111</v>
      </c>
      <c r="T3" s="12" t="e">
        <f t="array" aca="1" ref="T3" ca="1">_xludf.IFNA(LOOKUP(2,1/(C3:Q3&lt;&gt;""),COLUMN(C3:Q3))-2,0)</f>
        <v>#NAME?</v>
      </c>
      <c r="U3" s="12">
        <f t="shared" si="1"/>
        <v>15</v>
      </c>
      <c r="V3" s="12" t="e">
        <f t="shared" ca="1" si="2"/>
        <v>#NAME?</v>
      </c>
    </row>
    <row r="4" spans="1:22" ht="15.75" customHeight="1">
      <c r="A4" s="9" t="str">
        <v>BMS</v>
      </c>
      <c r="B4" s="9" t="str">
        <v>BIOL 111</v>
      </c>
      <c r="C4" s="10">
        <v>2020</v>
      </c>
      <c r="D4" s="10" t="str">
        <v>SPRING</v>
      </c>
      <c r="E4" s="10" t="str">
        <v>Apply lecture concepts in a laboratory setting (LAB)</v>
      </c>
      <c r="F4" s="10" t="str">
        <v>Ability to work in a team to solve real-life problems. (LAB)</v>
      </c>
      <c r="G4" s="10" t="str">
        <v>Gain basic laboratory skills, such as micropipetting, isolating DNA from bacterial sample, etc. (LAB+Q)</v>
      </c>
      <c r="H4" s="10" t="str">
        <v>Employment of standard observational strategies (LAB+Q)</v>
      </c>
      <c r="I4" s="10" t="str">
        <v>Understand the components of a scientific lab report (LAB)</v>
      </c>
      <c r="J4" s="10" t="str">
        <v>Ability to write scientific reports including data description, analysis, and drawing conclusions (LAB+Q)</v>
      </c>
      <c r="K4" s="10">
        <v>0</v>
      </c>
      <c r="L4" s="11">
        <v>0</v>
      </c>
      <c r="M4" s="11">
        <v>0</v>
      </c>
      <c r="N4" s="11">
        <v>0</v>
      </c>
      <c r="O4" s="10">
        <v>0</v>
      </c>
      <c r="P4" s="11">
        <v>0</v>
      </c>
      <c r="Q4" s="11">
        <v>0</v>
      </c>
      <c r="R4" s="12" t="b">
        <f t="shared" si="0"/>
        <v>1</v>
      </c>
      <c r="S4" s="12" t="str">
        <v>BMS 201</v>
      </c>
      <c r="T4" s="12" t="e">
        <f t="array" aca="1" ref="T4" ca="1">_xludf.IFNA(LOOKUP(2,1/(C4:Q4&lt;&gt;""),COLUMN(C4:Q4))-2,0)</f>
        <v>#NAME?</v>
      </c>
      <c r="U4" s="12">
        <f t="shared" si="1"/>
        <v>15</v>
      </c>
      <c r="V4" s="12" t="e">
        <f t="shared" ca="1" si="2"/>
        <v>#NAME?</v>
      </c>
    </row>
    <row r="5" spans="1:22" ht="15.75" customHeight="1">
      <c r="A5" s="9" t="str">
        <v>BMS</v>
      </c>
      <c r="B5" s="9" t="str">
        <v>BIOL 112</v>
      </c>
      <c r="C5" s="10">
        <v>2020</v>
      </c>
      <c r="D5" s="10" t="str">
        <v>SPRING</v>
      </c>
      <c r="E5" s="10" t="str">
        <v>Apply lecture concepts in a laboratory setting</v>
      </c>
      <c r="F5" s="10" t="str">
        <v>Ability to work in a team to solve real-life problems.</v>
      </c>
      <c r="G5" s="10" t="str">
        <v>Gain basic laboratory skills, such as Microscopy, bacterial staining, anatomical dissection, ...etc.</v>
      </c>
      <c r="H5" s="10" t="str">
        <v>Employment of standard observational strategies</v>
      </c>
      <c r="I5" s="10" t="str">
        <v>Understand the components of a scientific lab report</v>
      </c>
      <c r="J5" s="10" t="str">
        <v>Ability to write scientific reports including data description, analysis, and drawing conclusions</v>
      </c>
      <c r="K5" s="10">
        <v>0</v>
      </c>
      <c r="L5" s="11">
        <v>0</v>
      </c>
      <c r="M5" s="11">
        <v>0</v>
      </c>
      <c r="N5" s="11">
        <v>0</v>
      </c>
      <c r="O5" s="10">
        <v>0</v>
      </c>
      <c r="P5" s="11">
        <v>0</v>
      </c>
      <c r="Q5" s="11">
        <v>0</v>
      </c>
      <c r="R5" s="12" t="b">
        <f t="shared" ca="1" si="0"/>
        <v>0</v>
      </c>
      <c r="S5" s="12" t="str">
        <v>BMS 202</v>
      </c>
      <c r="T5" s="12" t="e">
        <f t="array" aca="1" ref="T5" ca="1">_xludf.IFNA(LOOKUP(2,1/(C5:Q5&lt;&gt;""),COLUMN(C5:Q5))-2,0)</f>
        <v>#NAME?</v>
      </c>
      <c r="U5" s="12">
        <f t="shared" si="1"/>
        <v>15</v>
      </c>
      <c r="V5" s="12" t="e">
        <f t="shared" ca="1" si="2"/>
        <v>#NAME?</v>
      </c>
    </row>
    <row r="6" spans="1:22" ht="15.75" customHeight="1">
      <c r="A6" s="9" t="str">
        <v>BMS</v>
      </c>
      <c r="B6" s="9" t="str">
        <v>BMS 201</v>
      </c>
      <c r="C6" s="10">
        <v>2020</v>
      </c>
      <c r="D6" s="10" t="str">
        <v>SPRING</v>
      </c>
      <c r="E6" s="10" t="str">
        <v>Ability to distinguish the basic groups of bacteria</v>
      </c>
      <c r="F6" s="10" t="str">
        <v>Ability to describe the microbial metabolism and understand the reproduction mechanisms of bacteria</v>
      </c>
      <c r="G6" s="10" t="str">
        <v>Ability to identify the principles of disease and the microbial mechanisms of pathogenicity</v>
      </c>
      <c r="H6" s="10" t="str">
        <v>Ability to predict the microbial mechanisms of pathogenicity and illustrate the common features of microbial pathogens</v>
      </c>
      <c r="I6" s="10" t="str">
        <v>Ability to demonstrate the mechanism of antimicrobial resistance</v>
      </c>
      <c r="J6" s="10" t="str">
        <v>Ability to explain the relationship between microorganisms and environment</v>
      </c>
      <c r="K6" s="10" t="str">
        <v>Ability to judge beneficial and harmful uses of organism</v>
      </c>
      <c r="L6" s="11" t="str">
        <v>Ability to work in teamwork to solve real life problems</v>
      </c>
      <c r="M6" s="11">
        <v>0</v>
      </c>
      <c r="N6" s="11">
        <v>0</v>
      </c>
      <c r="O6" s="10">
        <v>0</v>
      </c>
      <c r="P6" s="11">
        <v>0</v>
      </c>
      <c r="Q6" s="11">
        <v>0</v>
      </c>
      <c r="R6" s="12" t="b">
        <f t="shared" si="0"/>
        <v>1</v>
      </c>
      <c r="S6" s="12" t="str">
        <v>BMS 211</v>
      </c>
      <c r="T6" s="12" t="e">
        <f t="array" aca="1" ref="T6" ca="1">_xludf.IFNA(LOOKUP(2,1/(C6:Q6&lt;&gt;""),COLUMN(C6:Q6))-2,0)</f>
        <v>#NAME?</v>
      </c>
      <c r="U6" s="12">
        <f t="shared" si="1"/>
        <v>15</v>
      </c>
      <c r="V6" s="12" t="e">
        <f t="shared" ca="1" si="2"/>
        <v>#NAME?</v>
      </c>
    </row>
    <row r="7" spans="1:22" ht="15.75" customHeight="1">
      <c r="A7" s="9" t="str">
        <v>BMS</v>
      </c>
      <c r="B7" s="9" t="str">
        <v>BMS 202</v>
      </c>
      <c r="C7" s="10">
        <v>2020</v>
      </c>
      <c r="D7" s="10" t="str">
        <v>SPRING</v>
      </c>
      <c r="E7" s="10" t="str">
        <v>Learn the function of different cell organelles</v>
      </c>
      <c r="F7" s="10" t="str">
        <v>Learn how the DNA is replicated and genes are transcribed and translated</v>
      </c>
      <c r="G7" s="10" t="str">
        <v>Explain how gene expression is regulated</v>
      </c>
      <c r="H7" s="10" t="str">
        <v>Learn about common cell biology techniques</v>
      </c>
      <c r="I7" s="10">
        <v>0</v>
      </c>
      <c r="J7" s="10">
        <v>0</v>
      </c>
      <c r="K7" s="10">
        <v>0</v>
      </c>
      <c r="L7" s="11">
        <v>0</v>
      </c>
      <c r="M7" s="11">
        <v>0</v>
      </c>
      <c r="N7" s="11">
        <v>0</v>
      </c>
      <c r="O7" s="10">
        <v>0</v>
      </c>
      <c r="P7" s="11">
        <v>0</v>
      </c>
      <c r="Q7" s="11">
        <v>0</v>
      </c>
      <c r="R7" s="12" t="b">
        <f t="shared" si="0"/>
        <v>1</v>
      </c>
      <c r="S7" s="12" t="str">
        <v>BMS 212</v>
      </c>
      <c r="T7" s="12" t="e">
        <f t="array" aca="1" ref="T7" ca="1">_xludf.IFNA(LOOKUP(2,1/(C7:Q7&lt;&gt;""),COLUMN(C7:Q7))-2,0)</f>
        <v>#NAME?</v>
      </c>
      <c r="U7" s="12">
        <f t="shared" si="1"/>
        <v>15</v>
      </c>
      <c r="V7" s="12" t="e">
        <f t="shared" ca="1" si="2"/>
        <v>#NAME?</v>
      </c>
    </row>
    <row r="8" spans="1:22" ht="15.75" customHeight="1">
      <c r="A8" s="9" t="str">
        <v>BMS</v>
      </c>
      <c r="B8" s="9" t="str">
        <v>BMS 203</v>
      </c>
      <c r="C8" s="10">
        <v>2020</v>
      </c>
      <c r="D8" s="10" t="str">
        <v>SPRING</v>
      </c>
      <c r="E8" s="10" t="str">
        <v>Ability to describe Mendel’s conclusions about how traits are passed from generation to generation</v>
      </c>
      <c r="F8" s="10" t="str">
        <v>Ability to explain how chromosomes move through mitosis and meiosis</v>
      </c>
      <c r="G8" s="10" t="str">
        <v>Ability to describe Mendelian and non-Mendelian genetics</v>
      </c>
      <c r="H8" s="10" t="str">
        <v>Ability to demonstrate chromosome mutations and Linkage and chromosome mapping</v>
      </c>
      <c r="I8" s="10" t="str">
        <v>Learn how to make genetically modified organisms</v>
      </c>
      <c r="J8" s="10" t="str">
        <v>Appreciate the role of DNA repair in mutations and their impact on inheritance</v>
      </c>
      <c r="K8" s="10" t="str">
        <v>Discuss the role of gene expression on the development of organisms</v>
      </c>
      <c r="L8" s="11" t="str">
        <v>Learn how cancer developed due to multistep mutations</v>
      </c>
      <c r="M8" s="11">
        <v>0</v>
      </c>
      <c r="N8" s="11">
        <v>0</v>
      </c>
      <c r="O8" s="10">
        <v>0</v>
      </c>
      <c r="P8" s="11">
        <v>0</v>
      </c>
      <c r="Q8" s="11">
        <v>0</v>
      </c>
      <c r="R8" s="12" t="b">
        <f t="shared" ca="1" si="0"/>
        <v>0</v>
      </c>
      <c r="S8" s="12" t="str">
        <v>BMS 301</v>
      </c>
      <c r="T8" s="12" t="e">
        <f t="array" aca="1" ref="T8" ca="1">_xludf.IFNA(LOOKUP(2,1/(C8:Q8&lt;&gt;""),COLUMN(C8:Q8))-2,0)</f>
        <v>#NAME?</v>
      </c>
      <c r="U8" s="12">
        <f t="shared" si="1"/>
        <v>15</v>
      </c>
      <c r="V8" s="12" t="e">
        <f t="shared" ca="1" si="2"/>
        <v>#NAME?</v>
      </c>
    </row>
    <row r="9" spans="1:22" ht="15.75" customHeight="1">
      <c r="A9" s="9" t="str">
        <v>BMS</v>
      </c>
      <c r="B9" s="9" t="str">
        <v>BMS 204</v>
      </c>
      <c r="C9" s="10">
        <v>2020</v>
      </c>
      <c r="D9" s="10" t="str">
        <v>SPRING</v>
      </c>
      <c r="E9" s="10" t="str">
        <v>Recognize the physicochemical properties of biological monomers and polymers (amino acids, sugars, fatty acids and other lipid monomers, and nucleotides proteins, lipids, carbohydrates and nucleic acids)</v>
      </c>
      <c r="F9" s="10" t="str">
        <v>Identify the roles of biopolymer molecules in living cells.</v>
      </c>
      <c r="G9" s="10" t="str">
        <v>Explain how enzymes function as catalysts and understand the enzyme kinetics rules governing their action.</v>
      </c>
      <c r="H9" s="10" t="str">
        <v>Recognize the different ways that enzymes can be inhibited and predict if and how that inhibition can be reversed</v>
      </c>
      <c r="I9" s="10" t="str">
        <v>Recognize the reactions of major metabolic pathways: Central Metabolism (Glycolysis-Gluconeogenesis, Pentose-phosphate Pathway, Citric Acid Cycle) and Respiratory Electron Transport System, Glyoxylate Cycle; Beta-oxidation of fatty acids and the regulatory steps thereof</v>
      </c>
      <c r="J9" s="10" t="str">
        <v>Work in a team to solve real life problems</v>
      </c>
      <c r="K9" s="10">
        <v>0</v>
      </c>
      <c r="L9" s="11">
        <v>0</v>
      </c>
      <c r="M9" s="11">
        <v>0</v>
      </c>
      <c r="N9" s="11">
        <v>0</v>
      </c>
      <c r="O9" s="10">
        <v>0</v>
      </c>
      <c r="P9" s="11">
        <v>0</v>
      </c>
      <c r="Q9" s="11">
        <v>0</v>
      </c>
      <c r="R9" s="12" t="b">
        <f t="shared" ca="1" si="0"/>
        <v>0</v>
      </c>
      <c r="S9" s="12" t="str">
        <v>BMS 304</v>
      </c>
      <c r="T9" s="12" t="e">
        <f t="array" aca="1" ref="T9" ca="1">_xludf.IFNA(LOOKUP(2,1/(C9:Q9&lt;&gt;""),COLUMN(C9:Q9))-2,0)</f>
        <v>#NAME?</v>
      </c>
      <c r="U9" s="12">
        <f t="shared" si="1"/>
        <v>15</v>
      </c>
      <c r="V9" s="12" t="e">
        <f t="shared" ca="1" si="2"/>
        <v>#NAME?</v>
      </c>
    </row>
    <row r="10" spans="1:22" ht="15.75" customHeight="1">
      <c r="A10" s="9" t="str">
        <v>BMS</v>
      </c>
      <c r="B10" s="9" t="str">
        <v>BMS 205</v>
      </c>
      <c r="C10" s="10">
        <v>2020</v>
      </c>
      <c r="D10" s="10" t="str">
        <v>SPRING</v>
      </c>
      <c r="E10" s="10" t="str">
        <v>Understand the different types and examples of transport across a cell membrane.</v>
      </c>
      <c r="F10" s="10" t="str">
        <v>Understand the mechanisms of the action potential in axons and skeletal muscle.</v>
      </c>
      <c r="G10" s="10" t="str">
        <v>Know the organization of the autonomic nervous system (ANS).</v>
      </c>
      <c r="H10" s="10" t="str">
        <v>Understand the mechanisms of cardiac action potentials and pacemaking</v>
      </c>
      <c r="I10" s="10" t="str">
        <v>Describe factors regulating the force of myocardial contractions and cardiac cycle</v>
      </c>
      <c r="J10" s="10" t="str">
        <v>Discuss the relative roles of the muscles involved in breathing</v>
      </c>
      <c r="K10" s="10" t="str">
        <v>Understand the function of the renal tubule and Know the basics of the glomerular filtration rate (GFR).</v>
      </c>
      <c r="L10" s="11" t="str">
        <v>Discuss the role of hypothalamus and pituitary in homeostasis</v>
      </c>
      <c r="M10" s="11" t="str">
        <v>Understand Erythropoiesis and hemostasis</v>
      </c>
      <c r="N10" s="11" t="str">
        <v>Understand the difference between the mechanisms of stimulation of hormones (endocrines), paracrines, and neurocrines</v>
      </c>
      <c r="O10" s="10" t="str">
        <v>Understand the metabolic function of the liver</v>
      </c>
      <c r="P10" s="11">
        <v>0</v>
      </c>
      <c r="Q10" s="11">
        <v>0</v>
      </c>
      <c r="R10" s="12" t="b">
        <f t="shared" ca="1" si="0"/>
        <v>0</v>
      </c>
      <c r="S10" s="12" t="str">
        <v>BMS 311</v>
      </c>
      <c r="T10" s="12" t="e">
        <f t="array" aca="1" ref="T10" ca="1">_xludf.IFNA(LOOKUP(2,1/(C10:Q10&lt;&gt;""),COLUMN(C10:Q10))-2,0)</f>
        <v>#NAME?</v>
      </c>
      <c r="U10" s="12">
        <f t="shared" si="1"/>
        <v>15</v>
      </c>
      <c r="V10" s="12" t="e">
        <f t="shared" ca="1" si="2"/>
        <v>#NAME?</v>
      </c>
    </row>
    <row r="11" spans="1:22" ht="15.75" customHeight="1">
      <c r="A11" s="9" t="str">
        <v>BMS</v>
      </c>
      <c r="B11" s="9" t="str">
        <v>BMS 211</v>
      </c>
      <c r="C11" s="10">
        <v>2020</v>
      </c>
      <c r="D11" s="10" t="str">
        <v>SPRING</v>
      </c>
      <c r="E11" s="10" t="str">
        <v>Ability to distinguish the basic groups of bacteria</v>
      </c>
      <c r="F11" s="10" t="str">
        <v>Ability to point out the microbial metabolism</v>
      </c>
      <c r="G11" s="10" t="str">
        <v>Ability to understand the reproduction mechanisms of bacteria</v>
      </c>
      <c r="H11" s="10" t="str">
        <v>Ability to predict the effect of physical and chemical treatments on the microbial growth</v>
      </c>
      <c r="I11" s="10" t="str">
        <v>Ability to demonstrate the mechanism of antimicrobial resistance</v>
      </c>
      <c r="J11" s="10" t="str">
        <v>Ability to design a protocol to differentiate between beneficial and harmful organism</v>
      </c>
      <c r="K11" s="10" t="str">
        <v>Ability to work in teamwork to solve real life problems</v>
      </c>
      <c r="L11" s="11">
        <v>0</v>
      </c>
      <c r="M11" s="11">
        <v>0</v>
      </c>
      <c r="N11" s="11">
        <v>0</v>
      </c>
      <c r="O11" s="10">
        <v>0</v>
      </c>
      <c r="P11" s="11">
        <v>0</v>
      </c>
      <c r="Q11" s="11">
        <v>0</v>
      </c>
      <c r="R11" s="12" t="b">
        <f t="shared" si="0"/>
        <v>1</v>
      </c>
      <c r="S11" s="12" t="str">
        <v>BMS 321</v>
      </c>
      <c r="T11" s="12" t="e">
        <f t="array" aca="1" ref="T11" ca="1">_xludf.IFNA(LOOKUP(2,1/(C11:Q11&lt;&gt;""),COLUMN(C11:Q11))-2,0)</f>
        <v>#NAME?</v>
      </c>
      <c r="U11" s="12">
        <f t="shared" si="1"/>
        <v>15</v>
      </c>
      <c r="V11" s="12" t="e">
        <f t="shared" ca="1" si="2"/>
        <v>#NAME?</v>
      </c>
    </row>
    <row r="12" spans="1:22" ht="15.75" customHeight="1">
      <c r="A12" s="9" t="str">
        <v>BMS</v>
      </c>
      <c r="B12" s="9" t="str">
        <v>BMS 212</v>
      </c>
      <c r="C12" s="10">
        <v>2020</v>
      </c>
      <c r="D12" s="10" t="str">
        <v>SPRING</v>
      </c>
      <c r="E12" s="10" t="str">
        <v>Perform common Cell Biology techniques</v>
      </c>
      <c r="F12" s="10" t="str">
        <v> Connect theoretical part to the practical part of the Cell Biology field</v>
      </c>
      <c r="G12" s="10" t="str">
        <v>Develop hand-on experience for the common Cell Biology techniques</v>
      </c>
      <c r="H12" s="10" t="str">
        <v>Take part of a real research environment</v>
      </c>
      <c r="I12" s="10" t="str">
        <v>Interpret and analyze your data</v>
      </c>
      <c r="J12" s="10" t="str">
        <v>Report your results in a neat and readable Notebook</v>
      </c>
      <c r="K12" s="10">
        <v>0</v>
      </c>
      <c r="L12" s="11">
        <v>0</v>
      </c>
      <c r="M12" s="11">
        <v>0</v>
      </c>
      <c r="N12" s="11">
        <v>0</v>
      </c>
      <c r="O12" s="10">
        <v>0</v>
      </c>
      <c r="P12" s="11">
        <v>0</v>
      </c>
      <c r="Q12" s="11">
        <v>0</v>
      </c>
      <c r="R12" s="12" t="b">
        <f t="shared" si="0"/>
        <v>1</v>
      </c>
      <c r="S12" s="12" t="str">
        <v>BMS 332</v>
      </c>
      <c r="T12" s="12" t="e">
        <f t="array" aca="1" ref="T12" ca="1">_xludf.IFNA(LOOKUP(2,1/(C12:Q12&lt;&gt;""),COLUMN(C12:Q12))-2,0)</f>
        <v>#NAME?</v>
      </c>
      <c r="U12" s="12">
        <f t="shared" si="1"/>
        <v>15</v>
      </c>
      <c r="V12" s="12" t="e">
        <f t="shared" ca="1" si="2"/>
        <v>#NAME?</v>
      </c>
    </row>
    <row r="13" spans="1:22" ht="15.75" customHeight="1">
      <c r="A13" s="9" t="str">
        <v>BMS</v>
      </c>
      <c r="B13" s="9" t="str">
        <v>BMS 213</v>
      </c>
      <c r="C13" s="10">
        <v>2020</v>
      </c>
      <c r="D13" s="10" t="str">
        <v>SPRING</v>
      </c>
      <c r="E13" s="10" t="str">
        <v>Ability to demonstrate the mechanism of cytogenetics</v>
      </c>
      <c r="F13" s="10" t="str">
        <v>Ability to distinguish the Mating and Mutants of D. melanogaster</v>
      </c>
      <c r="G13" s="10" t="str">
        <v>Ability to distinguish Blood Typing and Clotting.</v>
      </c>
      <c r="H13" s="10" t="str">
        <v>Ability to demonstrate Chromosome Staining.</v>
      </c>
      <c r="I13" s="10" t="str">
        <v>Ability to distinguish the cell cycle stages in yeast.</v>
      </c>
      <c r="J13" s="10" t="str">
        <v>Ability to design a protocol to study Plant Tissue Culture.</v>
      </c>
      <c r="K13" s="10" t="str">
        <v>Ability to design a protocol to study DNA Isolation from Cheek Cells and VNTR Polymorphism</v>
      </c>
      <c r="L13" s="11" t="str">
        <v>Ability to point out DNA Polyacrylamide/Agarose Gel Electrophoresis.</v>
      </c>
      <c r="M13" s="11">
        <v>0</v>
      </c>
      <c r="N13" s="11">
        <v>0</v>
      </c>
      <c r="O13" s="10">
        <v>0</v>
      </c>
      <c r="P13" s="11">
        <v>0</v>
      </c>
      <c r="Q13" s="11">
        <v>0</v>
      </c>
      <c r="R13" s="12" t="b">
        <f t="shared" ca="1" si="0"/>
        <v>0</v>
      </c>
      <c r="S13" s="12" t="str">
        <v>BMS 344</v>
      </c>
      <c r="T13" s="12" t="e">
        <f t="array" aca="1" ref="T13" ca="1">_xludf.IFNA(LOOKUP(2,1/(C13:Q13&lt;&gt;""),COLUMN(C13:Q13))-2,0)</f>
        <v>#NAME?</v>
      </c>
      <c r="U13" s="12">
        <f t="shared" si="1"/>
        <v>15</v>
      </c>
      <c r="V13" s="12" t="e">
        <f t="shared" ca="1" si="2"/>
        <v>#NAME?</v>
      </c>
    </row>
    <row r="14" spans="1:22" ht="15.75" customHeight="1">
      <c r="A14" s="9" t="str">
        <v>BMS</v>
      </c>
      <c r="B14" s="9" t="str">
        <v>BMS 214</v>
      </c>
      <c r="C14" s="10">
        <v>2020</v>
      </c>
      <c r="D14" s="10" t="str">
        <v>SPRING</v>
      </c>
      <c r="E14" s="10" t="str">
        <v>Use current biochemical and molecular techniques to plan and carry out experiments.</v>
      </c>
      <c r="F14" s="10" t="str">
        <v>Analyze data using statistical methods where appropriate, and comprehend the limitations of</v>
      </c>
      <c r="G14" s="10" t="str">
        <v>Generate and test hypotheses related to a specific scientific problem.</v>
      </c>
      <c r="H14" s="10" t="str">
        <v>Use current biochemical and molecular techniques to plan and carry out experiments.</v>
      </c>
      <c r="I14" s="10" t="str">
        <v>Analyze data using statistical methods where appropriate, and comprehend the limitations of</v>
      </c>
      <c r="J14" s="10" t="str">
        <v>Generate and test hypotheses related to a specific scientific problem.</v>
      </c>
      <c r="K14" s="10">
        <v>0</v>
      </c>
      <c r="L14" s="11">
        <v>0</v>
      </c>
      <c r="M14" s="11">
        <v>0</v>
      </c>
      <c r="N14" s="11">
        <v>0</v>
      </c>
      <c r="O14" s="10">
        <v>0</v>
      </c>
      <c r="P14" s="11">
        <v>0</v>
      </c>
      <c r="Q14" s="11">
        <v>0</v>
      </c>
      <c r="R14" s="12" t="b">
        <f t="shared" ca="1" si="0"/>
        <v>0</v>
      </c>
      <c r="S14" s="12" t="str">
        <v>BMS 400</v>
      </c>
      <c r="T14" s="12" t="e">
        <f t="array" aca="1" ref="T14" ca="1">_xludf.IFNA(LOOKUP(2,1/(C14:Q14&lt;&gt;""),COLUMN(C14:Q14))-2,0)</f>
        <v>#NAME?</v>
      </c>
      <c r="U14" s="12">
        <f t="shared" si="1"/>
        <v>15</v>
      </c>
      <c r="V14" s="12" t="e">
        <f t="shared" ca="1" si="2"/>
        <v>#NAME?</v>
      </c>
    </row>
    <row r="15" spans="1:22" ht="15.75" customHeight="1">
      <c r="A15" s="9" t="str">
        <v>BMS</v>
      </c>
      <c r="B15" s="9" t="str">
        <v>BMS 215</v>
      </c>
      <c r="C15" s="10">
        <v>2020</v>
      </c>
      <c r="D15" s="10" t="str">
        <v>SPRING</v>
      </c>
      <c r="E15" s="10" t="str">
        <v>Describe the effects of different solution on the human cells</v>
      </c>
      <c r="F15" s="10" t="str">
        <v>Calculate nerve velocity impulse and record and know the importance of electromyography(EMG)</v>
      </c>
      <c r="G15" s="10" t="str">
        <v>understand the principal of reflex arc and Assess autonomic nervous system</v>
      </c>
      <c r="H15" s="10" t="str">
        <v>Explain the physiological basis of ECG</v>
      </c>
      <c r="I15" s="10" t="str">
        <v>Define CP arrest &amp; Explain the physiological basis of CPR</v>
      </c>
      <c r="J15" s="10" t="str">
        <v>conclusions drawn from experimental data.</v>
      </c>
      <c r="K15" s="10" t="str">
        <v>Measure blood pressure and List the physiological variations in blood pressure</v>
      </c>
      <c r="L15" s="11" t="str">
        <v>Measure the breath holding time (BHT) &amp; Diagram lung volumes and capacities.</v>
      </c>
      <c r="M15" s="11" t="str">
        <v>Describe the importance of insuline, thyroid and glucocorticoid hormones &amp; discuss different cases senario</v>
      </c>
      <c r="N15" s="11" t="str">
        <v>measure BMI &amp; Calculate and balance the number of calories consumed in the diet and calories expended</v>
      </c>
      <c r="O15" s="10" t="str">
        <v>Explain the digestive action of salivary amylase, pepsin, and pancreatic lipase.</v>
      </c>
      <c r="P15" s="11" t="str">
        <v>Design an experiment, defining the dependent variable, independent variable and the gold standard test.</v>
      </c>
      <c r="Q15" s="11">
        <v>0</v>
      </c>
      <c r="R15" s="12" t="b">
        <f t="shared" ca="1" si="0"/>
        <v>0</v>
      </c>
      <c r="S15" s="12" t="str">
        <v>BMS 401</v>
      </c>
      <c r="T15" s="12" t="e">
        <f t="array" aca="1" ref="T15" ca="1">_xludf.IFNA(LOOKUP(2,1/(C15:Q15&lt;&gt;""),COLUMN(C15:Q15))-2,0)</f>
        <v>#NAME?</v>
      </c>
      <c r="U15" s="12">
        <f t="shared" si="1"/>
        <v>15</v>
      </c>
      <c r="V15" s="12" t="e">
        <f t="shared" ca="1" si="2"/>
        <v>#NAME?</v>
      </c>
    </row>
    <row r="16" spans="1:22" ht="15.75" customHeight="1">
      <c r="A16" s="9" t="str">
        <v>BMS</v>
      </c>
      <c r="B16" s="9" t="str">
        <v>BMS 301</v>
      </c>
      <c r="C16" s="10">
        <v>2020</v>
      </c>
      <c r="D16" s="10" t="str">
        <v>SPRING</v>
      </c>
      <c r="E16" s="10" t="str">
        <v>Link the structure of the chromosome to its function</v>
      </c>
      <c r="F16" s="10" t="str">
        <v>Connect DNA repair to DNA replication</v>
      </c>
      <c r="G16" s="10" t="str">
        <v>Compare different DNA repair machineries</v>
      </c>
      <c r="H16" s="10" t="str">
        <v>Explain how homologous recombination is essential to the cell</v>
      </c>
      <c r="I16" s="10" t="str">
        <v>Identify the connection between replication, transcription and translation</v>
      </c>
      <c r="J16" s="10" t="str">
        <v>Determine how the cell controls gene expression</v>
      </c>
      <c r="K16" s="10">
        <v>0</v>
      </c>
      <c r="L16" s="11">
        <v>0</v>
      </c>
      <c r="M16" s="11">
        <v>0</v>
      </c>
      <c r="N16" s="11">
        <v>0</v>
      </c>
      <c r="O16" s="10">
        <v>0</v>
      </c>
      <c r="P16" s="11">
        <v>0</v>
      </c>
      <c r="Q16" s="11">
        <v>0</v>
      </c>
      <c r="R16" s="12" t="b">
        <f t="shared" si="0"/>
        <v>1</v>
      </c>
      <c r="S16" s="12" t="str">
        <v>BMS 404</v>
      </c>
      <c r="T16" s="12" t="e">
        <f t="array" aca="1" ref="T16" ca="1">_xludf.IFNA(LOOKUP(2,1/(C16:Q16&lt;&gt;""),COLUMN(C16:Q16))-2,0)</f>
        <v>#NAME?</v>
      </c>
      <c r="U16" s="12">
        <f t="shared" si="1"/>
        <v>15</v>
      </c>
      <c r="V16" s="12" t="e">
        <f t="shared" ca="1" si="2"/>
        <v>#NAME?</v>
      </c>
    </row>
    <row r="17" spans="1:22" ht="15.75" customHeight="1">
      <c r="A17" s="9" t="str">
        <v>BMS</v>
      </c>
      <c r="B17" s="9" t="str">
        <v>BMS 303</v>
      </c>
      <c r="C17" s="10">
        <v>2020</v>
      </c>
      <c r="D17" s="10" t="str">
        <v>SPRING</v>
      </c>
      <c r="E17" s="10" t="str">
        <v>Learn how exploratory research design helps the researcher gain a feel for the</v>
      </c>
      <c r="F17" s="10" t="str">
        <v>Develop a hypothesis, a research problem and related questions</v>
      </c>
      <c r="G17" s="10" t="str">
        <v>Construct an appropriate design for a specific research question</v>
      </c>
      <c r="H17" s="10" t="str">
        <v>Interpret study results by considering bias, confounding, chance, and causality</v>
      </c>
      <c r="I17" s="10" t="str">
        <v>Understand the strengths and limitations of each type of study design, as</v>
      </c>
      <c r="J17" s="10" t="str">
        <v>Appreciate areas of ethical sensitivity in research design</v>
      </c>
      <c r="K17" s="10">
        <v>0</v>
      </c>
      <c r="L17" s="11">
        <v>0</v>
      </c>
      <c r="M17" s="11">
        <v>0</v>
      </c>
      <c r="N17" s="11">
        <v>0</v>
      </c>
      <c r="O17" s="10">
        <v>0</v>
      </c>
      <c r="P17" s="11">
        <v>0</v>
      </c>
      <c r="Q17" s="11">
        <v>0</v>
      </c>
      <c r="R17" s="12" t="b">
        <f t="shared" ca="1" si="0"/>
        <v>0</v>
      </c>
      <c r="S17" s="12" t="str">
        <v>BMS 405</v>
      </c>
      <c r="T17" s="12" t="e">
        <f t="array" aca="1" ref="T17" ca="1">_xludf.IFNA(LOOKUP(2,1/(C17:Q17&lt;&gt;""),COLUMN(C17:Q17))-2,0)</f>
        <v>#NAME?</v>
      </c>
      <c r="U17" s="12">
        <f t="shared" si="1"/>
        <v>15</v>
      </c>
      <c r="V17" s="12" t="e">
        <f t="shared" ca="1" si="2"/>
        <v>#NAME?</v>
      </c>
    </row>
    <row r="18" spans="1:22" ht="15.75" customHeight="1">
      <c r="A18" s="9" t="str">
        <v>BMS</v>
      </c>
      <c r="B18" s="9" t="str">
        <v>BMS 304</v>
      </c>
      <c r="C18" s="10">
        <v>2020</v>
      </c>
      <c r="D18" s="10" t="str">
        <v>SPRING</v>
      </c>
      <c r="E18" s="10" t="str">
        <v>Ability to explain and describe the reasons of ethical problems and identify the best ethical practices</v>
      </c>
      <c r="F18" s="10" t="str">
        <v>Ability to predict the reasons of science corruption and recognize the research misconduct and data fabrication</v>
      </c>
      <c r="G18" s="10" t="str">
        <v>Ability to identify the different sources of disease and understand the biosafety levels</v>
      </c>
      <c r="H18" s="10" t="str">
        <v>Ability to understand how humans became research subjects and why science involve animals</v>
      </c>
      <c r="I18" s="10" t="str">
        <v>Ability to discuss the relationship between science and politics</v>
      </c>
      <c r="J18" s="10" t="str">
        <v>Ability to judge the safety issues related to scientific research</v>
      </c>
      <c r="K18" s="10" t="str">
        <v>Ability to work in teamwork to solve real life problems</v>
      </c>
      <c r="L18" s="11">
        <v>0</v>
      </c>
      <c r="M18" s="11">
        <v>0</v>
      </c>
      <c r="N18" s="11">
        <v>0</v>
      </c>
      <c r="O18" s="10">
        <v>0</v>
      </c>
      <c r="P18" s="11">
        <v>0</v>
      </c>
      <c r="Q18" s="11">
        <v>0</v>
      </c>
      <c r="R18" s="12" t="b">
        <f t="shared" si="0"/>
        <v>1</v>
      </c>
      <c r="S18" s="12" t="str">
        <v>BMS 409</v>
      </c>
      <c r="T18" s="12" t="e">
        <f t="array" aca="1" ref="T18" ca="1">_xludf.IFNA(LOOKUP(2,1/(C18:Q18&lt;&gt;""),COLUMN(C18:Q18))-2,0)</f>
        <v>#NAME?</v>
      </c>
      <c r="U18" s="12">
        <f t="shared" si="1"/>
        <v>15</v>
      </c>
      <c r="V18" s="12" t="e">
        <f t="shared" ca="1" si="2"/>
        <v>#NAME?</v>
      </c>
    </row>
    <row r="19" spans="1:22" ht="15.75" customHeight="1">
      <c r="A19" s="9" t="str">
        <v>BMS</v>
      </c>
      <c r="B19" s="9" t="str">
        <v>BMS 311</v>
      </c>
      <c r="C19" s="10">
        <v>2020</v>
      </c>
      <c r="D19" s="10" t="str">
        <v>SPRING</v>
      </c>
      <c r="E19" s="10" t="str">
        <v>Perform common molecular biology techniques</v>
      </c>
      <c r="F19" s="10" t="str">
        <v>Connect the theoretical concepts to the practical part of the molecular biology field</v>
      </c>
      <c r="G19" s="10" t="str">
        <v>Acquire hands-on experience for the common molecular biology techniques</v>
      </c>
      <c r="H19" s="10" t="str">
        <v>Get involved in a real research environment</v>
      </c>
      <c r="I19" s="10" t="str">
        <v>Learn how to interpret and analyze the data</v>
      </c>
      <c r="J19" s="10" t="str">
        <v>Learn how to prepare a neat and readable Notebook</v>
      </c>
      <c r="K19" s="10">
        <v>0</v>
      </c>
      <c r="L19" s="11">
        <v>0</v>
      </c>
      <c r="M19" s="11">
        <v>0</v>
      </c>
      <c r="N19" s="11">
        <v>0</v>
      </c>
      <c r="O19" s="10">
        <v>0</v>
      </c>
      <c r="P19" s="11">
        <v>0</v>
      </c>
      <c r="Q19" s="11">
        <v>0</v>
      </c>
      <c r="R19" s="12" t="b">
        <f t="shared" si="0"/>
        <v>1</v>
      </c>
      <c r="S19" s="12" t="str">
        <v>BMS 434</v>
      </c>
      <c r="T19" s="12" t="e">
        <f t="array" aca="1" ref="T19" ca="1">_xludf.IFNA(LOOKUP(2,1/(C19:Q19&lt;&gt;""),COLUMN(C19:Q19))-2,0)</f>
        <v>#NAME?</v>
      </c>
      <c r="U19" s="12">
        <f t="shared" si="1"/>
        <v>15</v>
      </c>
      <c r="V19" s="12" t="e">
        <f t="shared" ca="1" si="2"/>
        <v>#NAME?</v>
      </c>
    </row>
    <row r="20" spans="1:22" ht="15.75" customHeight="1">
      <c r="A20" s="9" t="str">
        <v>BMS</v>
      </c>
      <c r="B20" s="9" t="str">
        <v>BMS 320</v>
      </c>
      <c r="C20" s="10">
        <v>2020</v>
      </c>
      <c r="D20" s="10" t="str">
        <v>SPRING</v>
      </c>
      <c r="E20" s="10" t="str">
        <v>Manage and analyze biological datasets.</v>
      </c>
      <c r="F20" s="10" t="str">
        <v>Use the biological databases and analyze gene or protein sequences</v>
      </c>
      <c r="G20" s="10" t="str">
        <v>Analyze DNA and protein sequences, and perform multiple sequence</v>
      </c>
      <c r="H20" s="10" t="str">
        <v>Construct the phylogenetic trees</v>
      </c>
      <c r="I20" s="10" t="str">
        <v>Manipulate the protein 3-D structures</v>
      </c>
      <c r="J20" s="10" t="str">
        <v>Apply bioinformatics tools in RNA biology</v>
      </c>
      <c r="K20" s="10" t="str">
        <v>Uses of the biostatics in biology</v>
      </c>
      <c r="L20" s="11" t="str">
        <v>Manipulate the gene features and genomics data</v>
      </c>
      <c r="M20" s="11" t="str">
        <v>Use of tools to predict the gene function and gene ontology</v>
      </c>
      <c r="N20" s="11" t="str">
        <v>Learn how to use bash programming in bioinformatics</v>
      </c>
      <c r="O20" s="10">
        <v>0</v>
      </c>
      <c r="P20" s="11">
        <v>0</v>
      </c>
      <c r="Q20" s="11">
        <v>0</v>
      </c>
      <c r="R20" s="12" t="b">
        <f t="shared" ca="1" si="0"/>
        <v>0</v>
      </c>
      <c r="S20" s="12" t="str">
        <v>BMS 459</v>
      </c>
      <c r="T20" s="12" t="e">
        <f t="array" aca="1" ref="T20" ca="1">_xludf.IFNA(LOOKUP(2,1/(C20:Q20&lt;&gt;""),COLUMN(C20:Q20))-2,0)</f>
        <v>#NAME?</v>
      </c>
      <c r="U20" s="12">
        <f t="shared" si="1"/>
        <v>15</v>
      </c>
      <c r="V20" s="12" t="e">
        <f t="shared" ca="1" si="2"/>
        <v>#NAME?</v>
      </c>
    </row>
    <row r="21" spans="1:22" ht="15.75" customHeight="1">
      <c r="A21" s="9" t="str">
        <v>BMS</v>
      </c>
      <c r="B21" s="9" t="str">
        <v>BMS 321</v>
      </c>
      <c r="C21" s="10">
        <v>2020</v>
      </c>
      <c r="D21" s="10" t="str">
        <v>SPRING</v>
      </c>
      <c r="E21" s="10" t="str">
        <v>Identify why Python is a useful scripting language for Computational Biology applications</v>
      </c>
      <c r="F21" s="10" t="str">
        <v>Ability to design and program Python applications</v>
      </c>
      <c r="G21" s="10" t="str">
        <v>Distinguish Python different object types</v>
      </c>
      <c r="H21" s="10" t="str">
        <v>Recognize lists, tuples, and dictionaries in Python programs</v>
      </c>
      <c r="I21" s="10" t="str">
        <v>Discriminate standard programming constructs: repetition, selection, functions, modules.</v>
      </c>
      <c r="J21" s="10" t="str">
        <v>Design object‐oriented programs with Python classes.</v>
      </c>
      <c r="K21" s="10" t="str">
        <v>Manipulate different packages of Python (NumPy, re, BioPython)</v>
      </c>
      <c r="L21" s="11" t="str">
        <v>Operate relational databases using Python</v>
      </c>
      <c r="M21" s="11" t="str">
        <v>Identify various machine learning concepts (Linear model, Nearest Neighbors)</v>
      </c>
      <c r="N21" s="11">
        <v>0</v>
      </c>
      <c r="O21" s="10">
        <v>0</v>
      </c>
      <c r="P21" s="11">
        <v>0</v>
      </c>
      <c r="Q21" s="11">
        <v>0</v>
      </c>
      <c r="R21" s="12" t="b">
        <f t="shared" si="0"/>
        <v>1</v>
      </c>
      <c r="S21" s="12" t="str">
        <v>BMS 473</v>
      </c>
      <c r="T21" s="12" t="e">
        <f t="array" aca="1" ref="T21" ca="1">_xludf.IFNA(LOOKUP(2,1/(C21:Q21&lt;&gt;""),COLUMN(C21:Q21))-2,0)</f>
        <v>#NAME?</v>
      </c>
      <c r="U21" s="12">
        <f t="shared" si="1"/>
        <v>15</v>
      </c>
      <c r="V21" s="12" t="e">
        <f t="shared" ca="1" si="2"/>
        <v>#NAME?</v>
      </c>
    </row>
    <row r="22" spans="1:22" ht="15.75" customHeight="1">
      <c r="A22" s="9" t="str">
        <v>BMS</v>
      </c>
      <c r="B22" s="9" t="str">
        <v>BMS 322</v>
      </c>
      <c r="C22" s="10">
        <v>2020</v>
      </c>
      <c r="D22" s="10" t="str">
        <v>SPRING</v>
      </c>
      <c r="E22" s="10" t="str">
        <v>objectives</v>
      </c>
      <c r="F22" s="10" t="str">
        <v>Analyze 3 dimensional coordinate sets for biomolecules in terms of structure-function and evolutionary relationships, and illustrate these interpretations</v>
      </c>
      <c r="G22" s="10" t="str">
        <v>alignments</v>
      </c>
      <c r="H22" s="10">
        <v>0</v>
      </c>
      <c r="I22" s="10" t="str">
        <v>Identify common folding motifs in RNA and proteins and from 3 dimensional coordinate sets and, where possible,</v>
      </c>
      <c r="J22" s="10" t="str">
        <v>Analyze 3 dimensional coordinate sets for biomolecules in terms of structure-function and evolutionary</v>
      </c>
      <c r="K22" s="10" t="str">
        <v>Implement and evaluate a number of practical approaches for predicting protein and RNA folding from sequence,</v>
      </c>
      <c r="L22" s="11" t="str">
        <v>Utilize basic biophysical concepts such as Entropy, Partition function, and protein/nucleic acid folding principles</v>
      </c>
      <c r="M22" s="11" t="str">
        <v>With help, solve a protein or RNA structure from biophysical data</v>
      </c>
      <c r="N22" s="11">
        <v>0</v>
      </c>
      <c r="O22" s="10">
        <v>0</v>
      </c>
      <c r="P22" s="11">
        <v>0</v>
      </c>
      <c r="Q22" s="11">
        <v>0</v>
      </c>
      <c r="R22" s="12" t="b">
        <f t="shared" ca="1" si="0"/>
        <v>0</v>
      </c>
      <c r="S22" s="12" t="str">
        <v>BMS 474</v>
      </c>
      <c r="T22" s="12" t="e">
        <f t="array" aca="1" ref="T22" ca="1">_xludf.IFNA(LOOKUP(2,1/(C22:Q22&lt;&gt;""),COLUMN(C22:Q22))-2,0)</f>
        <v>#NAME?</v>
      </c>
      <c r="U22" s="12">
        <f t="shared" si="1"/>
        <v>15</v>
      </c>
      <c r="V22" s="12" t="e">
        <f t="shared" ca="1" si="2"/>
        <v>#NAME?</v>
      </c>
    </row>
    <row r="23" spans="1:22" ht="15.75" customHeight="1">
      <c r="A23" s="9" t="str">
        <v>BMS</v>
      </c>
      <c r="B23" s="9" t="str">
        <v>BMS 323</v>
      </c>
      <c r="C23" s="10">
        <v>2020</v>
      </c>
      <c r="D23" s="10" t="str">
        <v>SPRING</v>
      </c>
      <c r="E23" s="10">
        <v>0</v>
      </c>
      <c r="F23" s="10">
        <v>0</v>
      </c>
      <c r="G23" s="10">
        <v>0</v>
      </c>
      <c r="H23" s="10">
        <v>0</v>
      </c>
      <c r="I23" s="10">
        <v>0</v>
      </c>
      <c r="J23" s="10">
        <v>0</v>
      </c>
      <c r="K23" s="10">
        <v>0</v>
      </c>
      <c r="L23" s="11">
        <v>0</v>
      </c>
      <c r="M23" s="11">
        <v>0</v>
      </c>
      <c r="N23" s="11">
        <v>0</v>
      </c>
      <c r="O23" s="10">
        <v>0</v>
      </c>
      <c r="P23" s="11">
        <v>0</v>
      </c>
      <c r="Q23" s="11">
        <v>0</v>
      </c>
      <c r="R23" s="12" t="b">
        <f t="shared" ca="1" si="0"/>
        <v>0</v>
      </c>
      <c r="S23" s="12" t="str">
        <v>BMS 475</v>
      </c>
      <c r="T23" s="12" t="e">
        <f t="array" aca="1" ref="T23" ca="1">_xludf.IFNA(LOOKUP(2,1/(C23:Q23&lt;&gt;""),COLUMN(C23:Q23))-2,0)</f>
        <v>#NAME?</v>
      </c>
      <c r="U23" s="12">
        <f t="shared" si="1"/>
        <v>15</v>
      </c>
      <c r="V23" s="12" t="e">
        <f t="shared" ca="1" si="2"/>
        <v>#NAME?</v>
      </c>
    </row>
    <row r="24" spans="1:22" ht="15.75" customHeight="1">
      <c r="A24" s="9" t="str">
        <v>BMS</v>
      </c>
      <c r="B24" s="9" t="str">
        <v>BMS 324</v>
      </c>
      <c r="C24" s="10">
        <v>2020</v>
      </c>
      <c r="D24" s="10" t="str">
        <v>SPRING</v>
      </c>
      <c r="E24" s="10" t="str">
        <v>Explain how proteins are transported between the nucleus and the cytosol</v>
      </c>
      <c r="F24" s="10" t="str">
        <v>Learn the intracellular membrane traffic</v>
      </c>
      <c r="G24" s="10" t="str">
        <v>Learn the function and the origin of the cytoskeleton</v>
      </c>
      <c r="H24" s="10" t="str">
        <v>Learn how cell cycle control system works</v>
      </c>
      <c r="I24" s="10" t="str">
        <v>from secondary structure sequences</v>
      </c>
      <c r="J24" s="10" t="str">
        <v>relationships, and illustrate these interpretations</v>
      </c>
      <c r="K24" s="10" t="str">
        <v>phylogenetic and experimental data</v>
      </c>
      <c r="L24" s="11" t="str">
        <v>to hypothesize alternative functional outcomes from a given set of primary structure and epigenetic data</v>
      </c>
      <c r="M24" s="11">
        <v>0</v>
      </c>
      <c r="N24" s="11">
        <v>0</v>
      </c>
      <c r="O24" s="10">
        <v>0</v>
      </c>
      <c r="P24" s="11">
        <v>0</v>
      </c>
      <c r="Q24" s="11">
        <v>0</v>
      </c>
      <c r="R24" s="12" t="b">
        <f t="shared" ca="1" si="0"/>
        <v>0</v>
      </c>
      <c r="S24" s="12" t="str">
        <v>BMS 477</v>
      </c>
      <c r="T24" s="12" t="e">
        <f t="array" aca="1" ref="T24" ca="1">_xludf.IFNA(LOOKUP(2,1/(C24:Q24&lt;&gt;""),COLUMN(C24:Q24))-2,0)</f>
        <v>#NAME?</v>
      </c>
      <c r="U24" s="12">
        <f t="shared" si="1"/>
        <v>15</v>
      </c>
      <c r="V24" s="12" t="e">
        <f t="shared" ca="1" si="2"/>
        <v>#NAME?</v>
      </c>
    </row>
    <row r="25" spans="1:22" ht="15.75" customHeight="1">
      <c r="A25" s="9" t="str">
        <v>BMS</v>
      </c>
      <c r="B25" s="9" t="str">
        <v>BMS 327</v>
      </c>
      <c r="C25" s="10">
        <v>2020</v>
      </c>
      <c r="D25" s="10" t="str">
        <v>SPRING</v>
      </c>
      <c r="E25" s="10">
        <v>0</v>
      </c>
      <c r="F25" s="10">
        <v>0</v>
      </c>
      <c r="G25" s="10">
        <v>0</v>
      </c>
      <c r="H25" s="10">
        <v>0</v>
      </c>
      <c r="I25" s="10">
        <v>0</v>
      </c>
      <c r="J25" s="10">
        <v>0</v>
      </c>
      <c r="K25" s="10">
        <v>0</v>
      </c>
      <c r="L25" s="11">
        <v>0</v>
      </c>
      <c r="M25" s="11">
        <v>0</v>
      </c>
      <c r="N25" s="11">
        <v>0</v>
      </c>
      <c r="O25" s="10">
        <v>0</v>
      </c>
      <c r="P25" s="11">
        <v>0</v>
      </c>
      <c r="Q25" s="11">
        <v>0</v>
      </c>
      <c r="R25" s="12" t="b">
        <f t="shared" ca="1" si="0"/>
        <v>0</v>
      </c>
      <c r="S25" s="12" t="str">
        <v>BMS 500</v>
      </c>
      <c r="T25" s="12" t="e">
        <f t="array" aca="1" ref="T25" ca="1">_xludf.IFNA(LOOKUP(2,1/(C25:Q25&lt;&gt;""),COLUMN(C25:Q25))-2,0)</f>
        <v>#NAME?</v>
      </c>
      <c r="U25" s="12">
        <f t="shared" si="1"/>
        <v>15</v>
      </c>
      <c r="V25" s="12" t="e">
        <f t="shared" ca="1" si="2"/>
        <v>#NAME?</v>
      </c>
    </row>
    <row r="26" spans="1:22" ht="15.75" customHeight="1">
      <c r="A26" s="9" t="str">
        <v>BMS</v>
      </c>
      <c r="B26" s="9" t="str">
        <v>BMS 328</v>
      </c>
      <c r="C26" s="10">
        <v>2020</v>
      </c>
      <c r="D26" s="10" t="str">
        <v>SPRING</v>
      </c>
      <c r="E26" s="10" t="str">
        <v>Distinguish between different data structures and select the best to fit a certain data representation and operations.</v>
      </c>
      <c r="F26" s="10" t="str">
        <v>Evaluate different algorithms to solve a specific problem in data storage and manipulation</v>
      </c>
      <c r="G26" s="10" t="str">
        <v>Analyze the efficiency in terms of cost and performance of given operations</v>
      </c>
      <c r="H26" s="10" t="str">
        <v>Design efficient algorithms to handle data operations like deletion, insertion, and modification.</v>
      </c>
      <c r="I26" s="10" t="str">
        <v>Write a program using C++ to implement different data structures then store, retrieve and manipulate data using them.</v>
      </c>
      <c r="J26" s="10" t="str">
        <v>Demonstrate the relationship between data structures and bioinformatics applications via different case studies.</v>
      </c>
      <c r="K26" s="10" t="str">
        <v>Implement a project using C++ to address a real life problem.</v>
      </c>
      <c r="L26" s="11" t="str">
        <v>Illustrate and explain a real life case study for data structure usage in field of bioinformatics.</v>
      </c>
      <c r="M26" s="11">
        <v>0</v>
      </c>
      <c r="N26" s="11">
        <v>0</v>
      </c>
      <c r="O26" s="10">
        <v>0</v>
      </c>
      <c r="P26" s="11">
        <v>0</v>
      </c>
      <c r="Q26" s="11">
        <v>0</v>
      </c>
      <c r="R26" s="12" t="b">
        <f t="shared" ca="1" si="0"/>
        <v>0</v>
      </c>
      <c r="S26" s="12" t="str">
        <v>BMS 501</v>
      </c>
      <c r="T26" s="12" t="e">
        <f t="array" aca="1" ref="T26" ca="1">_xludf.IFNA(LOOKUP(2,1/(C26:Q26&lt;&gt;""),COLUMN(C26:Q26))-2,0)</f>
        <v>#NAME?</v>
      </c>
      <c r="U26" s="12">
        <f t="shared" si="1"/>
        <v>15</v>
      </c>
      <c r="V26" s="12" t="e">
        <f t="shared" ca="1" si="2"/>
        <v>#NAME?</v>
      </c>
    </row>
    <row r="27" spans="1:22" ht="15.75" customHeight="1">
      <c r="A27" s="9" t="str">
        <v>BMS</v>
      </c>
      <c r="B27" s="9" t="str">
        <v>BMS 331</v>
      </c>
      <c r="C27" s="10">
        <v>2020</v>
      </c>
      <c r="D27" s="10" t="str">
        <v>SPRING</v>
      </c>
      <c r="E27" s="10">
        <v>0</v>
      </c>
      <c r="F27" s="10">
        <v>0</v>
      </c>
      <c r="G27" s="10">
        <v>0</v>
      </c>
      <c r="H27" s="10">
        <v>0</v>
      </c>
      <c r="I27" s="10">
        <v>0</v>
      </c>
      <c r="J27" s="10">
        <v>0</v>
      </c>
      <c r="K27" s="10">
        <v>0</v>
      </c>
      <c r="L27" s="11">
        <v>0</v>
      </c>
      <c r="M27" s="11">
        <v>0</v>
      </c>
      <c r="N27" s="11">
        <v>0</v>
      </c>
      <c r="O27" s="10">
        <v>0</v>
      </c>
      <c r="P27" s="11">
        <v>0</v>
      </c>
      <c r="Q27" s="11">
        <v>0</v>
      </c>
      <c r="R27" s="12" t="b">
        <f t="shared" ca="1" si="0"/>
        <v>0</v>
      </c>
      <c r="S27" s="12" t="str">
        <v>BMS 506</v>
      </c>
      <c r="T27" s="12" t="e">
        <f t="array" aca="1" ref="T27" ca="1">_xludf.IFNA(LOOKUP(2,1/(C27:Q27&lt;&gt;""),COLUMN(C27:Q27))-2,0)</f>
        <v>#NAME?</v>
      </c>
      <c r="U27" s="12">
        <f t="shared" si="1"/>
        <v>15</v>
      </c>
      <c r="V27" s="12" t="e">
        <f t="shared" ca="1" si="2"/>
        <v>#NAME?</v>
      </c>
    </row>
    <row r="28" spans="1:22" ht="15.75" customHeight="1">
      <c r="A28" s="9" t="str">
        <v>BMS</v>
      </c>
      <c r="B28" s="9" t="str">
        <v>BMS 332</v>
      </c>
      <c r="C28" s="10">
        <v>2020</v>
      </c>
      <c r="D28" s="10" t="str">
        <v>SPRING</v>
      </c>
      <c r="E28" s="10" t="str">
        <v>Describe the principles and strategies used for drug design in the drug discovery and development process.</v>
      </c>
      <c r="F28" s="10" t="str">
        <v>Explain the principles of drug-target binding, recognize and predict the possible different types of binding interactions and sort them by strength.</v>
      </c>
      <c r="G28" s="10" t="str">
        <v>Identify and evaluate the use of enzymes, receptors, and nucleic acids as drug targets.</v>
      </c>
      <c r="H28" s="10" t="str">
        <v>Predict the possible Phase I and II metabolic products of a bioactive molecule based on studied rules.</v>
      </c>
      <c r="I28" s="10" t="str">
        <v>Work effectively in a team and effectively present research findings both orally and in writing</v>
      </c>
      <c r="J28" s="10">
        <v>0</v>
      </c>
      <c r="K28" s="10">
        <v>0</v>
      </c>
      <c r="L28" s="11">
        <v>0</v>
      </c>
      <c r="M28" s="11">
        <v>0</v>
      </c>
      <c r="N28" s="11">
        <v>0</v>
      </c>
      <c r="O28" s="10">
        <v>0</v>
      </c>
      <c r="P28" s="11">
        <v>0</v>
      </c>
      <c r="Q28" s="11">
        <v>0</v>
      </c>
      <c r="R28" s="12" t="b">
        <f t="shared" si="0"/>
        <v>1</v>
      </c>
      <c r="S28" s="12" t="str">
        <v>BMS 506L</v>
      </c>
      <c r="T28" s="12" t="e">
        <f t="array" aca="1" ref="T28" ca="1">_xludf.IFNA(LOOKUP(2,1/(C28:Q28&lt;&gt;""),COLUMN(C28:Q28))-2,0)</f>
        <v>#NAME?</v>
      </c>
      <c r="U28" s="12">
        <f t="shared" si="1"/>
        <v>15</v>
      </c>
      <c r="V28" s="12" t="e">
        <f t="shared" ca="1" si="2"/>
        <v>#NAME?</v>
      </c>
    </row>
    <row r="29" spans="1:22" ht="15.75" customHeight="1">
      <c r="A29" s="9" t="str">
        <v>BMS</v>
      </c>
      <c r="B29" s="9" t="str">
        <v>BMS 333</v>
      </c>
      <c r="C29" s="10">
        <v>2020</v>
      </c>
      <c r="D29" s="10" t="str">
        <v>SPRING</v>
      </c>
      <c r="E29" s="10" t="str">
        <v>Identify the basic concepts of computational chemistry</v>
      </c>
      <c r="F29" s="10" t="str">
        <v>Describe the essential components of molecular force fields</v>
      </c>
      <c r="G29" s="10" t="str">
        <v>Apply molecular mechanics and quantum mechanics for conformational search</v>
      </c>
      <c r="H29" s="10" t="str">
        <v>Develop and validate 3D pharmacophore models</v>
      </c>
      <c r="I29" s="10" t="str">
        <v>Derive 2D and 3D QSAR models for a series of active compounds</v>
      </c>
      <c r="J29" s="10" t="str">
        <v>Perform ligand-based virtual screening and data mining and evaluate the results</v>
      </c>
      <c r="K29" s="10">
        <v>0</v>
      </c>
      <c r="L29" s="11">
        <v>0</v>
      </c>
      <c r="M29" s="11">
        <v>0</v>
      </c>
      <c r="N29" s="11">
        <v>0</v>
      </c>
      <c r="O29" s="10">
        <v>0</v>
      </c>
      <c r="P29" s="11">
        <v>0</v>
      </c>
      <c r="Q29" s="11">
        <v>0</v>
      </c>
      <c r="R29" s="12" t="b">
        <f t="shared" ca="1" si="0"/>
        <v>0</v>
      </c>
      <c r="S29" s="12" t="str">
        <v>CHEM 101</v>
      </c>
      <c r="T29" s="12" t="e">
        <f t="array" aca="1" ref="T29" ca="1">_xludf.IFNA(LOOKUP(2,1/(C29:Q29&lt;&gt;""),COLUMN(C29:Q29))-2,0)</f>
        <v>#NAME?</v>
      </c>
      <c r="U29" s="12">
        <f t="shared" si="1"/>
        <v>15</v>
      </c>
      <c r="V29" s="12" t="e">
        <f t="shared" ca="1" si="2"/>
        <v>#NAME?</v>
      </c>
    </row>
    <row r="30" spans="1:22" ht="15.75" customHeight="1">
      <c r="A30" s="9" t="str">
        <v>BMS</v>
      </c>
      <c r="B30" s="9" t="str">
        <v>BMS 333L</v>
      </c>
      <c r="C30" s="10">
        <v>2020</v>
      </c>
      <c r="D30" s="10" t="str">
        <v>SPRING</v>
      </c>
      <c r="E30" s="10">
        <v>0</v>
      </c>
      <c r="F30" s="10">
        <v>0</v>
      </c>
      <c r="G30" s="10">
        <v>0</v>
      </c>
      <c r="H30" s="10">
        <v>0</v>
      </c>
      <c r="I30" s="10">
        <v>0</v>
      </c>
      <c r="J30" s="10">
        <v>0</v>
      </c>
      <c r="K30" s="10">
        <v>0</v>
      </c>
      <c r="L30" s="11">
        <v>0</v>
      </c>
      <c r="M30" s="11">
        <v>0</v>
      </c>
      <c r="N30" s="11">
        <v>0</v>
      </c>
      <c r="O30" s="10">
        <v>0</v>
      </c>
      <c r="P30" s="11">
        <v>0</v>
      </c>
      <c r="Q30" s="11">
        <v>0</v>
      </c>
      <c r="R30" s="12" t="b">
        <f t="shared" ca="1" si="0"/>
        <v>0</v>
      </c>
      <c r="S30" s="12" t="str">
        <v>CHEM 102</v>
      </c>
      <c r="T30" s="12" t="e">
        <f t="array" aca="1" ref="T30" ca="1">_xludf.IFNA(LOOKUP(2,1/(C30:Q30&lt;&gt;""),COLUMN(C30:Q30))-2,0)</f>
        <v>#NAME?</v>
      </c>
      <c r="U30" s="12">
        <f t="shared" si="1"/>
        <v>15</v>
      </c>
      <c r="V30" s="12" t="e">
        <f t="shared" ca="1" si="2"/>
        <v>#NAME?</v>
      </c>
    </row>
    <row r="31" spans="1:22" ht="15.75" customHeight="1">
      <c r="A31" s="9" t="str">
        <v>BMS</v>
      </c>
      <c r="B31" s="9" t="str">
        <v>BMS 334</v>
      </c>
      <c r="C31" s="10">
        <v>2020</v>
      </c>
      <c r="D31" s="10" t="str">
        <v>SPRING</v>
      </c>
      <c r="E31" s="10" t="str">
        <v>Ability to differentiate between PK and PD</v>
      </c>
      <c r="F31" s="10" t="str">
        <v>Ability to evaluate PK properties using in vitro tools</v>
      </c>
      <c r="G31" s="10" t="str">
        <v>Ability to interpret PK results</v>
      </c>
      <c r="H31" s="10" t="str">
        <v>Ability to analyze structure-pharmacokinetics relationships</v>
      </c>
      <c r="I31" s="10" t="str">
        <v>Ability to select the proper drug candidate for pre-clinical and clinical phases</v>
      </c>
      <c r="J31" s="10" t="str">
        <v>Ability to predict the pharmacokinetic behavior qualitatively</v>
      </c>
      <c r="K31" s="10" t="str">
        <v>Ability to prepare a report and use PowerPoint to present my work</v>
      </c>
      <c r="L31" s="11" t="str">
        <v>Ability to search the internet to collect PK and PD data</v>
      </c>
      <c r="M31" s="11">
        <v>0</v>
      </c>
      <c r="N31" s="11">
        <v>0</v>
      </c>
      <c r="O31" s="10">
        <v>0</v>
      </c>
      <c r="P31" s="11">
        <v>0</v>
      </c>
      <c r="Q31" s="11">
        <v>0</v>
      </c>
      <c r="R31" s="12" t="b">
        <f t="shared" ca="1" si="0"/>
        <v>0</v>
      </c>
      <c r="S31" s="12" t="str">
        <v>CHEM 111</v>
      </c>
      <c r="T31" s="12" t="e">
        <f t="array" aca="1" ref="T31" ca="1">_xludf.IFNA(LOOKUP(2,1/(C31:Q31&lt;&gt;""),COLUMN(C31:Q31))-2,0)</f>
        <v>#NAME?</v>
      </c>
      <c r="U31" s="12">
        <f t="shared" si="1"/>
        <v>15</v>
      </c>
      <c r="V31" s="12" t="e">
        <f t="shared" ca="1" si="2"/>
        <v>#NAME?</v>
      </c>
    </row>
    <row r="32" spans="1:22" ht="15.75" customHeight="1">
      <c r="A32" s="9" t="str">
        <v>BMS</v>
      </c>
      <c r="B32" s="9" t="str">
        <v>BMS 335</v>
      </c>
      <c r="C32" s="10">
        <v>2020</v>
      </c>
      <c r="D32" s="10" t="str">
        <v>SPRING</v>
      </c>
      <c r="E32" s="10" t="str">
        <v>Ability to explain issues related to Viruses, Viroids, and Prions</v>
      </c>
      <c r="F32" s="10" t="str">
        <v>Ability to describe and judge the mechanism of Antibiotic Resistance</v>
      </c>
      <c r="G32" s="10" t="str">
        <v>Ability to predict diseases of the skin and eye</v>
      </c>
      <c r="H32" s="10" t="str">
        <v>Ability to predict diseases of the Digestive System</v>
      </c>
      <c r="I32" s="10" t="str">
        <v>Ability to predict diseases of the Urinary and Reproductive Systems</v>
      </c>
      <c r="J32" s="10" t="str">
        <v>Ability to predict Bacterial Diseases in Water and Food</v>
      </c>
      <c r="K32" s="10" t="str">
        <v>Ability to demonstrate Person-to-Person Bacterial and Viral Diseases</v>
      </c>
      <c r="L32" s="11" t="str">
        <v>Ability to apply different lab techniques related to bacterial and viral identification and amplification</v>
      </c>
      <c r="M32" s="11" t="str">
        <v>Ability to practice different teaching skills in key topics</v>
      </c>
      <c r="N32" s="11">
        <v>0</v>
      </c>
      <c r="O32" s="10">
        <v>0</v>
      </c>
      <c r="P32" s="11">
        <v>0</v>
      </c>
      <c r="Q32" s="11">
        <v>0</v>
      </c>
      <c r="R32" s="12" t="b">
        <f t="shared" ca="1" si="0"/>
        <v>0</v>
      </c>
      <c r="S32" s="12" t="str">
        <v>CHEM 112</v>
      </c>
      <c r="T32" s="12" t="e">
        <f t="array" aca="1" ref="T32" ca="1">_xludf.IFNA(LOOKUP(2,1/(C32:Q32&lt;&gt;""),COLUMN(C32:Q32))-2,0)</f>
        <v>#NAME?</v>
      </c>
      <c r="U32" s="12">
        <f t="shared" si="1"/>
        <v>15</v>
      </c>
      <c r="V32" s="12" t="e">
        <f t="shared" ca="1" si="2"/>
        <v>#NAME?</v>
      </c>
    </row>
    <row r="33" spans="1:22" ht="15.75" customHeight="1">
      <c r="A33" s="9" t="str">
        <v>BMS</v>
      </c>
      <c r="B33" s="9" t="str">
        <v>BMS 337</v>
      </c>
      <c r="C33" s="10">
        <v>2020</v>
      </c>
      <c r="D33" s="10" t="str">
        <v>SPRING</v>
      </c>
      <c r="E33" s="10" t="str">
        <v>To describe the biology and genetic of cells and organisms</v>
      </c>
      <c r="F33" s="10" t="str">
        <v>To explain the nature of cancer</v>
      </c>
      <c r="G33" s="10" t="str">
        <v>To evaluate the importance of tumor viruses</v>
      </c>
      <c r="H33" s="10" t="str">
        <v>To define and describe cellular oncogenes</v>
      </c>
      <c r="I33" s="10" t="str">
        <v>To assess the importance of growth factors, receptors, and cancer</v>
      </c>
      <c r="J33" s="10" t="str">
        <v>To describe and obtain knowledge and understanding about tumor suppressor gene</v>
      </c>
      <c r="K33" s="10" t="str">
        <v>To discuss moving out: invasion and metastasis</v>
      </c>
      <c r="L33" s="11">
        <v>0</v>
      </c>
      <c r="M33" s="11">
        <v>0</v>
      </c>
      <c r="N33" s="11">
        <v>0</v>
      </c>
      <c r="O33" s="10">
        <v>0</v>
      </c>
      <c r="P33" s="11">
        <v>0</v>
      </c>
      <c r="Q33" s="11">
        <v>0</v>
      </c>
      <c r="R33" s="12" t="b">
        <f t="shared" ca="1" si="0"/>
        <v>0</v>
      </c>
      <c r="S33" s="12" t="str">
        <v>CHEM 201</v>
      </c>
      <c r="T33" s="12" t="e">
        <f t="array" aca="1" ref="T33" ca="1">_xludf.IFNA(LOOKUP(2,1/(C33:Q33&lt;&gt;""),COLUMN(C33:Q33))-2,0)</f>
        <v>#NAME?</v>
      </c>
      <c r="U33" s="12">
        <f t="shared" si="1"/>
        <v>15</v>
      </c>
      <c r="V33" s="12" t="e">
        <f t="shared" ca="1" si="2"/>
        <v>#NAME?</v>
      </c>
    </row>
    <row r="34" spans="1:22" ht="15.75" customHeight="1">
      <c r="A34" s="9" t="str">
        <v>BMS</v>
      </c>
      <c r="B34" s="9" t="str">
        <v>BMS 340</v>
      </c>
      <c r="C34" s="10">
        <v>2020</v>
      </c>
      <c r="D34" s="10" t="str">
        <v>SPRING</v>
      </c>
      <c r="E34" s="10" t="str">
        <v>Ability to experiment pathogenic bacteria in chicken</v>
      </c>
      <c r="F34" s="10" t="str">
        <v>Ability to relate MIC and MBC to antimicrobial drugs</v>
      </c>
      <c r="G34" s="10" t="str">
        <v>Ability to examine plate lysate and standard liquid lysate techniques</v>
      </c>
      <c r="H34" s="10" t="str">
        <v>Ability to examine CRISPR-Cas 9 gene editing</v>
      </c>
      <c r="I34" s="10" t="str">
        <v>Ability to experiment phage infection at different MOIs</v>
      </c>
      <c r="J34" s="10" t="str">
        <v>Ability to differentiate bacterial isolates using Pulsed Field Gel Electrophoresis Technique (PFGE)</v>
      </c>
      <c r="K34" s="10" t="str">
        <v>Ability to experiment scaffold engineering using amniotic membrane.</v>
      </c>
      <c r="L34" s="11" t="str">
        <v>Ability to experiment animal cell culture</v>
      </c>
      <c r="M34" s="11" t="str">
        <v>Ability to examine immune staining and fluorescent microscopy</v>
      </c>
      <c r="N34" s="11" t="str">
        <v>Ability to differentiate stem cells</v>
      </c>
      <c r="O34" s="10" t="str">
        <v>Ability to experiment induced pluripotent stem cells</v>
      </c>
      <c r="P34" s="11" t="str">
        <v>Ability to relate stem cell labelling and tracking</v>
      </c>
      <c r="Q34" s="11">
        <v>0</v>
      </c>
      <c r="R34" s="12" t="b">
        <f t="shared" ca="1" si="0"/>
        <v>0</v>
      </c>
      <c r="S34" s="12" t="str">
        <v>CHEM 203</v>
      </c>
      <c r="T34" s="12" t="e">
        <f t="array" aca="1" ref="T34" ca="1">_xludf.IFNA(LOOKUP(2,1/(C34:Q34&lt;&gt;""),COLUMN(C34:Q34))-2,0)</f>
        <v>#NAME?</v>
      </c>
      <c r="U34" s="12">
        <f t="shared" si="1"/>
        <v>15</v>
      </c>
      <c r="V34" s="12" t="e">
        <f t="shared" ca="1" si="2"/>
        <v>#NAME?</v>
      </c>
    </row>
    <row r="35" spans="1:22" ht="15.75" customHeight="1">
      <c r="A35" s="9" t="str">
        <v>BMS</v>
      </c>
      <c r="B35" s="9" t="str">
        <v>BMS 344</v>
      </c>
      <c r="C35" s="10">
        <v>2020</v>
      </c>
      <c r="D35" s="10" t="str">
        <v>SPRING</v>
      </c>
      <c r="E35" s="10" t="str">
        <v>Describe key developmental processes that lead to the formation of the embryo, starting from gametogenesis until all body organs and systems are formed.</v>
      </c>
      <c r="F35" s="10" t="str">
        <v>Identify different stages of embryological development in order to explain key developmental processes occurring within each stage.</v>
      </c>
      <c r="G35" s="10" t="str">
        <v>Integrate the acquired knowledge to be able to outline the temporal sequence of developmental events.</v>
      </c>
      <c r="H35" s="10" t="str">
        <v>Compare between normal development and abnormal development.</v>
      </c>
      <c r="I35" s="10" t="str">
        <v>Hypothesize mechanisms by which we can target developmental anomalies.</v>
      </c>
      <c r="J35" s="10" t="str">
        <v>Assess embryological research available in the literature.</v>
      </c>
      <c r="K35" s="10" t="str">
        <v>Discuss some of the recent ART techniques used in infertility clinics &amp; propose an improvement to these ART techniques for better applicability.</v>
      </c>
      <c r="L35" s="11">
        <v>0</v>
      </c>
      <c r="M35" s="11">
        <v>0</v>
      </c>
      <c r="N35" s="11">
        <v>0</v>
      </c>
      <c r="O35" s="10">
        <v>0</v>
      </c>
      <c r="P35" s="11">
        <v>0</v>
      </c>
      <c r="Q35" s="11">
        <v>0</v>
      </c>
      <c r="R35" s="12" t="b">
        <f t="shared" si="0"/>
        <v>1</v>
      </c>
      <c r="S35" s="12" t="str">
        <v>CHEM 211</v>
      </c>
      <c r="T35" s="12" t="e">
        <f t="array" aca="1" ref="T35" ca="1">_xludf.IFNA(LOOKUP(2,1/(C35:Q35&lt;&gt;""),COLUMN(C35:Q35))-2,0)</f>
        <v>#NAME?</v>
      </c>
      <c r="U35" s="12">
        <f t="shared" si="1"/>
        <v>15</v>
      </c>
      <c r="V35" s="12" t="e">
        <f t="shared" ca="1" si="2"/>
        <v>#NAME?</v>
      </c>
    </row>
    <row r="36" spans="1:22" ht="15.75" customHeight="1">
      <c r="A36" s="9" t="str">
        <v>BMS</v>
      </c>
      <c r="B36" s="9" t="str">
        <v>BMS 400</v>
      </c>
      <c r="C36" s="10">
        <v>2020</v>
      </c>
      <c r="D36" s="10" t="str">
        <v>SPRING</v>
      </c>
      <c r="E36" s="10">
        <v>0</v>
      </c>
      <c r="F36" s="10">
        <v>0</v>
      </c>
      <c r="G36" s="10">
        <v>0</v>
      </c>
      <c r="H36" s="10">
        <v>0</v>
      </c>
      <c r="I36" s="10">
        <v>0</v>
      </c>
      <c r="J36" s="10">
        <v>0</v>
      </c>
      <c r="K36" s="10">
        <v>0</v>
      </c>
      <c r="L36" s="11">
        <v>0</v>
      </c>
      <c r="M36" s="11">
        <v>0</v>
      </c>
      <c r="N36" s="11">
        <v>0</v>
      </c>
      <c r="O36" s="10">
        <v>0</v>
      </c>
      <c r="P36" s="11">
        <v>0</v>
      </c>
      <c r="Q36" s="11">
        <v>0</v>
      </c>
      <c r="R36" s="12" t="b">
        <f t="shared" si="0"/>
        <v>1</v>
      </c>
      <c r="S36" s="12" t="str">
        <v>CIE 202</v>
      </c>
      <c r="T36" s="12" t="e">
        <f t="array" aca="1" ref="T36" ca="1">_xludf.IFNA(LOOKUP(2,1/(C36:Q36&lt;&gt;""),COLUMN(C36:Q36))-2,0)</f>
        <v>#NAME?</v>
      </c>
      <c r="U36" s="12">
        <f t="shared" si="1"/>
        <v>15</v>
      </c>
      <c r="V36" s="12" t="e">
        <f t="shared" ca="1" si="2"/>
        <v>#NAME?</v>
      </c>
    </row>
    <row r="37" spans="1:22" ht="15.75" customHeight="1">
      <c r="A37" s="9" t="str">
        <v>BMS</v>
      </c>
      <c r="B37" s="9" t="str">
        <v>BMS 401</v>
      </c>
      <c r="C37" s="10">
        <v>2020</v>
      </c>
      <c r="D37" s="10" t="str">
        <v>SPRING</v>
      </c>
      <c r="E37" s="10">
        <v>0</v>
      </c>
      <c r="F37" s="10">
        <v>0</v>
      </c>
      <c r="G37" s="10">
        <v>0</v>
      </c>
      <c r="H37" s="10">
        <v>0</v>
      </c>
      <c r="I37" s="10">
        <v>0</v>
      </c>
      <c r="J37" s="10">
        <v>0</v>
      </c>
      <c r="K37" s="10">
        <v>0</v>
      </c>
      <c r="L37" s="11">
        <v>0</v>
      </c>
      <c r="M37" s="11">
        <v>0</v>
      </c>
      <c r="N37" s="11">
        <v>0</v>
      </c>
      <c r="O37" s="10">
        <v>0</v>
      </c>
      <c r="P37" s="11">
        <v>0</v>
      </c>
      <c r="Q37" s="11">
        <v>0</v>
      </c>
      <c r="R37" s="12" t="b">
        <f t="shared" si="0"/>
        <v>1</v>
      </c>
      <c r="S37" s="12" t="str">
        <v>CIE 205</v>
      </c>
      <c r="T37" s="12" t="e">
        <f t="array" aca="1" ref="T37" ca="1">_xludf.IFNA(LOOKUP(2,1/(C37:Q37&lt;&gt;""),COLUMN(C37:Q37))-2,0)</f>
        <v>#NAME?</v>
      </c>
      <c r="U37" s="12">
        <f t="shared" si="1"/>
        <v>15</v>
      </c>
      <c r="V37" s="12" t="e">
        <f t="shared" ca="1" si="2"/>
        <v>#NAME?</v>
      </c>
    </row>
    <row r="38" spans="1:22" ht="15.75" customHeight="1">
      <c r="A38" s="9" t="str">
        <v>BMS</v>
      </c>
      <c r="B38" s="9" t="str">
        <v>BMS 404</v>
      </c>
      <c r="C38" s="10">
        <v>2020</v>
      </c>
      <c r="D38" s="10" t="str">
        <v>SPRING</v>
      </c>
      <c r="E38" s="10" t="str">
        <v>An ability to calculate and interpret summary statistics and graphical displays for data sets.</v>
      </c>
      <c r="F38" s="10" t="str">
        <v>Compute probability of events and interpret the probability in real life situations.</v>
      </c>
      <c r="G38" s="10" t="str">
        <v>Recognize and understand the relevance of probability distributions such as the binomial &amp; normal.</v>
      </c>
      <c r="H38" s="10" t="str">
        <v>An ability to use sampling distributions and label t, χ2 and F distributions and perform confidence intervals for means and proportions and interpret the results.</v>
      </c>
      <c r="I38" s="10" t="str">
        <v>An ability to perform one and two-sample tests for means and proportions and the paired comparisons and interpret the results.</v>
      </c>
      <c r="J38" s="10" t="str">
        <v>Perform the appropriate Analysis of Variance (ANOVA) and interpret the results.</v>
      </c>
      <c r="K38" s="10" t="str">
        <v>1. Construct a contingency table and interpret its entries.</v>
      </c>
      <c r="L38" s="11" t="str">
        <v>Compute the correlation coefficient and interpret the results and identify the basic characteristics of a linear regression models and estimate the unknown parameters</v>
      </c>
      <c r="M38" s="11" t="str">
        <v>An ability to use a statistical software such as SPSS to describe biomedical data and to test specific biomedicine hypotheses.</v>
      </c>
      <c r="N38" s="11">
        <v>0</v>
      </c>
      <c r="O38" s="10">
        <v>0</v>
      </c>
      <c r="P38" s="11">
        <v>0</v>
      </c>
      <c r="Q38" s="11">
        <v>0</v>
      </c>
      <c r="R38" s="12" t="b">
        <f t="shared" si="0"/>
        <v>1</v>
      </c>
      <c r="S38" s="12" t="str">
        <v>CIE 239</v>
      </c>
      <c r="T38" s="12" t="e">
        <f t="array" aca="1" ref="T38" ca="1">_xludf.IFNA(LOOKUP(2,1/(C38:Q38&lt;&gt;""),COLUMN(C38:Q38))-2,0)</f>
        <v>#NAME?</v>
      </c>
      <c r="U38" s="12">
        <f t="shared" si="1"/>
        <v>15</v>
      </c>
      <c r="V38" s="12" t="e">
        <f t="shared" ca="1" si="2"/>
        <v>#NAME?</v>
      </c>
    </row>
    <row r="39" spans="1:22" ht="15.75" customHeight="1">
      <c r="A39" s="9" t="str">
        <v>BMS</v>
      </c>
      <c r="B39" s="9" t="str">
        <v>BMS 405</v>
      </c>
      <c r="C39" s="10">
        <v>2020</v>
      </c>
      <c r="D39" s="10" t="str">
        <v>SPRING</v>
      </c>
      <c r="E39" s="10">
        <v>0</v>
      </c>
      <c r="F39" s="10">
        <v>0</v>
      </c>
      <c r="G39" s="10">
        <v>0</v>
      </c>
      <c r="H39" s="10">
        <v>0</v>
      </c>
      <c r="I39" s="10">
        <v>0</v>
      </c>
      <c r="J39" s="10">
        <v>0</v>
      </c>
      <c r="K39" s="10">
        <v>0</v>
      </c>
      <c r="L39" s="11">
        <v>0</v>
      </c>
      <c r="M39" s="11">
        <v>0</v>
      </c>
      <c r="N39" s="11">
        <v>0</v>
      </c>
      <c r="O39" s="10">
        <v>0</v>
      </c>
      <c r="P39" s="11">
        <v>0</v>
      </c>
      <c r="Q39" s="11">
        <v>0</v>
      </c>
      <c r="R39" s="12" t="b">
        <f t="shared" si="0"/>
        <v>1</v>
      </c>
      <c r="S39" s="12" t="str">
        <v>CIE 301</v>
      </c>
      <c r="T39" s="12" t="e">
        <f t="array" aca="1" ref="T39" ca="1">_xludf.IFNA(LOOKUP(2,1/(C39:Q39&lt;&gt;""),COLUMN(C39:Q39))-2,0)</f>
        <v>#NAME?</v>
      </c>
      <c r="U39" s="12">
        <f t="shared" si="1"/>
        <v>15</v>
      </c>
      <c r="V39" s="12" t="e">
        <f t="shared" ca="1" si="2"/>
        <v>#NAME?</v>
      </c>
    </row>
    <row r="40" spans="1:22" ht="12.75">
      <c r="A40" s="9" t="str">
        <v>BMS</v>
      </c>
      <c r="B40" s="9" t="str">
        <v>BMS 409</v>
      </c>
      <c r="C40" s="10">
        <v>2020</v>
      </c>
      <c r="D40" s="10" t="str">
        <v>SPRING</v>
      </c>
      <c r="E40" s="10">
        <v>0</v>
      </c>
      <c r="F40" s="10">
        <v>0</v>
      </c>
      <c r="G40" s="10">
        <v>0</v>
      </c>
      <c r="H40" s="10">
        <v>0</v>
      </c>
      <c r="I40" s="10">
        <v>0</v>
      </c>
      <c r="J40" s="10">
        <v>0</v>
      </c>
      <c r="K40" s="10">
        <v>0</v>
      </c>
      <c r="L40" s="11">
        <v>0</v>
      </c>
      <c r="M40" s="11">
        <v>0</v>
      </c>
      <c r="N40" s="11">
        <v>0</v>
      </c>
      <c r="O40" s="10">
        <v>0</v>
      </c>
      <c r="P40" s="11">
        <v>0</v>
      </c>
      <c r="Q40" s="11">
        <v>0</v>
      </c>
      <c r="R40" s="12" t="b">
        <f t="shared" si="0"/>
        <v>1</v>
      </c>
      <c r="S40" s="12" t="str">
        <v>CIE 327</v>
      </c>
      <c r="T40" s="12" t="e">
        <f t="array" aca="1" ref="T40" ca="1">_xludf.IFNA(LOOKUP(2,1/(C40:Q40&lt;&gt;""),COLUMN(C40:Q40))-2,0)</f>
        <v>#NAME?</v>
      </c>
      <c r="U40" s="12">
        <f t="shared" si="1"/>
        <v>15</v>
      </c>
      <c r="V40" s="12" t="e">
        <f t="shared" ca="1" si="2"/>
        <v>#NAME?</v>
      </c>
    </row>
    <row r="41" spans="1:22" ht="12.75">
      <c r="A41" s="9" t="str">
        <v>BMS</v>
      </c>
      <c r="B41" s="9" t="str">
        <v>BMS 422</v>
      </c>
      <c r="C41" s="10">
        <v>2020</v>
      </c>
      <c r="D41" s="10" t="str">
        <v>SPRING</v>
      </c>
      <c r="E41" s="10" t="str">
        <v>Understand how computer science algorithms are used in computational biology</v>
      </c>
      <c r="F41" s="10" t="str">
        <v>Understand exact matching algorithms for computational biology</v>
      </c>
      <c r="G41" s="10" t="str">
        <v>Understand algorithms for searching regularity Motifs</v>
      </c>
      <c r="H41" s="10" t="str">
        <v>Apply principles of linear algebra in network analysis</v>
      </c>
      <c r="I41" s="10" t="str">
        <v>Understand graph theory algorithms in computational biology</v>
      </c>
      <c r="J41" s="10" t="str">
        <v>Implement computational algorithms efficiently</v>
      </c>
      <c r="K41" s="10">
        <v>0</v>
      </c>
      <c r="L41" s="11">
        <v>0</v>
      </c>
      <c r="M41" s="11">
        <v>0</v>
      </c>
      <c r="N41" s="11">
        <v>0</v>
      </c>
      <c r="O41" s="10">
        <v>0</v>
      </c>
      <c r="P41" s="11">
        <v>0</v>
      </c>
      <c r="Q41" s="11">
        <v>0</v>
      </c>
      <c r="R41" s="12" t="b">
        <f t="shared" ca="1" si="0"/>
        <v>0</v>
      </c>
      <c r="S41" s="12" t="str">
        <v>CIE 328</v>
      </c>
      <c r="T41" s="12" t="e">
        <f t="array" aca="1" ref="T41" ca="1">_xludf.IFNA(LOOKUP(2,1/(C41:Q41&lt;&gt;""),COLUMN(C41:Q41))-2,0)</f>
        <v>#NAME?</v>
      </c>
      <c r="U41" s="12">
        <f t="shared" si="1"/>
        <v>15</v>
      </c>
      <c r="V41" s="12" t="e">
        <f t="shared" ca="1" si="2"/>
        <v>#NAME?</v>
      </c>
    </row>
    <row r="42" spans="1:22" ht="12.75">
      <c r="A42" s="9" t="str">
        <v>BMS</v>
      </c>
      <c r="B42" s="9" t="str">
        <v>BMS 426</v>
      </c>
      <c r="C42" s="10">
        <v>2020</v>
      </c>
      <c r="D42" s="10" t="str">
        <v>SPRING</v>
      </c>
      <c r="E42" s="10" t="str">
        <v>Identify and define the sequence of events directing various stages of animal</v>
      </c>
      <c r="F42" s="10" t="str">
        <v>Distinguish between germ layers and explain what tissues/organs develop from each</v>
      </c>
      <c r="G42" s="10" t="str">
        <v>Describe the different approaches and techniques that are currently applied in studying</v>
      </c>
      <c r="H42" s="10" t="str">
        <v>Know the major model organisms used in developmental biology experiments.</v>
      </c>
      <c r="I42" s="10" t="str">
        <v>Explain the use of stem cells in regenerative medicine.</v>
      </c>
      <c r="J42" s="10" t="str">
        <v>Assess research available in the literature in the field of developmental biology.</v>
      </c>
      <c r="K42" s="10" t="str">
        <v>Design novel approaches to target certain developmental processes.</v>
      </c>
      <c r="L42" s="11" t="str">
        <v>Relate growth, aging and cancer to development.</v>
      </c>
      <c r="M42" s="11" t="str">
        <v>Discuss how the microbiome can affect development.</v>
      </c>
      <c r="N42" s="11" t="str">
        <v>Explain the role of genes and genetics in development.</v>
      </c>
      <c r="O42" s="10">
        <v>0</v>
      </c>
      <c r="P42" s="11">
        <v>0</v>
      </c>
      <c r="Q42" s="11">
        <v>0</v>
      </c>
      <c r="R42" s="12" t="b">
        <f t="shared" ca="1" si="0"/>
        <v>0</v>
      </c>
      <c r="S42" s="12" t="str">
        <v>CIE 408</v>
      </c>
      <c r="T42" s="12" t="e">
        <f t="array" aca="1" ref="T42" ca="1">_xludf.IFNA(LOOKUP(2,1/(C42:Q42&lt;&gt;""),COLUMN(C42:Q42))-2,0)</f>
        <v>#NAME?</v>
      </c>
      <c r="U42" s="12">
        <f t="shared" si="1"/>
        <v>15</v>
      </c>
      <c r="V42" s="12" t="e">
        <f t="shared" ca="1" si="2"/>
        <v>#NAME?</v>
      </c>
    </row>
    <row r="43" spans="1:22" ht="12.75">
      <c r="A43" s="9" t="str">
        <v>BMS</v>
      </c>
      <c r="B43" s="9" t="str">
        <v>BMS 428</v>
      </c>
      <c r="C43" s="10">
        <v>2020</v>
      </c>
      <c r="D43" s="10" t="str">
        <v>SPRING</v>
      </c>
      <c r="E43" s="10" t="str">
        <v>development including gametogenesis, fertilization, cleavage, gastrulation,</v>
      </c>
      <c r="F43" s="10" t="str">
        <v>germ layer.</v>
      </c>
      <c r="G43" s="10" t="str">
        <v>the process of development.</v>
      </c>
      <c r="H43" s="10" t="str">
        <v>Analyze and Solve pathological &amp; clinical problems</v>
      </c>
      <c r="I43" s="10" t="str">
        <v>Apply the basic and clinically supportive sciences appropriate to pathology (such as anatomy, biochemistry,</v>
      </c>
      <c r="J43" s="10" t="str">
        <v>Examine the macroscopic and microscopic criteria of the altered structure (Pathology) of the body and its major organs that are seen in various diseases and conditions.</v>
      </c>
      <c r="K43" s="10" t="str">
        <v>Examine macroscopically and microscopically various causes (genetic, developmental, metabolic, toxic, microbiologic, autoimmune, neoplastic, degenerative, and traumatic) and mechanisms of diseases and the way through</v>
      </c>
      <c r="L43" s="11" t="str">
        <v>Elicit a description based on gross or microscopic morphology.</v>
      </c>
      <c r="M43" s="11">
        <v>0</v>
      </c>
      <c r="N43" s="11">
        <v>0</v>
      </c>
      <c r="O43" s="10">
        <v>0</v>
      </c>
      <c r="P43" s="11">
        <v>0</v>
      </c>
      <c r="Q43" s="11">
        <v>0</v>
      </c>
      <c r="R43" s="12" t="b">
        <f t="shared" ca="1" si="0"/>
        <v>0</v>
      </c>
      <c r="S43" s="12" t="str">
        <v>CIE 417</v>
      </c>
      <c r="T43" s="12" t="e">
        <f t="array" aca="1" ref="T43" ca="1">_xludf.IFNA(LOOKUP(2,1/(C43:Q43&lt;&gt;""),COLUMN(C43:Q43))-2,0)</f>
        <v>#NAME?</v>
      </c>
      <c r="U43" s="12">
        <f t="shared" si="1"/>
        <v>15</v>
      </c>
      <c r="V43" s="12" t="e">
        <f t="shared" ca="1" si="2"/>
        <v>#NAME?</v>
      </c>
    </row>
    <row r="44" spans="1:22" ht="12.75">
      <c r="A44" s="9" t="str">
        <v>BMS</v>
      </c>
      <c r="B44" s="9" t="str">
        <v>BMS 428L</v>
      </c>
      <c r="C44" s="10">
        <v>2020</v>
      </c>
      <c r="D44" s="10" t="str">
        <v>SPRING</v>
      </c>
      <c r="E44" s="10" t="str">
        <v>organogenesis, and maturity</v>
      </c>
      <c r="F44" s="10" t="str">
        <v>underlying these disorders (etiology, pathology and natural history).</v>
      </c>
      <c r="G44" s="10" t="str">
        <v>processes covered in the course.</v>
      </c>
      <c r="H44" s="10">
        <v>0</v>
      </c>
      <c r="I44" s="10">
        <v>0</v>
      </c>
      <c r="J44" s="10">
        <v>0</v>
      </c>
      <c r="K44" s="10">
        <v>0</v>
      </c>
      <c r="L44" s="11">
        <v>0</v>
      </c>
      <c r="M44" s="11">
        <v>0</v>
      </c>
      <c r="N44" s="11">
        <v>0</v>
      </c>
      <c r="O44" s="10">
        <v>0</v>
      </c>
      <c r="P44" s="11">
        <v>0</v>
      </c>
      <c r="Q44" s="11">
        <v>0</v>
      </c>
      <c r="R44" s="12" t="b">
        <f t="shared" ca="1" si="0"/>
        <v>0</v>
      </c>
      <c r="S44" s="12" t="str">
        <v>CIE 425</v>
      </c>
      <c r="T44" s="12" t="e">
        <f t="array" aca="1" ref="T44" ca="1">_xludf.IFNA(LOOKUP(2,1/(C44:Q44&lt;&gt;""),COLUMN(C44:Q44))-2,0)</f>
        <v>#NAME?</v>
      </c>
      <c r="U44" s="12">
        <f t="shared" si="1"/>
        <v>15</v>
      </c>
      <c r="V44" s="12" t="e">
        <f t="shared" ca="1" si="2"/>
        <v>#NAME?</v>
      </c>
    </row>
    <row r="45" spans="1:22" ht="12.75">
      <c r="A45" s="9" t="str">
        <v>BMS</v>
      </c>
      <c r="B45" s="9" t="str">
        <v>BMS 429</v>
      </c>
      <c r="C45" s="10">
        <v>2020</v>
      </c>
      <c r="D45" s="10" t="str">
        <v>SPRING</v>
      </c>
      <c r="E45" s="10" t="str">
        <v>Understand the physiologic function of the immune system.</v>
      </c>
      <c r="F45" s="10" t="str">
        <v>Learn the classification and function of different immune tissues, cells and molecules.</v>
      </c>
      <c r="G45" s="10" t="str">
        <v>Have a good understanding of both the innate and adaptive immune responses and be</v>
      </c>
      <c r="H45" s="10" t="str">
        <v>Understand and analyze the molecular structure of immune cell receptors.</v>
      </c>
      <c r="I45" s="10" t="str">
        <v>Understand the process of immune tolerance towards self antigens and how the failure</v>
      </c>
      <c r="J45" s="10" t="str">
        <v>Have an overview of the timeline of discoveries made in immunology research.</v>
      </c>
      <c r="K45" s="10" t="str">
        <v>Have an overview of the key primary literature published in the field of immunology.</v>
      </c>
      <c r="L45" s="11" t="str">
        <v>Allow the students to apply their understanding of immunology to think of the</v>
      </c>
      <c r="M45" s="11">
        <v>0</v>
      </c>
      <c r="N45" s="11">
        <v>0</v>
      </c>
      <c r="O45" s="10">
        <v>0</v>
      </c>
      <c r="P45" s="11">
        <v>0</v>
      </c>
      <c r="Q45" s="11">
        <v>0</v>
      </c>
      <c r="R45" s="12" t="b">
        <f t="shared" ca="1" si="0"/>
        <v>0</v>
      </c>
      <c r="S45" s="12" t="str">
        <v>CIE 427</v>
      </c>
      <c r="T45" s="12" t="e">
        <f t="array" aca="1" ref="T45" ca="1">_xludf.IFNA(LOOKUP(2,1/(C45:Q45&lt;&gt;""),COLUMN(C45:Q45))-2,0)</f>
        <v>#NAME?</v>
      </c>
      <c r="U45" s="12">
        <f t="shared" si="1"/>
        <v>15</v>
      </c>
      <c r="V45" s="12" t="e">
        <f t="shared" ca="1" si="2"/>
        <v>#NAME?</v>
      </c>
    </row>
    <row r="46" spans="1:22" ht="12.75">
      <c r="A46" s="9" t="str">
        <v>BMS</v>
      </c>
      <c r="B46" s="9" t="str">
        <v>BMS 430</v>
      </c>
      <c r="C46" s="10">
        <v>2020</v>
      </c>
      <c r="D46" s="10" t="str">
        <v>SPRING</v>
      </c>
      <c r="E46" s="10" t="str">
        <v>Plan reaction schemes with controlled products</v>
      </c>
      <c r="F46" s="10" t="str">
        <v>Depict sound retrosynthetic analysis techniques for multifunctional organic molecules synthesis</v>
      </c>
      <c r="G46" s="10" t="str">
        <v>Apply advanced chemical reaction strategies for right functional groups interconversions for the synthesis of specific drug-like compounds.</v>
      </c>
      <c r="H46" s="10" t="str">
        <v>Depict sound retrosynthetic analysis techniques for complex organic molecules synthesis.</v>
      </c>
      <c r="I46" s="10" t="str">
        <v>of this mechanism can lead to autoimmune diseases.</v>
      </c>
      <c r="J46" s="10">
        <v>0</v>
      </c>
      <c r="K46" s="10">
        <v>0</v>
      </c>
      <c r="L46" s="11">
        <v>0</v>
      </c>
      <c r="M46" s="11">
        <v>0</v>
      </c>
      <c r="N46" s="11">
        <v>0</v>
      </c>
      <c r="O46" s="10">
        <v>0</v>
      </c>
      <c r="P46" s="11">
        <v>0</v>
      </c>
      <c r="Q46" s="11">
        <v>0</v>
      </c>
      <c r="R46" s="12" t="b">
        <f t="shared" ca="1" si="0"/>
        <v>0</v>
      </c>
      <c r="S46" s="12" t="str">
        <v>CIE 428</v>
      </c>
      <c r="T46" s="12" t="e">
        <f t="array" aca="1" ref="T46" ca="1">_xludf.IFNA(LOOKUP(2,1/(C46:Q46&lt;&gt;""),COLUMN(C46:Q46))-2,0)</f>
        <v>#NAME?</v>
      </c>
      <c r="U46" s="12">
        <f t="shared" si="1"/>
        <v>15</v>
      </c>
      <c r="V46" s="12" t="e">
        <f t="shared" ca="1" si="2"/>
        <v>#NAME?</v>
      </c>
    </row>
    <row r="47" spans="1:22" ht="12.75">
      <c r="A47" s="9" t="str">
        <v>BMS</v>
      </c>
      <c r="B47" s="9" t="str">
        <v>BMS 432</v>
      </c>
      <c r="C47" s="10">
        <v>2020</v>
      </c>
      <c r="D47" s="10" t="str">
        <v>SPRING</v>
      </c>
      <c r="E47" s="10" t="str">
        <v>Recognize the different techniques used for chemical structure elucidation</v>
      </c>
      <c r="F47" s="10" t="str">
        <v>Interpret different spectroscopic data including IR, UV, and Mass spectroscopy.</v>
      </c>
      <c r="G47" s="10" t="str">
        <v>Explain the principal of the NMR spectroscopy.</v>
      </c>
      <c r="H47" s="10" t="str">
        <v>Analyze NMR data to elucidate atom connectivity.</v>
      </c>
      <c r="I47" s="10" t="str">
        <v>Work effectively in a team and meet tasks' deadline</v>
      </c>
      <c r="J47" s="10">
        <v>0</v>
      </c>
      <c r="K47" s="10">
        <v>0</v>
      </c>
      <c r="L47" s="11">
        <v>0</v>
      </c>
      <c r="M47" s="11">
        <v>0</v>
      </c>
      <c r="N47" s="11">
        <v>0</v>
      </c>
      <c r="O47" s="10">
        <v>0</v>
      </c>
      <c r="P47" s="11">
        <v>0</v>
      </c>
      <c r="Q47" s="11">
        <v>0</v>
      </c>
      <c r="R47" s="12" t="b">
        <f t="shared" ca="1" si="0"/>
        <v>0</v>
      </c>
      <c r="S47" s="12" t="str">
        <v>CIE 442</v>
      </c>
      <c r="T47" s="12" t="e">
        <f t="array" aca="1" ref="T47" ca="1">_xludf.IFNA(LOOKUP(2,1/(C47:Q47&lt;&gt;""),COLUMN(C47:Q47))-2,0)</f>
        <v>#NAME?</v>
      </c>
      <c r="U47" s="12">
        <f t="shared" si="1"/>
        <v>15</v>
      </c>
      <c r="V47" s="12" t="e">
        <f t="shared" ca="1" si="2"/>
        <v>#NAME?</v>
      </c>
    </row>
    <row r="48" spans="1:22" ht="12.75">
      <c r="A48" s="9" t="str">
        <v>BMS</v>
      </c>
      <c r="B48" s="9" t="str">
        <v>BMS 434</v>
      </c>
      <c r="C48" s="10">
        <v>2020</v>
      </c>
      <c r="D48" s="10" t="str">
        <v>SPRING</v>
      </c>
      <c r="E48" s="10">
        <v>0</v>
      </c>
      <c r="F48" s="10">
        <v>0</v>
      </c>
      <c r="G48" s="10">
        <v>0</v>
      </c>
      <c r="H48" s="10">
        <v>0</v>
      </c>
      <c r="I48" s="10">
        <v>0</v>
      </c>
      <c r="J48" s="10">
        <v>0</v>
      </c>
      <c r="K48" s="10">
        <v>0</v>
      </c>
      <c r="L48" s="11">
        <v>0</v>
      </c>
      <c r="M48" s="11">
        <v>0</v>
      </c>
      <c r="N48" s="11">
        <v>0</v>
      </c>
      <c r="O48" s="10">
        <v>0</v>
      </c>
      <c r="P48" s="11">
        <v>0</v>
      </c>
      <c r="Q48" s="11">
        <v>0</v>
      </c>
      <c r="R48" s="12" t="b">
        <f t="shared" si="0"/>
        <v>1</v>
      </c>
      <c r="S48" s="12" t="str">
        <v>CIE 458</v>
      </c>
      <c r="T48" s="12" t="e">
        <f t="array" aca="1" ref="T48" ca="1">_xludf.IFNA(LOOKUP(2,1/(C48:Q48&lt;&gt;""),COLUMN(C48:Q48))-2,0)</f>
        <v>#NAME?</v>
      </c>
      <c r="U48" s="12">
        <f t="shared" si="1"/>
        <v>15</v>
      </c>
      <c r="V48" s="12" t="e">
        <f t="shared" ca="1" si="2"/>
        <v>#NAME?</v>
      </c>
    </row>
    <row r="49" spans="1:22" ht="12.75">
      <c r="A49" s="9" t="str">
        <v>BMS</v>
      </c>
      <c r="B49" s="9" t="str">
        <v>BMS 435</v>
      </c>
      <c r="C49" s="10">
        <v>2020</v>
      </c>
      <c r="D49" s="10" t="str">
        <v>SPRING</v>
      </c>
      <c r="E49" s="10" t="str">
        <v>apply the rules for drug nomenclature.</v>
      </c>
      <c r="F49" s="10" t="str">
        <v>describe the process of introduction of new drugs.</v>
      </c>
      <c r="G49" s="10" t="str">
        <v>recognize the regulatory aspects in drug development.</v>
      </c>
      <c r="H49" s="10" t="str">
        <v>identify the main concepts in drug patents.</v>
      </c>
      <c r="I49" s="10" t="str">
        <v>analyze the impact of Intellectual Property Rights and stipulations on pharmacoeconomics, access to &amp; affordability of health care products.</v>
      </c>
      <c r="J49" s="10">
        <v>0</v>
      </c>
      <c r="K49" s="10">
        <v>0</v>
      </c>
      <c r="L49" s="11">
        <v>0</v>
      </c>
      <c r="M49" s="11">
        <v>0</v>
      </c>
      <c r="N49" s="11">
        <v>0</v>
      </c>
      <c r="O49" s="10">
        <v>0</v>
      </c>
      <c r="P49" s="11">
        <v>0</v>
      </c>
      <c r="Q49" s="11">
        <v>0</v>
      </c>
      <c r="R49" s="12" t="b">
        <f t="shared" ca="1" si="0"/>
        <v>0</v>
      </c>
      <c r="S49" s="12" t="str">
        <v>CIE 510</v>
      </c>
      <c r="T49" s="12" t="e">
        <f t="array" aca="1" ref="T49" ca="1">_xludf.IFNA(LOOKUP(2,1/(C49:Q49&lt;&gt;""),COLUMN(C49:Q49))-2,0)</f>
        <v>#NAME?</v>
      </c>
      <c r="U49" s="12">
        <f t="shared" si="1"/>
        <v>15</v>
      </c>
      <c r="V49" s="12" t="e">
        <f t="shared" ca="1" si="2"/>
        <v>#NAME?</v>
      </c>
    </row>
    <row r="50" spans="1:22" ht="12.75">
      <c r="A50" s="9" t="str">
        <v>BMS</v>
      </c>
      <c r="B50" s="9" t="str">
        <v>BMS 459</v>
      </c>
      <c r="C50" s="10">
        <v>2020</v>
      </c>
      <c r="D50" s="10" t="str">
        <v>SPRING</v>
      </c>
      <c r="E50" s="10" t="str">
        <v>Discuss bacterial virulence factors and their roles in pathogenesis.</v>
      </c>
      <c r="F50" s="10" t="str">
        <v>Describe the major strategies and molecular mechanisms by which different bacterial species have evolved to invade host cells and tissues, establish infection, and cause disease.</v>
      </c>
      <c r="G50" s="10" t="str">
        <v>Explain the concepts of bacterial evolution and gene regulation and relate them to the bacterial ability to survive and/or cause disease.</v>
      </c>
      <c r="H50" s="10" t="str">
        <v>Describe different experimental approaches/techniques for studying microbial pathogenesis.</v>
      </c>
      <c r="I50" s="10" t="str">
        <v>Explain the molecular and cellular mechanisms on which different vaccination strategies are based and compare their effect in response to bacterial infection.</v>
      </c>
      <c r="J50" s="10" t="str">
        <v>Discuss different selected pathogens of medical importance with emphasis on diversity of pathogenic mechanisms and life styles.</v>
      </c>
      <c r="K50" s="10" t="str">
        <v>Critically interpret primary scientific literature in the field of bacterial pathogenesis</v>
      </c>
      <c r="L50" s="11">
        <v>0</v>
      </c>
      <c r="M50" s="11">
        <v>0</v>
      </c>
      <c r="N50" s="11">
        <v>0</v>
      </c>
      <c r="O50" s="10">
        <v>0</v>
      </c>
      <c r="P50" s="11">
        <v>0</v>
      </c>
      <c r="Q50" s="11">
        <v>0</v>
      </c>
      <c r="R50" s="12" t="b">
        <f t="shared" si="0"/>
        <v>1</v>
      </c>
      <c r="S50" s="12" t="str">
        <v>CIE 553</v>
      </c>
      <c r="T50" s="12" t="e">
        <f t="array" aca="1" ref="T50" ca="1">_xludf.IFNA(LOOKUP(2,1/(C50:Q50&lt;&gt;""),COLUMN(C50:Q50))-2,0)</f>
        <v>#NAME?</v>
      </c>
      <c r="U50" s="12">
        <f t="shared" si="1"/>
        <v>15</v>
      </c>
      <c r="V50" s="12" t="e">
        <f t="shared" ca="1" si="2"/>
        <v>#NAME?</v>
      </c>
    </row>
    <row r="51" spans="1:22" ht="12.75">
      <c r="A51" s="9" t="str">
        <v>BMS</v>
      </c>
      <c r="B51" s="9" t="str">
        <v>BMS 473</v>
      </c>
      <c r="C51" s="10">
        <v>2020</v>
      </c>
      <c r="D51" s="10" t="str">
        <v>SPRING</v>
      </c>
      <c r="E51" s="10" t="str">
        <v>Understand the interactions between Biology and quantitative fields</v>
      </c>
      <c r="F51" s="10" t="str">
        <v>Analyze metabolic and protein-protein interaction experiments using networks</v>
      </c>
      <c r="G51" s="10" t="str">
        <v>Formulate a mathematical model/simulation for a metabolic or gene expression network. The student should be able to set up the appropriate differential equations, incorporate approximations when appropriate</v>
      </c>
      <c r="H51" s="10" t="str">
        <v>Derive and use scripts to solve the resulting set of equations and produce visualizations</v>
      </c>
      <c r="I51" s="10" t="str">
        <v>Interpret visual representations of network simulations</v>
      </c>
      <c r="J51" s="10" t="str">
        <v>Describe biological networks as graph models and identify its functional properties</v>
      </c>
      <c r="K51" s="10" t="str">
        <v>Solve problems using the R programming language</v>
      </c>
      <c r="L51" s="11" t="str">
        <v>Understand, interpret and evaluate computational biology literature</v>
      </c>
      <c r="M51" s="11">
        <v>0</v>
      </c>
      <c r="N51" s="11">
        <v>0</v>
      </c>
      <c r="O51" s="10">
        <v>0</v>
      </c>
      <c r="P51" s="11">
        <v>0</v>
      </c>
      <c r="Q51" s="11">
        <v>0</v>
      </c>
      <c r="R51" s="12" t="b">
        <f t="shared" si="0"/>
        <v>1</v>
      </c>
      <c r="S51" s="12" t="str">
        <v>CIE 556</v>
      </c>
      <c r="T51" s="12" t="e">
        <f t="array" aca="1" ref="T51" ca="1">_xludf.IFNA(LOOKUP(2,1/(C51:Q51&lt;&gt;""),COLUMN(C51:Q51))-2,0)</f>
        <v>#NAME?</v>
      </c>
      <c r="U51" s="12">
        <f t="shared" si="1"/>
        <v>15</v>
      </c>
      <c r="V51" s="12" t="e">
        <f t="shared" ca="1" si="2"/>
        <v>#NAME?</v>
      </c>
    </row>
    <row r="52" spans="1:22" ht="12.75">
      <c r="A52" s="9" t="str">
        <v>BMS</v>
      </c>
      <c r="B52" s="9" t="str">
        <v>BMS 474</v>
      </c>
      <c r="C52" s="10">
        <v>2020</v>
      </c>
      <c r="D52" s="10" t="str">
        <v>SPRING</v>
      </c>
      <c r="E52" s="10" t="str">
        <v>Recognize the different fields of machine learning, such as supervised and unsupervised learning, and identifying scenarios where it makes sense to apply machine learning for real-world problem-solving.</v>
      </c>
      <c r="F52" s="10" t="str">
        <v>Compute data as features required for machine learning models.</v>
      </c>
      <c r="G52" s="10" t="str">
        <v>Identify different classification techniques.</v>
      </c>
      <c r="H52" s="10" t="str">
        <v>Assess the machine learning model quality</v>
      </c>
      <c r="I52" s="10" t="str">
        <v>Use the Python programming language and packages for implementing machine learning algorithms.</v>
      </c>
      <c r="J52" s="10" t="str">
        <v>Collect a repertoire of different algorithms and approaches to machine learning and understanding their various strengths and weaknesses</v>
      </c>
      <c r="K52" s="10" t="str">
        <v>Design an approach to leverage data using the steps in the machine learning process</v>
      </c>
      <c r="L52" s="11">
        <v>0</v>
      </c>
      <c r="M52" s="11">
        <v>0</v>
      </c>
      <c r="N52" s="11">
        <v>0</v>
      </c>
      <c r="O52" s="10">
        <v>0</v>
      </c>
      <c r="P52" s="11">
        <v>0</v>
      </c>
      <c r="Q52" s="11">
        <v>0</v>
      </c>
      <c r="R52" s="12" t="b">
        <f t="shared" si="0"/>
        <v>1</v>
      </c>
      <c r="S52" s="12" t="str">
        <v>CIE 564</v>
      </c>
      <c r="T52" s="12" t="e">
        <f t="array" aca="1" ref="T52" ca="1">_xludf.IFNA(LOOKUP(2,1/(C52:Q52&lt;&gt;""),COLUMN(C52:Q52))-2,0)</f>
        <v>#NAME?</v>
      </c>
      <c r="U52" s="12">
        <f t="shared" si="1"/>
        <v>15</v>
      </c>
      <c r="V52" s="12" t="e">
        <f t="shared" ca="1" si="2"/>
        <v>#NAME?</v>
      </c>
    </row>
    <row r="53" spans="1:22" ht="12.75">
      <c r="A53" s="9" t="str">
        <v>BMS</v>
      </c>
      <c r="B53" s="9" t="str">
        <v>BMS 475</v>
      </c>
      <c r="C53" s="10">
        <v>2020</v>
      </c>
      <c r="D53" s="10" t="str">
        <v>SPRING</v>
      </c>
      <c r="E53" s="10">
        <v>0</v>
      </c>
      <c r="F53" s="10">
        <v>0</v>
      </c>
      <c r="G53" s="10">
        <v>0</v>
      </c>
      <c r="H53" s="10">
        <v>0</v>
      </c>
      <c r="I53" s="10">
        <v>0</v>
      </c>
      <c r="J53" s="10">
        <v>0</v>
      </c>
      <c r="K53" s="10">
        <v>0</v>
      </c>
      <c r="L53" s="11">
        <v>0</v>
      </c>
      <c r="M53" s="11">
        <v>0</v>
      </c>
      <c r="N53" s="11">
        <v>0</v>
      </c>
      <c r="O53" s="10">
        <v>0</v>
      </c>
      <c r="P53" s="11">
        <v>0</v>
      </c>
      <c r="Q53" s="11">
        <v>0</v>
      </c>
      <c r="R53" s="12" t="b">
        <f t="shared" si="0"/>
        <v>1</v>
      </c>
      <c r="S53" s="12" t="str">
        <v>CSCI 101</v>
      </c>
      <c r="T53" s="12" t="e">
        <f t="array" aca="1" ref="T53" ca="1">_xludf.IFNA(LOOKUP(2,1/(C53:Q53&lt;&gt;""),COLUMN(C53:Q53))-2,0)</f>
        <v>#NAME?</v>
      </c>
      <c r="U53" s="12">
        <f t="shared" si="1"/>
        <v>15</v>
      </c>
      <c r="V53" s="12" t="e">
        <f t="shared" ca="1" si="2"/>
        <v>#NAME?</v>
      </c>
    </row>
    <row r="54" spans="1:22" ht="12.75">
      <c r="A54" s="9" t="str">
        <v>BMS</v>
      </c>
      <c r="B54" s="9" t="str">
        <v>BMS 477</v>
      </c>
      <c r="C54" s="17">
        <v>2020</v>
      </c>
      <c r="D54" s="17" t="str">
        <v>SPRING</v>
      </c>
      <c r="E54" s="17" t="str">
        <v>Recognizing the different types of defects affecting the human genome</v>
      </c>
      <c r="F54" s="10" t="str">
        <v>Identifying appropriate molecular techniques for diagnosis of the different genetic diseases</v>
      </c>
      <c r="G54" s="17" t="str">
        <v>Identifying potential therapeutic strategies for different genetic disease</v>
      </c>
      <c r="H54" s="10" t="str">
        <v>Analyzing experimental data including graphs and figures</v>
      </c>
      <c r="I54" s="10" t="str">
        <v>Applying the information learned to a project addressing a certain disease type, its diagnosis and potential treatment</v>
      </c>
      <c r="J54" s="10" t="str">
        <v>Discussing the outcome of the project with other students</v>
      </c>
      <c r="K54" s="10" t="str">
        <v>Analyzing literature and outlining relevant information</v>
      </c>
      <c r="L54" s="11" t="str">
        <v>Applying molecular biology knowledge into real life applications</v>
      </c>
      <c r="M54" s="11">
        <v>0</v>
      </c>
      <c r="N54" s="11">
        <v>0</v>
      </c>
      <c r="O54" s="10">
        <v>0</v>
      </c>
      <c r="P54" s="11">
        <v>0</v>
      </c>
      <c r="Q54" s="11">
        <v>0</v>
      </c>
      <c r="R54" s="12" t="b">
        <f t="shared" si="0"/>
        <v>1</v>
      </c>
      <c r="S54" s="12" t="str">
        <v>ENG 151</v>
      </c>
      <c r="T54" s="12" t="e">
        <f t="array" aca="1" ref="T54" ca="1">_xludf.IFNA(LOOKUP(2,1/(C54:Q54&lt;&gt;""),COLUMN(C54:Q54))-2,0)</f>
        <v>#NAME?</v>
      </c>
      <c r="U54" s="12">
        <f t="shared" si="1"/>
        <v>15</v>
      </c>
      <c r="V54" s="12" t="e">
        <f t="shared" ca="1" si="2"/>
        <v>#NAME?</v>
      </c>
    </row>
    <row r="55" spans="1:22" ht="12.75">
      <c r="A55" s="9" t="str">
        <v>BMS</v>
      </c>
      <c r="B55" s="9" t="str">
        <v>BMS 500</v>
      </c>
      <c r="C55" s="10">
        <v>2020</v>
      </c>
      <c r="D55" s="10" t="str">
        <v>SPRING</v>
      </c>
      <c r="E55" s="10">
        <v>0</v>
      </c>
      <c r="F55" s="10">
        <v>0</v>
      </c>
      <c r="G55" s="10">
        <v>0</v>
      </c>
      <c r="H55" s="10">
        <v>0</v>
      </c>
      <c r="I55" s="10">
        <v>0</v>
      </c>
      <c r="J55" s="10">
        <v>0</v>
      </c>
      <c r="K55" s="10">
        <v>0</v>
      </c>
      <c r="L55" s="11">
        <v>0</v>
      </c>
      <c r="M55" s="11">
        <v>0</v>
      </c>
      <c r="N55" s="11">
        <v>0</v>
      </c>
      <c r="O55" s="10">
        <v>0</v>
      </c>
      <c r="P55" s="11">
        <v>0</v>
      </c>
      <c r="Q55" s="11">
        <v>0</v>
      </c>
      <c r="R55" s="12" t="b">
        <f t="shared" si="0"/>
        <v>1</v>
      </c>
      <c r="S55" s="12" t="str">
        <v>ENG 152</v>
      </c>
      <c r="T55" s="12" t="e">
        <f t="array" aca="1" ref="T55" ca="1">_xludf.IFNA(LOOKUP(2,1/(C55:Q55&lt;&gt;""),COLUMN(C55:Q55))-2,0)</f>
        <v>#NAME?</v>
      </c>
      <c r="U55" s="12">
        <f t="shared" si="1"/>
        <v>15</v>
      </c>
      <c r="V55" s="12" t="e">
        <f t="shared" ca="1" si="2"/>
        <v>#NAME?</v>
      </c>
    </row>
    <row r="56" spans="1:22" ht="12.75">
      <c r="A56" s="9" t="str">
        <v>BMS</v>
      </c>
      <c r="B56" s="9" t="str">
        <v>BMS 501</v>
      </c>
      <c r="C56" s="10">
        <v>2020</v>
      </c>
      <c r="D56" s="10" t="str">
        <v>SPRING</v>
      </c>
      <c r="E56" s="10">
        <v>0</v>
      </c>
      <c r="F56" s="10">
        <v>0</v>
      </c>
      <c r="G56" s="10">
        <v>0</v>
      </c>
      <c r="H56" s="10">
        <v>0</v>
      </c>
      <c r="I56" s="10">
        <v>0</v>
      </c>
      <c r="J56" s="10">
        <v>0</v>
      </c>
      <c r="K56" s="10">
        <v>0</v>
      </c>
      <c r="L56" s="11">
        <v>0</v>
      </c>
      <c r="M56" s="11">
        <v>0</v>
      </c>
      <c r="N56" s="11">
        <v>0</v>
      </c>
      <c r="O56" s="10">
        <v>0</v>
      </c>
      <c r="P56" s="11">
        <v>0</v>
      </c>
      <c r="Q56" s="11">
        <v>0</v>
      </c>
      <c r="R56" s="12" t="b">
        <f t="shared" si="0"/>
        <v>1</v>
      </c>
      <c r="S56" s="12" t="str">
        <v>ENGL 202</v>
      </c>
      <c r="T56" s="12" t="e">
        <f t="array" aca="1" ref="T56" ca="1">_xludf.IFNA(LOOKUP(2,1/(C56:Q56&lt;&gt;""),COLUMN(C56:Q56))-2,0)</f>
        <v>#NAME?</v>
      </c>
      <c r="U56" s="12">
        <f t="shared" si="1"/>
        <v>15</v>
      </c>
      <c r="V56" s="12" t="e">
        <f t="shared" ca="1" si="2"/>
        <v>#NAME?</v>
      </c>
    </row>
    <row r="57" spans="1:22" ht="12.75">
      <c r="A57" s="9" t="str">
        <v>BMS</v>
      </c>
      <c r="B57" s="9" t="str">
        <v>BMS 506</v>
      </c>
      <c r="C57" s="10">
        <v>2020</v>
      </c>
      <c r="D57" s="10" t="str">
        <v>SPRING</v>
      </c>
      <c r="E57" s="10" t="str">
        <v>Recognize the different classes of enzymes such as proteases and kinases and the molecular basis of their action</v>
      </c>
      <c r="F57" s="10" t="str">
        <v>Identify the different classes of GPCRs, and nuclear receptors as well as the various patterns of receptor modulators (agonist/antagonist/partial agonist)</v>
      </c>
      <c r="G57" s="10" t="str">
        <v>Design drug-like compounds with the ability to bind common drug targets such as GPCRs, proteases, and kinases</v>
      </c>
      <c r="H57" s="10" t="str">
        <v>Apply modern molecular modeling techniques to target specific classes of macromolecules</v>
      </c>
      <c r="I57" s="10" t="str">
        <v>Perform both ligand- and structure-based virtual screening and data mining and evaluate the results</v>
      </c>
      <c r="J57" s="10" t="str">
        <v>Plan for a comprehensive drug design project and/or a startup business in the field of drug discovery and development</v>
      </c>
      <c r="K57" s="10">
        <v>0</v>
      </c>
      <c r="L57" s="11">
        <v>0</v>
      </c>
      <c r="M57" s="11">
        <v>0</v>
      </c>
      <c r="N57" s="11">
        <v>0</v>
      </c>
      <c r="O57" s="10">
        <v>0</v>
      </c>
      <c r="P57" s="11">
        <v>0</v>
      </c>
      <c r="Q57" s="11">
        <v>0</v>
      </c>
      <c r="R57" s="12" t="b">
        <f t="shared" si="0"/>
        <v>1</v>
      </c>
      <c r="S57" s="12" t="str">
        <v>ENGR 201</v>
      </c>
      <c r="T57" s="12" t="e">
        <f t="array" aca="1" ref="T57" ca="1">_xludf.IFNA(LOOKUP(2,1/(C57:Q57&lt;&gt;""),COLUMN(C57:Q57))-2,0)</f>
        <v>#NAME?</v>
      </c>
      <c r="U57" s="12">
        <f t="shared" si="1"/>
        <v>15</v>
      </c>
      <c r="V57" s="12" t="e">
        <f t="shared" ca="1" si="2"/>
        <v>#NAME?</v>
      </c>
    </row>
    <row r="58" spans="1:22" ht="12.75">
      <c r="A58" s="9" t="str">
        <v>BMS</v>
      </c>
      <c r="B58" s="9" t="str">
        <v>BMS 506L</v>
      </c>
      <c r="C58" s="17">
        <v>2020</v>
      </c>
      <c r="D58" s="17" t="str">
        <v>SPRING</v>
      </c>
      <c r="E58" s="17" t="str">
        <v>Recognize the basic functions of Pymol and MOE graphical software.</v>
      </c>
      <c r="F58" s="17" t="str">
        <v>Rationally design novel inhibitors of certain protease and kinase enzymes</v>
      </c>
      <c r="G58" s="17" t="str">
        <v>Plan for a virtual screening and data mining workflow for the discovery of novel drug candidates</v>
      </c>
      <c r="H58" s="17" t="str">
        <v>evelop and validate homology models for drug targets with unknown 3D structures</v>
      </c>
      <c r="I58" s="10" t="str">
        <v>Perform flexible docking using the MOE and Autodock software</v>
      </c>
      <c r="J58" s="10" t="str">
        <v>Perform molecular dynamics simulation for protein-ligand complexe</v>
      </c>
      <c r="K58" s="10">
        <v>0</v>
      </c>
      <c r="L58" s="11">
        <v>0</v>
      </c>
      <c r="M58" s="11">
        <v>0</v>
      </c>
      <c r="N58" s="11">
        <v>0</v>
      </c>
      <c r="O58" s="10">
        <v>0</v>
      </c>
      <c r="P58" s="11">
        <v>0</v>
      </c>
      <c r="Q58" s="11">
        <v>0</v>
      </c>
      <c r="R58" s="12" t="b">
        <f t="shared" si="0"/>
        <v>1</v>
      </c>
      <c r="S58" s="12" t="str">
        <v>ENGR 210</v>
      </c>
      <c r="T58" s="12" t="e">
        <f t="array" aca="1" ref="T58" ca="1">_xludf.IFNA(LOOKUP(2,1/(C58:Q58&lt;&gt;""),COLUMN(C58:Q58))-2,0)</f>
        <v>#NAME?</v>
      </c>
      <c r="U58" s="12">
        <f t="shared" si="1"/>
        <v>15</v>
      </c>
      <c r="V58" s="12" t="e">
        <f t="shared" ca="1" si="2"/>
        <v>#NAME?</v>
      </c>
    </row>
    <row r="59" spans="1:22" ht="12.75">
      <c r="A59" s="9" t="str">
        <v>CIE</v>
      </c>
      <c r="B59" s="9" t="str">
        <v>CIE 202</v>
      </c>
      <c r="C59" s="10">
        <v>2020</v>
      </c>
      <c r="D59" s="10" t="str">
        <v>SPRING</v>
      </c>
      <c r="E59" s="10" t="str">
        <v>Describe basic programming concepts, constructs and techniques.</v>
      </c>
      <c r="F59" s="10" t="str">
        <v>Distinguish between procedure-oriented and object-oriented programming models.</v>
      </c>
      <c r="G59" s="10" t="str">
        <v>Develop computer programs to solve real life problems using procedure-oriented programming approach.</v>
      </c>
      <c r="H59" s="10" t="str">
        <v>Develop computer programs to solve real life problems using object-oriented programming approach.</v>
      </c>
      <c r="I59" s="10" t="str">
        <v>Apply programming concepts and techniques using popular programming languages such as C and C++.</v>
      </c>
      <c r="J59" s="10" t="str">
        <v>Act in teamwork to solve real life problems.</v>
      </c>
      <c r="K59" s="10">
        <v>0</v>
      </c>
      <c r="L59" s="11">
        <v>0</v>
      </c>
      <c r="M59" s="11">
        <v>0</v>
      </c>
      <c r="N59" s="11">
        <v>0</v>
      </c>
      <c r="O59" s="10">
        <v>0</v>
      </c>
      <c r="P59" s="11">
        <v>0</v>
      </c>
      <c r="Q59" s="11">
        <v>0</v>
      </c>
      <c r="R59" s="12" t="b">
        <f t="shared" si="0"/>
        <v>1</v>
      </c>
      <c r="S59" s="12" t="str">
        <v>ENGR 219</v>
      </c>
      <c r="T59" s="12" t="e">
        <f t="array" aca="1" ref="T59" ca="1">_xludf.IFNA(LOOKUP(2,1/(C59:Q59&lt;&gt;""),COLUMN(C59:Q59))-2,0)</f>
        <v>#NAME?</v>
      </c>
      <c r="U59" s="12">
        <f t="shared" si="1"/>
        <v>15</v>
      </c>
      <c r="V59" s="12" t="e">
        <f t="shared" ca="1" si="2"/>
        <v>#NAME?</v>
      </c>
    </row>
    <row r="60" spans="1:22" ht="12.75">
      <c r="A60" s="9" t="str">
        <v>CIE</v>
      </c>
      <c r="B60" s="9" t="str">
        <v>CIE 205</v>
      </c>
      <c r="C60" s="10">
        <v>2020</v>
      </c>
      <c r="D60" s="10" t="str">
        <v>SPRING</v>
      </c>
      <c r="E60" s="10" t="str">
        <v>Understand the concept of ADT (Abstract Data Types).</v>
      </c>
      <c r="F60" s="10" t="str">
        <v>Declare, implement and apply linear lists and the related operations of insertion, deletion and traversal using arrays and linked lists</v>
      </c>
      <c r="G60" s="10" t="str">
        <v>Declare, implement and apply special linear lists such as: the stack data structure and the related basic operations of push and pop; and the queue data structure and the related basic operations of enque nd dequeue.</v>
      </c>
      <c r="H60" s="10" t="str">
        <v>Understand, write and apply the steps of simple sorting algorithms:</v>
      </c>
      <c r="I60" s="10" t="str">
        <v>Understand list and apply steps of searching algorithms including sequential search, binary search and hashing techniques.</v>
      </c>
      <c r="J60" s="10" t="str">
        <v>Understand and apply steps of different String Matching algorithms.</v>
      </c>
      <c r="K60" s="10" t="str">
        <v>Understand, declare and apply the graph data structure and some common graph algorithms</v>
      </c>
      <c r="L60" s="11" t="str">
        <v>Declare, implement and use the non-linear list TREE data structure and the different types: Binary trees, Binary Search Trees and the related operations of insertion, deletion and traversal</v>
      </c>
      <c r="M60" s="11" t="str">
        <v>Analyze a problem, select and write a corresponding algorithm for solving it based on analytical thinking.</v>
      </c>
      <c r="N60" s="11" t="str">
        <v>Apply principles to estimate Big 'O' complexity for studied algorithm and some simple algorithms. Compare and accordingly select the most appropriate solution to problem or improve the design of a program</v>
      </c>
      <c r="O60" s="10" t="str">
        <v>Develop the sense of teamwork discipline through working in groups of multiple students</v>
      </c>
      <c r="P60" s="11">
        <v>0</v>
      </c>
      <c r="Q60" s="11">
        <v>0</v>
      </c>
      <c r="R60" s="12" t="b">
        <f t="shared" si="0"/>
        <v>1</v>
      </c>
      <c r="S60" s="12" t="str">
        <v>ENGR 332</v>
      </c>
      <c r="T60" s="12" t="e">
        <f t="array" aca="1" ref="T60" ca="1">_xludf.IFNA(LOOKUP(2,1/(C60:Q60&lt;&gt;""),COLUMN(C60:Q60))-2,0)</f>
        <v>#NAME?</v>
      </c>
      <c r="U60" s="12">
        <f t="shared" si="1"/>
        <v>15</v>
      </c>
      <c r="V60" s="12" t="e">
        <f t="shared" ca="1" si="2"/>
        <v>#NAME?</v>
      </c>
    </row>
    <row r="61" spans="1:22" ht="12.75">
      <c r="A61" s="9" t="str">
        <v>CIE</v>
      </c>
      <c r="B61" s="9" t="str">
        <v>CIE 206</v>
      </c>
      <c r="C61" s="10">
        <v>2020</v>
      </c>
      <c r="D61" s="10" t="str">
        <v>SPRING</v>
      </c>
      <c r="E61" s="10" t="str">
        <v>Identify and Describe the concept of database system and its advantages over traditional file-based systems</v>
      </c>
      <c r="F61" s="10" t="str">
        <v>Identify and classify the different DB architectures, data models &amp; different types of users.</v>
      </c>
      <c r="G61" s="10" t="str">
        <v>Be able to gather and analyze DB system requirements, Map requirements into a DB system design and draw the corresponding Entity Relationship Diagram</v>
      </c>
      <c r="H61" s="10" t="str">
        <v>Apply ER to Relational mapping rules to generate an efficient relational DB design.</v>
      </c>
      <c r="I61" s="10" t="str">
        <v>Determine the DB functional dependencies and be able to decompose bad relations into their 1st, 2nd, 3rd normal forms.</v>
      </c>
      <c r="J61" s="10" t="str">
        <v>Translate various textual queries on a DB into relational algebra expressions for query retrieval and query optimization.</v>
      </c>
      <c r="K61" s="10" t="str">
        <v>Translate various textual queries on a DB into SQL statements for schema definition, query retrieval and data updates as well as creating views and triggers</v>
      </c>
      <c r="L61" s="11" t="str">
        <v>Develop a hands-on experience by constructing a full database system using a DBMS through</v>
      </c>
      <c r="M61" s="11" t="str">
        <v>Presentation and Communication skills</v>
      </c>
      <c r="N61" s="11" t="str">
        <v>Develop the sense of teamwork discipline through working in groups of multiple students</v>
      </c>
      <c r="O61" s="10">
        <v>0</v>
      </c>
      <c r="P61" s="11">
        <v>0</v>
      </c>
      <c r="Q61" s="11">
        <v>0</v>
      </c>
      <c r="R61" s="12" t="b">
        <f t="shared" ca="1" si="0"/>
        <v>0</v>
      </c>
      <c r="S61" s="12" t="str">
        <v>ENV 220</v>
      </c>
      <c r="T61" s="12" t="e">
        <f t="array" aca="1" ref="T61" ca="1">_xludf.IFNA(LOOKUP(2,1/(C61:Q61&lt;&gt;""),COLUMN(C61:Q61))-2,0)</f>
        <v>#NAME?</v>
      </c>
      <c r="U61" s="12">
        <f t="shared" si="1"/>
        <v>15</v>
      </c>
      <c r="V61" s="12" t="e">
        <f t="shared" ca="1" si="2"/>
        <v>#NAME?</v>
      </c>
    </row>
    <row r="62" spans="1:22" ht="12.75">
      <c r="A62" s="9" t="str">
        <v>CIE</v>
      </c>
      <c r="B62" s="9" t="str">
        <v>CIE 212</v>
      </c>
      <c r="C62" s="10">
        <v>2020</v>
      </c>
      <c r="D62" s="10" t="str">
        <v>SPRING</v>
      </c>
      <c r="E62" s="10">
        <v>0</v>
      </c>
      <c r="F62" s="10">
        <v>0</v>
      </c>
      <c r="G62" s="10">
        <v>0</v>
      </c>
      <c r="H62" s="10">
        <v>0</v>
      </c>
      <c r="I62" s="10">
        <v>0</v>
      </c>
      <c r="J62" s="10">
        <v>0</v>
      </c>
      <c r="K62" s="10">
        <v>0</v>
      </c>
      <c r="L62" s="11">
        <v>0</v>
      </c>
      <c r="M62" s="11">
        <v>0</v>
      </c>
      <c r="N62" s="11">
        <v>0</v>
      </c>
      <c r="O62" s="10">
        <v>0</v>
      </c>
      <c r="P62" s="11">
        <v>0</v>
      </c>
      <c r="Q62" s="11">
        <v>0</v>
      </c>
      <c r="R62" s="12" t="b">
        <f t="shared" ca="1" si="0"/>
        <v>0</v>
      </c>
      <c r="S62" s="12" t="str">
        <v>ENV 221</v>
      </c>
      <c r="T62" s="12" t="e">
        <f t="array" aca="1" ref="T62" ca="1">_xludf.IFNA(LOOKUP(2,1/(C62:Q62&lt;&gt;""),COLUMN(C62:Q62))-2,0)</f>
        <v>#NAME?</v>
      </c>
      <c r="U62" s="12">
        <f t="shared" si="1"/>
        <v>15</v>
      </c>
      <c r="V62" s="12" t="e">
        <f t="shared" ca="1" si="2"/>
        <v>#NAME?</v>
      </c>
    </row>
    <row r="63" spans="1:22" ht="12.75">
      <c r="A63" s="9" t="str">
        <v>CIE</v>
      </c>
      <c r="B63" s="9" t="str">
        <v>CIE 227</v>
      </c>
      <c r="C63" s="10">
        <v>2020</v>
      </c>
      <c r="D63" s="10" t="str">
        <v>SPRING</v>
      </c>
      <c r="E63" s="10">
        <v>0</v>
      </c>
      <c r="F63" s="10">
        <v>0</v>
      </c>
      <c r="G63" s="10">
        <v>0</v>
      </c>
      <c r="H63" s="10">
        <v>0</v>
      </c>
      <c r="I63" s="10">
        <v>0</v>
      </c>
      <c r="J63" s="10">
        <v>0</v>
      </c>
      <c r="K63" s="10">
        <v>0</v>
      </c>
      <c r="L63" s="11">
        <v>0</v>
      </c>
      <c r="M63" s="11">
        <v>0</v>
      </c>
      <c r="N63" s="11">
        <v>0</v>
      </c>
      <c r="O63" s="10">
        <v>0</v>
      </c>
      <c r="P63" s="11">
        <v>0</v>
      </c>
      <c r="Q63" s="11">
        <v>0</v>
      </c>
      <c r="R63" s="12" t="b">
        <f t="shared" ca="1" si="0"/>
        <v>0</v>
      </c>
      <c r="S63" s="12" t="str">
        <v>ENV 319</v>
      </c>
      <c r="T63" s="12" t="e">
        <f t="array" aca="1" ref="T63" ca="1">_xludf.IFNA(LOOKUP(2,1/(C63:Q63&lt;&gt;""),COLUMN(C63:Q63))-2,0)</f>
        <v>#NAME?</v>
      </c>
      <c r="U63" s="12">
        <f t="shared" si="1"/>
        <v>15</v>
      </c>
      <c r="V63" s="12" t="e">
        <f t="shared" ca="1" si="2"/>
        <v>#NAME?</v>
      </c>
    </row>
    <row r="64" spans="1:22" ht="12.75">
      <c r="A64" s="9" t="str">
        <v>CIE</v>
      </c>
      <c r="B64" s="9" t="str">
        <v>CIE 239</v>
      </c>
      <c r="C64" s="10">
        <v>2020</v>
      </c>
      <c r="D64" s="10" t="str">
        <v>SPRING</v>
      </c>
      <c r="E64" s="10">
        <v>0</v>
      </c>
      <c r="F64" s="10">
        <v>0</v>
      </c>
      <c r="G64" s="10">
        <v>0</v>
      </c>
      <c r="H64" s="10">
        <v>0</v>
      </c>
      <c r="I64" s="10">
        <v>0</v>
      </c>
      <c r="J64" s="10">
        <v>0</v>
      </c>
      <c r="K64" s="10">
        <v>0</v>
      </c>
      <c r="L64" s="11">
        <v>0</v>
      </c>
      <c r="M64" s="11">
        <v>0</v>
      </c>
      <c r="N64" s="11">
        <v>0</v>
      </c>
      <c r="O64" s="10">
        <v>0</v>
      </c>
      <c r="P64" s="11">
        <v>0</v>
      </c>
      <c r="Q64" s="11">
        <v>0</v>
      </c>
      <c r="R64" s="12" t="b">
        <f t="shared" si="0"/>
        <v>1</v>
      </c>
      <c r="S64" s="12" t="str">
        <v>ENV 330</v>
      </c>
      <c r="T64" s="12" t="e">
        <f t="array" aca="1" ref="T64" ca="1">_xludf.IFNA(LOOKUP(2,1/(C64:Q64&lt;&gt;""),COLUMN(C64:Q64))-2,0)</f>
        <v>#NAME?</v>
      </c>
      <c r="U64" s="12">
        <f t="shared" si="1"/>
        <v>15</v>
      </c>
      <c r="V64" s="12" t="e">
        <f t="shared" ca="1" si="2"/>
        <v>#NAME?</v>
      </c>
    </row>
    <row r="65" spans="1:22" ht="12.75">
      <c r="A65" s="9" t="str">
        <v>CIE</v>
      </c>
      <c r="B65" s="9" t="str">
        <v>CIE 301</v>
      </c>
      <c r="C65" s="10">
        <v>2020</v>
      </c>
      <c r="D65" s="10" t="str">
        <v>SPRING</v>
      </c>
      <c r="E65" s="10" t="str">
        <v>Analyze linear electrical circuits using the modified nodal analysis, mesh analysis</v>
      </c>
      <c r="F65" s="10" t="str">
        <v>Use the Laplace transform to analyze linear electrical circuits, to evaluate their transfer functions/impedances</v>
      </c>
      <c r="G65" s="10" t="str">
        <v>Explain transients in reactive circuits (inductive and capacitive) and describe the Response of RL and RC Circuits</v>
      </c>
      <c r="H65" s="10" t="str">
        <v>Define and analyze the mutual and self-inductance for coupled circuits</v>
      </c>
      <c r="I65" s="10" t="str">
        <v>Understand the operation of electronic filters (passive and active) and describe them in the frequency domain from their magnitude characteristics</v>
      </c>
      <c r="J65" s="10" t="str">
        <v>Design lowpass, high pass, bandpass and band reject passive and active‐RC filters with all‐pole and rational approximations using the appropriate mathematics or filter tables</v>
      </c>
      <c r="K65" s="10" t="str">
        <v>Analyze Butterworth filters and perform frequency transformation as well as low-pass/high-pass/bandpass/band-reject transformation</v>
      </c>
      <c r="L65" s="11" t="str">
        <v>Use software system simulation tools to verify filter specifications in the frequency domain</v>
      </c>
      <c r="M65" s="11" t="str">
        <v>Use software tools to design frequency selective electronic circuits (passive and active)</v>
      </c>
      <c r="N65" s="11" t="str">
        <v>Collaborate with fellow students in a team, in order to solve complex filter design and implementation problems</v>
      </c>
      <c r="O65" s="10">
        <v>0</v>
      </c>
      <c r="P65" s="11">
        <v>0</v>
      </c>
      <c r="Q65" s="11">
        <v>0</v>
      </c>
      <c r="R65" s="12" t="b">
        <f t="shared" si="0"/>
        <v>1</v>
      </c>
      <c r="S65" s="12" t="str">
        <v>ENV 350</v>
      </c>
      <c r="T65" s="12" t="e">
        <f t="array" aca="1" ref="T65" ca="1">_xludf.IFNA(LOOKUP(2,1/(C65:Q65&lt;&gt;""),COLUMN(C65:Q65))-2,0)</f>
        <v>#NAME?</v>
      </c>
      <c r="U65" s="12">
        <f t="shared" si="1"/>
        <v>15</v>
      </c>
      <c r="V65" s="12" t="e">
        <f t="shared" ca="1" si="2"/>
        <v>#NAME?</v>
      </c>
    </row>
    <row r="66" spans="1:22" ht="12.75">
      <c r="A66" s="9" t="str">
        <v>CIE</v>
      </c>
      <c r="B66" s="9" t="str">
        <v>CIE 302</v>
      </c>
      <c r="C66" s="10">
        <v>2020</v>
      </c>
      <c r="D66" s="10" t="str">
        <v>SPRING</v>
      </c>
      <c r="E66" s="10" t="str">
        <v>Explain what operating systems are and illustrate their core functionalities.</v>
      </c>
      <c r="F66" s="10" t="str">
        <v>Understand the concept of an operating system process and how processes are managed and coordinated in modern operating systems.</v>
      </c>
      <c r="G66" s="10" t="str">
        <v>Describe methods and techniques for process scheduling, interprocess communication, and process synchronization.</v>
      </c>
      <c r="H66" s="10" t="str">
        <v>Analyze different approaches to memory and process management and characterize their performance.</v>
      </c>
      <c r="I66" s="10" t="str">
        <v>Outline some of the techniques used to handle I/O devices in modern operating systems.</v>
      </c>
      <c r="J66" s="10" t="str">
        <v>Design and implement simple file system mechanisms.</v>
      </c>
      <c r="K66" s="10" t="str">
        <v>Design and implement simple memory management mechanisms.</v>
      </c>
      <c r="L66" s="11">
        <v>0</v>
      </c>
      <c r="M66" s="11">
        <v>0</v>
      </c>
      <c r="N66" s="11">
        <v>0</v>
      </c>
      <c r="O66" s="10">
        <v>0</v>
      </c>
      <c r="P66" s="11">
        <v>0</v>
      </c>
      <c r="Q66" s="11">
        <v>0</v>
      </c>
      <c r="R66" s="12" t="b">
        <f t="shared" ca="1" si="0"/>
        <v>0</v>
      </c>
      <c r="S66" s="12" t="str">
        <v>ENV 357</v>
      </c>
      <c r="T66" s="12" t="e">
        <f t="array" aca="1" ref="T66" ca="1">_xludf.IFNA(LOOKUP(2,1/(C66:Q66&lt;&gt;""),COLUMN(C66:Q66))-2,0)</f>
        <v>#NAME?</v>
      </c>
      <c r="U66" s="12">
        <f t="shared" si="1"/>
        <v>15</v>
      </c>
      <c r="V66" s="12" t="e">
        <f t="shared" ca="1" si="2"/>
        <v>#NAME?</v>
      </c>
    </row>
    <row r="67" spans="1:22" ht="12.75">
      <c r="A67" s="9" t="str">
        <v>CIE</v>
      </c>
      <c r="B67" s="9" t="str">
        <v>CIE 318</v>
      </c>
      <c r="C67" s="10">
        <v>2020</v>
      </c>
      <c r="D67" s="10" t="str">
        <v>SPRING</v>
      </c>
      <c r="E67" s="10" t="str">
        <v>Analyze the transient response, steady state response, and stability of 1st and 2nd order continuous-time feedback control systems</v>
      </c>
      <c r="F67" s="10" t="str">
        <v>Analyze the transient response, steady state response, and stability of 1st and 2nd order discrete-time feedback control systems</v>
      </c>
      <c r="G67" s="10" t="str">
        <v>Develop MATLAB programs that can analyze 1st and 2nd order feedback control systems</v>
      </c>
      <c r="H67" s="10" t="str">
        <v>Understand the basic concept behind the root locus and frequency response methods using MATLAB</v>
      </c>
      <c r="I67" s="10" t="str">
        <v>Design and examine the performance of PID and digital PID controllers</v>
      </c>
      <c r="J67" s="10" t="str">
        <v>Analyze digital control systems using the state space representation</v>
      </c>
      <c r="K67" s="10" t="str">
        <v>Understand the concepts of controllability and observability</v>
      </c>
      <c r="L67" s="11" t="str">
        <v>Design a digital controller using the pole placement method</v>
      </c>
      <c r="M67" s="11" t="str">
        <v>Develop software simulations to analyze and design feedback control systems</v>
      </c>
      <c r="N67" s="11">
        <v>0</v>
      </c>
      <c r="O67" s="10">
        <v>0</v>
      </c>
      <c r="P67" s="11">
        <v>0</v>
      </c>
      <c r="Q67" s="11">
        <v>0</v>
      </c>
      <c r="R67" s="12" t="b">
        <f t="shared" ca="1" si="0"/>
        <v>0</v>
      </c>
      <c r="S67" s="12" t="str">
        <v>ENV 406</v>
      </c>
      <c r="T67" s="12" t="e">
        <f t="array" aca="1" ref="T67" ca="1">_xludf.IFNA(LOOKUP(2,1/(C67:Q67&lt;&gt;""),COLUMN(C67:Q67))-2,0)</f>
        <v>#NAME?</v>
      </c>
      <c r="U67" s="12">
        <f t="shared" si="1"/>
        <v>15</v>
      </c>
      <c r="V67" s="12" t="e">
        <f t="shared" ca="1" si="2"/>
        <v>#NAME?</v>
      </c>
    </row>
    <row r="68" spans="1:22" ht="12.75">
      <c r="A68" s="9" t="str">
        <v>CIE</v>
      </c>
      <c r="B68" s="9" t="str">
        <v>CIE 320</v>
      </c>
      <c r="C68" s="10">
        <v>2020</v>
      </c>
      <c r="D68" s="10" t="str">
        <v>SPRING</v>
      </c>
      <c r="E68" s="10" t="str">
        <v>Understand BJT and MOSFET modes of operations.</v>
      </c>
      <c r="F68" s="10" t="str">
        <v>Understand the current sources and current mirror circuits utilizing CMOS.</v>
      </c>
      <c r="G68" s="10" t="str">
        <v>Understand the differential amplifier circuits utilizing CMOS.</v>
      </c>
      <c r="H68" s="10" t="str">
        <v>Understand the multistage amplifier circuits utilizing CMOS.</v>
      </c>
      <c r="I68" s="10" t="str">
        <v>Analyze the frequency response of different analog circuits.</v>
      </c>
      <c r="J68" s="10" t="str">
        <v>Understand the concept of feedback in analog circuits.</v>
      </c>
      <c r="K68" s="10" t="str">
        <v>Enable students to design, simulate, and verify commonly used analog circuits, using MOSFETs.</v>
      </c>
      <c r="L68" s="11" t="str">
        <v>Gain familiarity with circuit construction and testing techniques.</v>
      </c>
      <c r="M68" s="11" t="str">
        <v>Use software system simulation tools to verify different electronic designs.</v>
      </c>
      <c r="N68" s="11" t="str">
        <v>Use software tools to design different analog electronic circuits.</v>
      </c>
      <c r="O68" s="10" t="str">
        <v>Collaborate with fellow students in a team, in order to solve complex design and implementation problems.</v>
      </c>
      <c r="P68" s="11">
        <v>0</v>
      </c>
      <c r="Q68" s="11">
        <v>0</v>
      </c>
      <c r="R68" s="12" t="b">
        <f t="shared" ca="1" si="0"/>
        <v>0</v>
      </c>
      <c r="S68" s="12" t="str">
        <v>ENV 420</v>
      </c>
      <c r="T68" s="12" t="e">
        <f t="array" aca="1" ref="T68" ca="1">_xludf.IFNA(LOOKUP(2,1/(C68:Q68&lt;&gt;""),COLUMN(C68:Q68))-2,0)</f>
        <v>#NAME?</v>
      </c>
      <c r="U68" s="12">
        <f t="shared" si="1"/>
        <v>15</v>
      </c>
      <c r="V68" s="12" t="e">
        <f t="shared" ca="1" si="2"/>
        <v>#NAME?</v>
      </c>
    </row>
    <row r="69" spans="1:22" ht="12.75">
      <c r="A69" s="9" t="str">
        <v>CIE</v>
      </c>
      <c r="B69" s="9" t="str">
        <v>CIE 327</v>
      </c>
      <c r="C69" s="10">
        <v>2020</v>
      </c>
      <c r="D69" s="10" t="str">
        <v>SPRING</v>
      </c>
      <c r="E69" s="10" t="str">
        <v>Understand the meaning of probability, sample space and repeated trials.</v>
      </c>
      <c r="F69" s="10" t="str">
        <v>Apply the axioms of probability and Bayes’ rule for conditional probability.</v>
      </c>
      <c r="G69" s="10" t="str">
        <v>Describe single random variables using probability distributions.</v>
      </c>
      <c r="H69" s="10" t="str">
        <v>Calculate the expectations and variances of random variables.</v>
      </c>
      <c r="I69" s="10" t="str">
        <v>Describe joint random variables and their statistics.</v>
      </c>
      <c r="J69" s="10" t="str">
        <v>Evaluate the autocorrelation function and the power spectral density of stochastic processes.</v>
      </c>
      <c r="K69" s="10" t="str">
        <v>Apply the concepts of stochastic process on problems in communications engineering.</v>
      </c>
      <c r="L69" s="11">
        <v>0</v>
      </c>
      <c r="M69" s="11">
        <v>0</v>
      </c>
      <c r="N69" s="11">
        <v>0</v>
      </c>
      <c r="O69" s="10">
        <v>0</v>
      </c>
      <c r="P69" s="11">
        <v>0</v>
      </c>
      <c r="Q69" s="11">
        <v>0</v>
      </c>
      <c r="R69" s="12" t="b">
        <f t="shared" si="0"/>
        <v>1</v>
      </c>
      <c r="S69" s="12" t="str">
        <v>ENV 422</v>
      </c>
      <c r="T69" s="12" t="e">
        <f t="array" aca="1" ref="T69" ca="1">_xludf.IFNA(LOOKUP(2,1/(C69:Q69&lt;&gt;""),COLUMN(C69:Q69))-2,0)</f>
        <v>#NAME?</v>
      </c>
      <c r="U69" s="12">
        <f t="shared" si="1"/>
        <v>15</v>
      </c>
      <c r="V69" s="12" t="e">
        <f t="shared" ca="1" si="2"/>
        <v>#NAME?</v>
      </c>
    </row>
    <row r="70" spans="1:22" ht="12.75">
      <c r="A70" s="9" t="str">
        <v>CIE</v>
      </c>
      <c r="B70" s="9" t="str">
        <v>CIE 328</v>
      </c>
      <c r="C70" s="10">
        <v>2020</v>
      </c>
      <c r="D70" s="10" t="str">
        <v>SPRING</v>
      </c>
      <c r="E70" s="10" t="str">
        <v>Understand and directly apply the electrostatic model to solve electrostatic problems in vacuum, inside conductors/dielectric materials, and at the materials boundaries.</v>
      </c>
      <c r="F70" s="10" t="str">
        <v>Understand and directly apply the magnetostatic model to solve magnetostatic problems in vacuum, inside magnetic materials, and at the material boundaries.</v>
      </c>
      <c r="G70" s="10" t="str">
        <v>Use Maxwell’s equations to analyze and predict the electromagnetic waves behavior in vacuum, inside materials, and at the material boundaries.</v>
      </c>
      <c r="H70" s="10" t="str">
        <v>Model and analyze electromagneic fields and waves using full wave simulators</v>
      </c>
      <c r="I70" s="10">
        <v>0</v>
      </c>
      <c r="J70" s="10">
        <v>0</v>
      </c>
      <c r="K70" s="10">
        <v>0</v>
      </c>
      <c r="L70" s="11">
        <v>0</v>
      </c>
      <c r="M70" s="11">
        <v>0</v>
      </c>
      <c r="N70" s="11">
        <v>0</v>
      </c>
      <c r="O70" s="10">
        <v>0</v>
      </c>
      <c r="P70" s="11">
        <v>0</v>
      </c>
      <c r="Q70" s="11">
        <v>0</v>
      </c>
      <c r="R70" s="12" t="b">
        <f t="shared" si="0"/>
        <v>1</v>
      </c>
      <c r="S70" s="12" t="str">
        <v>ENV 423</v>
      </c>
      <c r="T70" s="12" t="e">
        <f t="array" aca="1" ref="T70" ca="1">_xludf.IFNA(LOOKUP(2,1/(C70:Q70&lt;&gt;""),COLUMN(C70:Q70))-2,0)</f>
        <v>#NAME?</v>
      </c>
      <c r="U70" s="12">
        <f t="shared" si="1"/>
        <v>15</v>
      </c>
      <c r="V70" s="12" t="e">
        <f t="shared" ca="1" si="2"/>
        <v>#NAME?</v>
      </c>
    </row>
    <row r="71" spans="1:22" ht="12.75">
      <c r="A71" s="9" t="str">
        <v>CIE</v>
      </c>
      <c r="B71" s="9" t="str">
        <v>CIE 338</v>
      </c>
      <c r="C71" s="10">
        <v>2020</v>
      </c>
      <c r="D71" s="10" t="str">
        <v>SPRING</v>
      </c>
      <c r="E71" s="10" t="str">
        <v>Analyze and predict plane electromagnetic waves behavior at the interface between different media</v>
      </c>
      <c r="F71" s="10" t="str">
        <v>Characterize transmission lines systems using the electromagnetic waves and the current/potential waves model</v>
      </c>
      <c r="G71" s="10" t="str">
        <v>Characterize wave propagation in guiding structures and select between several waveguide designs</v>
      </c>
      <c r="H71" s="10" t="str">
        <v>Understand the principle and characteristics of antennas, and their different types</v>
      </c>
      <c r="I71" s="10" t="str">
        <v>Work in a team to solve real life problems related to Engineering Electromagnetics</v>
      </c>
      <c r="J71" s="10">
        <v>0</v>
      </c>
      <c r="K71" s="10">
        <v>0</v>
      </c>
      <c r="L71" s="11">
        <v>0</v>
      </c>
      <c r="M71" s="11">
        <v>0</v>
      </c>
      <c r="N71" s="11">
        <v>0</v>
      </c>
      <c r="O71" s="10">
        <v>0</v>
      </c>
      <c r="P71" s="11">
        <v>0</v>
      </c>
      <c r="Q71" s="11">
        <v>0</v>
      </c>
      <c r="R71" s="12" t="b">
        <f t="shared" ca="1" si="0"/>
        <v>0</v>
      </c>
      <c r="S71" s="12" t="str">
        <v>ENV 425</v>
      </c>
      <c r="T71" s="12" t="e">
        <f t="array" aca="1" ref="T71" ca="1">_xludf.IFNA(LOOKUP(2,1/(C71:Q71&lt;&gt;""),COLUMN(C71:Q71))-2,0)</f>
        <v>#NAME?</v>
      </c>
      <c r="U71" s="12">
        <f t="shared" si="1"/>
        <v>15</v>
      </c>
      <c r="V71" s="12" t="e">
        <f t="shared" ca="1" si="2"/>
        <v>#NAME?</v>
      </c>
    </row>
    <row r="72" spans="1:22" ht="12.75">
      <c r="A72" s="9" t="str">
        <v>CIE</v>
      </c>
      <c r="B72" s="9" t="str">
        <v>CIE 405</v>
      </c>
      <c r="C72" s="10">
        <v>2020</v>
      </c>
      <c r="D72" s="10" t="str">
        <v>SPRING</v>
      </c>
      <c r="E72" s="10" t="str">
        <v>Knowledge and understanding of principles of operation and performance specifications of DC and AC machines.</v>
      </c>
      <c r="F72" s="10" t="str">
        <v>Knowledge and understanding of basics of steady state behavior of single and three phase rectifiers.</v>
      </c>
      <c r="G72" s="10" t="str">
        <v>Knowledge and understanding of basics of steady state behavior of single and three phase Inverters.</v>
      </c>
      <c r="H72" s="10" t="str">
        <v>Knowledge and understanding of basics of steady state behavior of DC to Dc converters.</v>
      </c>
      <c r="I72" s="10" t="str">
        <v>Ability to identify and formulate engineering problems to solve problems in the field of electrical machines engineering.</v>
      </c>
      <c r="J72" s="10" t="str">
        <v>Ability to analyze the performance of electric machines and drives.</v>
      </c>
      <c r="K72" s="10" t="str">
        <v>Ability to specify and evaluate components and equipment related to AC and DC machines.</v>
      </c>
      <c r="L72" s="11" t="str">
        <v>Ability to specify and evaluate components and equipment related to Rectifiers, DC to DC converters and Inverters.</v>
      </c>
      <c r="M72" s="11">
        <v>0</v>
      </c>
      <c r="N72" s="11">
        <v>0</v>
      </c>
      <c r="O72" s="10">
        <v>0</v>
      </c>
      <c r="P72" s="11">
        <v>0</v>
      </c>
      <c r="Q72" s="11">
        <v>0</v>
      </c>
      <c r="R72" s="12" t="b">
        <f t="shared" ca="1" si="0"/>
        <v>0</v>
      </c>
      <c r="S72" s="12" t="str">
        <v>ENV 465</v>
      </c>
      <c r="T72" s="12" t="e">
        <f t="array" aca="1" ref="T72" ca="1">_xludf.IFNA(LOOKUP(2,1/(C72:Q72&lt;&gt;""),COLUMN(C72:Q72))-2,0)</f>
        <v>#NAME?</v>
      </c>
      <c r="U72" s="12">
        <f t="shared" si="1"/>
        <v>15</v>
      </c>
      <c r="V72" s="12" t="e">
        <f t="shared" ca="1" si="2"/>
        <v>#NAME?</v>
      </c>
    </row>
    <row r="73" spans="1:22" ht="12.75">
      <c r="A73" s="9" t="str">
        <v>CIE</v>
      </c>
      <c r="B73" s="9" t="str">
        <v>CIE 406</v>
      </c>
      <c r="C73" s="10">
        <v>2020</v>
      </c>
      <c r="D73" s="10" t="str">
        <v>SPRING</v>
      </c>
      <c r="E73" s="10" t="str">
        <v>Differentiate between types of networks and their performance metrics</v>
      </c>
      <c r="F73" s="10" t="str">
        <v>Explain the services and functions of the data link layer</v>
      </c>
      <c r="G73" s="10" t="str">
        <v>Differentiate between the various classes of routing</v>
      </c>
      <c r="H73" s="10" t="str">
        <v>Design appropriate IP addressing and masking scheme</v>
      </c>
      <c r="I73" s="10" t="str">
        <v>Differentiate the TCP and UDP transport-layer service models</v>
      </c>
      <c r="J73" s="10" t="str">
        <v>Utilize common network simulation software to configure network nodes and test their operation.</v>
      </c>
      <c r="K73" s="10">
        <v>0</v>
      </c>
      <c r="L73" s="11">
        <v>0</v>
      </c>
      <c r="M73" s="11">
        <v>0</v>
      </c>
      <c r="N73" s="11">
        <v>0</v>
      </c>
      <c r="O73" s="10">
        <v>0</v>
      </c>
      <c r="P73" s="11">
        <v>0</v>
      </c>
      <c r="Q73" s="11">
        <v>0</v>
      </c>
      <c r="R73" s="12" t="b">
        <f t="shared" ca="1" si="0"/>
        <v>0</v>
      </c>
      <c r="S73" s="12" t="str">
        <v>ENV 506</v>
      </c>
      <c r="T73" s="12" t="e">
        <f t="array" aca="1" ref="T73" ca="1">_xludf.IFNA(LOOKUP(2,1/(C73:Q73&lt;&gt;""),COLUMN(C73:Q73))-2,0)</f>
        <v>#NAME?</v>
      </c>
      <c r="U73" s="12">
        <f t="shared" si="1"/>
        <v>15</v>
      </c>
      <c r="V73" s="12" t="e">
        <f t="shared" ca="1" si="2"/>
        <v>#NAME?</v>
      </c>
    </row>
    <row r="74" spans="1:22" ht="12.75">
      <c r="A74" s="9" t="str">
        <v>CIE</v>
      </c>
      <c r="B74" s="9" t="str">
        <v>CIE 408</v>
      </c>
      <c r="C74" s="10">
        <v>2020</v>
      </c>
      <c r="D74" s="10" t="str">
        <v>SPRING</v>
      </c>
      <c r="E74" s="10" t="str">
        <v>Describe and differentiate between CISC and RISC processors, and the main features of HARVARD Architecture.</v>
      </c>
      <c r="F74" s="10" t="str">
        <v>State the main structure features and applications of embedded controllers.</v>
      </c>
      <c r="G74" s="10" t="str">
        <v>Ability to state the features, strength and weakness of Raspberry Pi 3 board.</v>
      </c>
      <c r="H74" s="10" t="str">
        <v>State the ARM architecture family and their characteristic features</v>
      </c>
      <c r="I74" s="10" t="str">
        <v>Ability to use ARM instruction set for building assembly programs.</v>
      </c>
      <c r="J74" s="10" t="str">
        <v>Ability to configure I/O ports and use them for digital interfacing.</v>
      </c>
      <c r="K74" s="10" t="str">
        <v>Ability to configure USART for asynchronous serial communication, and select I2C or SPI for specific application.</v>
      </c>
      <c r="L74" s="11" t="str">
        <v>Ability to configure and use Timer/counter units, compare/capture, and PWM in applications.</v>
      </c>
      <c r="M74" s="11" t="str">
        <v>Ability to configure and program A/D converter and the analog channels multiplexer.</v>
      </c>
      <c r="N74" s="11" t="str">
        <v>Identify the types of interrupts and how to enable/disable them</v>
      </c>
      <c r="O74" s="10" t="str">
        <v>State the main features of wireless Wi-Fi and wireless sensor networks.</v>
      </c>
      <c r="P74" s="11" t="str">
        <v>State the main components and features of RTOS.</v>
      </c>
      <c r="Q74" s="11" t="str">
        <v>Ability to design and build embedded applications, and to program microcontrollers using a high level language to build robotic applications</v>
      </c>
      <c r="R74" s="12" t="b">
        <f t="shared" si="0"/>
        <v>1</v>
      </c>
      <c r="S74" s="12" t="str">
        <v>ENV 510</v>
      </c>
      <c r="T74" s="12" t="e">
        <f t="array" aca="1" ref="T74" ca="1">_xludf.IFNA(LOOKUP(2,1/(C74:Q74&lt;&gt;""),COLUMN(C74:Q74))-2,0)</f>
        <v>#NAME?</v>
      </c>
      <c r="U74" s="12">
        <f t="shared" si="1"/>
        <v>15</v>
      </c>
      <c r="V74" s="12" t="e">
        <f t="shared" ca="1" si="2"/>
        <v>#NAME?</v>
      </c>
    </row>
    <row r="75" spans="1:22" ht="12.75">
      <c r="A75" s="9" t="str">
        <v>CIE</v>
      </c>
      <c r="B75" s="9" t="str">
        <v>CIE 417</v>
      </c>
      <c r="C75" s="10">
        <v>2020</v>
      </c>
      <c r="D75" s="10" t="str">
        <v>SPRING</v>
      </c>
      <c r="E75" s="10" t="str">
        <v>Understand the basic principles underlying machine learning algorithms and their applications in data processing and analysis.</v>
      </c>
      <c r="F75" s="10" t="str">
        <v>Evaluate different learning algorithms and understand their weaknesses and strengths.</v>
      </c>
      <c r="G75" s="10" t="str">
        <v>Apply a variety of machine learning algorithms in a range of practical applications.</v>
      </c>
      <c r="H75" s="10" t="str">
        <v>Distinguish between supervised and unsupervised learning methods and understand their limitations.</v>
      </c>
      <c r="I75" s="10" t="str">
        <v>Develop machine learning models and use them to make classifications, clustering and predictions.</v>
      </c>
      <c r="J75" s="10">
        <v>0</v>
      </c>
      <c r="K75" s="10">
        <v>0</v>
      </c>
      <c r="L75" s="11">
        <v>0</v>
      </c>
      <c r="M75" s="11">
        <v>0</v>
      </c>
      <c r="N75" s="11">
        <v>0</v>
      </c>
      <c r="O75" s="10">
        <v>0</v>
      </c>
      <c r="P75" s="11">
        <v>0</v>
      </c>
      <c r="Q75" s="11">
        <v>0</v>
      </c>
      <c r="R75" s="12" t="b">
        <f t="shared" si="0"/>
        <v>1</v>
      </c>
      <c r="S75" s="12" t="str">
        <v>ENV 527</v>
      </c>
      <c r="T75" s="12" t="e">
        <f t="array" aca="1" ref="T75" ca="1">_xludf.IFNA(LOOKUP(2,1/(C75:Q75&lt;&gt;""),COLUMN(C75:Q75))-2,0)</f>
        <v>#NAME?</v>
      </c>
      <c r="U75" s="12">
        <f t="shared" si="1"/>
        <v>15</v>
      </c>
      <c r="V75" s="12" t="e">
        <f t="shared" ca="1" si="2"/>
        <v>#NAME?</v>
      </c>
    </row>
    <row r="76" spans="1:22" ht="12.75">
      <c r="A76" s="9" t="str">
        <v>CIE</v>
      </c>
      <c r="B76" s="9" t="str">
        <v>CIE 425</v>
      </c>
      <c r="C76" s="10">
        <v>2020</v>
      </c>
      <c r="D76" s="10" t="str">
        <v>SPRING</v>
      </c>
      <c r="E76" s="10" t="str">
        <v>Understand the concept of entropy in information theory.</v>
      </c>
      <c r="F76" s="10" t="str">
        <v>Measure the amount of information in a discrete memoryless source.</v>
      </c>
      <c r="G76" s="10" t="str">
        <v>Design efficient source codes for discrete memoryless sources.</v>
      </c>
      <c r="H76" s="10" t="str">
        <v>Implement different source coding algorithms using CAD tools and appraise the associated trade-offs.</v>
      </c>
      <c r="I76" s="10" t="str">
        <v>Evaluate the performance of different source coding algorithms in terms of the code efficiency.</v>
      </c>
      <c r="J76" s="10" t="str">
        <v>Understand the concept of channel capacity in information theory.</v>
      </c>
      <c r="K76" s="10" t="str">
        <v>Analyze the capacity of a binary symmetric channel starting from the conditional entropy and mutual information concepts.</v>
      </c>
      <c r="L76" s="11" t="str">
        <v>Design and implement linear block codes and the syndrome decoder.</v>
      </c>
      <c r="M76" s="11" t="str">
        <v>Determine the state diagram and trellis diagram of a convolutional encoder.</v>
      </c>
      <c r="N76" s="11" t="str">
        <v>Design and implement efficient convolutional encoders and decoders.</v>
      </c>
      <c r="O76" s="10" t="str">
        <v>Appraise the information rate versus error rate trade-off in the design of channel codes.</v>
      </c>
      <c r="P76" s="11" t="str">
        <v>Evaluate the complexity of different coding techniques and appraise the associated trade-offs.</v>
      </c>
      <c r="Q76" s="11">
        <v>0</v>
      </c>
      <c r="R76" s="12" t="b">
        <f t="shared" si="0"/>
        <v>1</v>
      </c>
      <c r="S76" s="12" t="str">
        <v>ENV 528</v>
      </c>
      <c r="T76" s="12" t="e">
        <f t="array" aca="1" ref="T76" ca="1">_xludf.IFNA(LOOKUP(2,1/(C76:Q76&lt;&gt;""),COLUMN(C76:Q76))-2,0)</f>
        <v>#NAME?</v>
      </c>
      <c r="U76" s="12">
        <f t="shared" si="1"/>
        <v>15</v>
      </c>
      <c r="V76" s="12" t="e">
        <f t="shared" ca="1" si="2"/>
        <v>#NAME?</v>
      </c>
    </row>
    <row r="77" spans="1:22" ht="12.75">
      <c r="A77" s="9" t="str">
        <v>CIE</v>
      </c>
      <c r="B77" s="9" t="str">
        <v>CIE 427</v>
      </c>
      <c r="C77" s="10">
        <v>2020</v>
      </c>
      <c r="D77" s="10" t="str">
        <v>SPRING</v>
      </c>
      <c r="E77" s="10" t="str">
        <v>Describe fundamental components such as MapReduce, HDFS, Spark, and YARN</v>
      </c>
      <c r="F77" s="10" t="str">
        <v>Describe the fundamentals of HBase distributed database.</v>
      </c>
      <c r="G77" s="10" t="str">
        <v>Analyze big data sets using MapReduce, Hive and Pig</v>
      </c>
      <c r="H77" s="10" t="str">
        <v>Analyze big data sets using Spark</v>
      </c>
      <c r="I77" s="10" t="str">
        <v>Use data ingestion tools such as Flume (for streaming data) and Sqoop (for bulk data transfer)</v>
      </c>
      <c r="J77" s="10" t="str">
        <v>Work in a team to solve real life problems</v>
      </c>
      <c r="K77" s="10" t="str">
        <v>Set up and maintain a Hadoop cluster running HDFS and MapReduce on YARN</v>
      </c>
      <c r="L77" s="11">
        <v>0</v>
      </c>
      <c r="M77" s="11">
        <v>0</v>
      </c>
      <c r="N77" s="11">
        <v>0</v>
      </c>
      <c r="O77" s="10">
        <v>0</v>
      </c>
      <c r="P77" s="11">
        <v>0</v>
      </c>
      <c r="Q77" s="11">
        <v>0</v>
      </c>
      <c r="R77" s="12" t="b">
        <f t="shared" si="0"/>
        <v>1</v>
      </c>
      <c r="S77" s="12" t="str">
        <v>Math 101</v>
      </c>
      <c r="T77" s="12" t="e">
        <f t="array" aca="1" ref="T77" ca="1">_xludf.IFNA(LOOKUP(2,1/(C77:Q77&lt;&gt;""),COLUMN(C77:Q77))-2,0)</f>
        <v>#NAME?</v>
      </c>
      <c r="U77" s="12">
        <f t="shared" si="1"/>
        <v>15</v>
      </c>
      <c r="V77" s="12" t="e">
        <f t="shared" ca="1" si="2"/>
        <v>#NAME?</v>
      </c>
    </row>
    <row r="78" spans="1:22" ht="12.75">
      <c r="A78" s="9" t="str">
        <v>CIE</v>
      </c>
      <c r="B78" s="9" t="str">
        <v>CIE 428</v>
      </c>
      <c r="C78" s="10">
        <v>2020</v>
      </c>
      <c r="D78" s="10" t="str">
        <v>SPRING</v>
      </c>
      <c r="E78" s="10" t="str">
        <v>Ability to apply the Gram-Schmidt Orthogonalization procedure to obtain signal-space representation.</v>
      </c>
      <c r="F78" s="10" t="str">
        <v>Ability to appraise the Maximum A posteriori Probability (MAP) and the Maximum Likelihood (ML) decision rules for optimal reception.</v>
      </c>
      <c r="G78" s="10" t="str">
        <v>Ability to compare between different types of pass-band digital modulation schemes, namely ASK, PSK and FSK from the point of view of performance and bandwidth efficiency.</v>
      </c>
      <c r="H78" s="10" t="str">
        <v>Ability to analyze and differentiate propagation characteristics of channels including free space path loss, short- and long-term fading, multi-path fading, selective frequency fading, and Doppler spread in order to investigate their effects on the link performance of wireless communication systems.</v>
      </c>
      <c r="I78" s="10" t="str">
        <v>Ability to examine possible solutions to the problem of signal fading in wireless communication links and to propose solutions for protecting wireless communication from the jamming and different interference sources</v>
      </c>
      <c r="J78" s="10" t="str">
        <v>Ability to investigate the performance of mobile radio communications using diversity and equalization techniques to solve the impairments of wireless communication channels</v>
      </c>
      <c r="K78" s="10" t="str">
        <v>Ability to integrate knowledge and understanding of other related topics to develop computer models of communication systems and compare the simulation results with experimental results.</v>
      </c>
      <c r="L78" s="11">
        <v>0</v>
      </c>
      <c r="M78" s="11">
        <v>0</v>
      </c>
      <c r="N78" s="11">
        <v>0</v>
      </c>
      <c r="O78" s="10">
        <v>0</v>
      </c>
      <c r="P78" s="11">
        <v>0</v>
      </c>
      <c r="Q78" s="11">
        <v>0</v>
      </c>
      <c r="R78" s="12" t="b">
        <f t="shared" si="0"/>
        <v>1</v>
      </c>
      <c r="S78" s="12" t="str">
        <v>Math 201</v>
      </c>
      <c r="T78" s="12" t="e">
        <f t="array" aca="1" ref="T78" ca="1">_xludf.IFNA(LOOKUP(2,1/(C78:Q78&lt;&gt;""),COLUMN(C78:Q78))-2,0)</f>
        <v>#NAME?</v>
      </c>
      <c r="U78" s="12">
        <f t="shared" si="1"/>
        <v>15</v>
      </c>
      <c r="V78" s="12" t="e">
        <f t="shared" ca="1" si="2"/>
        <v>#NAME?</v>
      </c>
    </row>
    <row r="79" spans="1:22" ht="12.75">
      <c r="A79" s="9" t="str">
        <v>CIE</v>
      </c>
      <c r="B79" s="9" t="str">
        <v>CIE 431</v>
      </c>
      <c r="C79" s="10">
        <v>2020</v>
      </c>
      <c r="D79" s="10" t="str">
        <v>SPRING</v>
      </c>
      <c r="E79" s="10" t="str">
        <v>Identify the components of a communication system and their functions.</v>
      </c>
      <c r="F79" s="10" t="str">
        <v>Identify the various modulation and demodulation techniques.</v>
      </c>
      <c r="G79" s="10" t="str">
        <v>Analyze communication systems and set their design parameters.</v>
      </c>
      <c r="H79" s="10" t="str">
        <v>Illustrate the sampling theorem and the Nyquist rate.</v>
      </c>
      <c r="I79" s="10" t="str">
        <v>Identify the kinds of quantization and the kinds of line cods.</v>
      </c>
      <c r="J79" s="10" t="str">
        <v>Calculate the probability of error for digital communications receivers.</v>
      </c>
      <c r="K79" s="10" t="str">
        <v>Design matched filters for optimum ISI-free communication.</v>
      </c>
      <c r="L79" s="11" t="str">
        <v>Integrate knowledge and understanding of other related topics to develop computer models of communication systems.</v>
      </c>
      <c r="M79" s="11">
        <v>0</v>
      </c>
      <c r="N79" s="11">
        <v>0</v>
      </c>
      <c r="O79" s="10">
        <v>0</v>
      </c>
      <c r="P79" s="11">
        <v>0</v>
      </c>
      <c r="Q79" s="11">
        <v>0</v>
      </c>
      <c r="R79" s="12" t="b">
        <f t="shared" ca="1" si="0"/>
        <v>0</v>
      </c>
      <c r="S79" s="12" t="str">
        <v>MATH 201</v>
      </c>
      <c r="T79" s="12" t="e">
        <f t="array" aca="1" ref="T79" ca="1">_xludf.IFNA(LOOKUP(2,1/(C79:Q79&lt;&gt;""),COLUMN(C79:Q79))-2,0)</f>
        <v>#NAME?</v>
      </c>
      <c r="U79" s="12">
        <f t="shared" si="1"/>
        <v>15</v>
      </c>
      <c r="V79" s="12" t="e">
        <f t="shared" ca="1" si="2"/>
        <v>#NAME?</v>
      </c>
    </row>
    <row r="80" spans="1:22" ht="12.75">
      <c r="A80" s="9" t="str">
        <v>CIE</v>
      </c>
      <c r="B80" s="9" t="str">
        <v>CIE 442</v>
      </c>
      <c r="C80" s="10">
        <v>2020</v>
      </c>
      <c r="D80" s="10" t="str">
        <v>SPRING</v>
      </c>
      <c r="E80" s="10" t="str">
        <v>Distinguish between different implementations of discrete time systems and evaluate their efficiency.</v>
      </c>
      <c r="F80" s="10" t="str">
        <v>Investigate the difference between recursive IIR and non-recursive FIR digital filters.</v>
      </c>
      <c r="G80" s="10" t="str">
        <v>Categorize and analyze different techniques and realizations used in the design of IIR and FIR digital filters.</v>
      </c>
      <c r="H80" s="10" t="str">
        <v>Appraise the trade-offs associated with spectral estimation and filter design.</v>
      </c>
      <c r="I80" s="10" t="str">
        <v>Design efficient digital filter structures for sample rate conversion, i.e., interpolation and decimation.</v>
      </c>
      <c r="J80" s="10" t="str">
        <v>Develop software simulations to analyze and design various applications of discrete time systems, and evaluate the performance to meet the expected system specifications.</v>
      </c>
      <c r="K80" s="10" t="str">
        <v>Design and examine digital signal processing algorithms for applications related to digital communications, data acquisition, spectrum analysis, etc.</v>
      </c>
      <c r="L80" s="11">
        <v>0</v>
      </c>
      <c r="M80" s="11">
        <v>0</v>
      </c>
      <c r="N80" s="11">
        <v>0</v>
      </c>
      <c r="O80" s="10">
        <v>0</v>
      </c>
      <c r="P80" s="11">
        <v>0</v>
      </c>
      <c r="Q80" s="11">
        <v>0</v>
      </c>
      <c r="R80" s="12" t="b">
        <f t="shared" si="0"/>
        <v>1</v>
      </c>
      <c r="S80" s="12" t="str">
        <v>Math 203</v>
      </c>
      <c r="T80" s="12" t="e">
        <f t="array" aca="1" ref="T80" ca="1">_xludf.IFNA(LOOKUP(2,1/(C80:Q80&lt;&gt;""),COLUMN(C80:Q80))-2,0)</f>
        <v>#NAME?</v>
      </c>
      <c r="U80" s="12">
        <f t="shared" si="1"/>
        <v>15</v>
      </c>
      <c r="V80" s="12" t="e">
        <f t="shared" ca="1" si="2"/>
        <v>#NAME?</v>
      </c>
    </row>
    <row r="81" spans="1:22" ht="12.75">
      <c r="A81" s="9" t="str">
        <v>CIE</v>
      </c>
      <c r="B81" s="9" t="str">
        <v>CIE 458</v>
      </c>
      <c r="C81" s="10">
        <v>2020</v>
      </c>
      <c r="D81" s="10" t="str">
        <v>SPRING</v>
      </c>
      <c r="E81" s="10" t="str">
        <v>Understand the foundational principles of artificial intelligence and how to distinguish systems with artificial-intelligence capabilities.</v>
      </c>
      <c r="F81" s="10" t="str">
        <v>Explain common AI general-purpose search techniques and how they are applied to solve practical problems.</v>
      </c>
      <c r="G81" s="10" t="str">
        <v>Apply a variety of artificial intelligence techniques to build autonomous agents.</v>
      </c>
      <c r="H81" s="10" t="str">
        <v>Describe the operation of knowledge-based agents and the foundations of knowledge representation and logical inference.</v>
      </c>
      <c r="I81" s="10" t="str">
        <v>Recognize some of the techniques that agents can use to handle uncertainty and apply these techniques in practical scenarios.</v>
      </c>
      <c r="J81" s="10">
        <v>0</v>
      </c>
      <c r="K81" s="10">
        <v>0</v>
      </c>
      <c r="L81" s="11">
        <v>0</v>
      </c>
      <c r="M81" s="11">
        <v>0</v>
      </c>
      <c r="N81" s="11">
        <v>0</v>
      </c>
      <c r="O81" s="10">
        <v>0</v>
      </c>
      <c r="P81" s="11">
        <v>0</v>
      </c>
      <c r="Q81" s="11">
        <v>0</v>
      </c>
      <c r="R81" s="12" t="b">
        <f t="shared" si="0"/>
        <v>1</v>
      </c>
      <c r="S81" s="12" t="str">
        <v>Math 302</v>
      </c>
      <c r="T81" s="12" t="e">
        <f t="array" aca="1" ref="T81" ca="1">_xludf.IFNA(LOOKUP(2,1/(C81:Q81&lt;&gt;""),COLUMN(C81:Q81))-2,0)</f>
        <v>#NAME?</v>
      </c>
      <c r="U81" s="12">
        <f t="shared" si="1"/>
        <v>15</v>
      </c>
      <c r="V81" s="12" t="e">
        <f t="shared" ca="1" si="2"/>
        <v>#NAME?</v>
      </c>
    </row>
    <row r="82" spans="1:22" ht="12.75">
      <c r="A82" s="9" t="str">
        <v>CIE</v>
      </c>
      <c r="B82" s="9" t="str">
        <v>CIE 464</v>
      </c>
      <c r="C82" s="10">
        <v>2020</v>
      </c>
      <c r="D82" s="10" t="str">
        <v>SPRING</v>
      </c>
      <c r="E82" s="10">
        <v>0</v>
      </c>
      <c r="F82" s="10">
        <v>0</v>
      </c>
      <c r="G82" s="10">
        <v>0</v>
      </c>
      <c r="H82" s="10">
        <v>0</v>
      </c>
      <c r="I82" s="10">
        <v>0</v>
      </c>
      <c r="J82" s="10">
        <v>0</v>
      </c>
      <c r="K82" s="10">
        <v>0</v>
      </c>
      <c r="L82" s="11">
        <v>0</v>
      </c>
      <c r="M82" s="11">
        <v>0</v>
      </c>
      <c r="N82" s="11">
        <v>0</v>
      </c>
      <c r="O82" s="10">
        <v>0</v>
      </c>
      <c r="P82" s="11">
        <v>0</v>
      </c>
      <c r="Q82" s="11">
        <v>0</v>
      </c>
      <c r="R82" s="12" t="b">
        <f t="shared" ca="1" si="0"/>
        <v>0</v>
      </c>
      <c r="S82" s="12" t="str">
        <v>MATH 302</v>
      </c>
      <c r="T82" s="12" t="e">
        <f t="array" aca="1" ref="T82" ca="1">_xludf.IFNA(LOOKUP(2,1/(C82:Q82&lt;&gt;""),COLUMN(C82:Q82))-2,0)</f>
        <v>#NAME?</v>
      </c>
      <c r="U82" s="12">
        <f t="shared" si="1"/>
        <v>15</v>
      </c>
      <c r="V82" s="12" t="e">
        <f t="shared" ca="1" si="2"/>
        <v>#NAME?</v>
      </c>
    </row>
    <row r="83" spans="1:22" ht="12.75">
      <c r="A83" s="9" t="str">
        <v>CIE</v>
      </c>
      <c r="B83" s="9" t="str">
        <v>CIE 508</v>
      </c>
      <c r="C83" s="10">
        <v>2020</v>
      </c>
      <c r="D83" s="10" t="str">
        <v>SPRING</v>
      </c>
      <c r="E83" s="10">
        <v>0</v>
      </c>
      <c r="F83" s="10">
        <v>0</v>
      </c>
      <c r="G83" s="10">
        <v>0</v>
      </c>
      <c r="H83" s="10">
        <v>0</v>
      </c>
      <c r="I83" s="10">
        <v>0</v>
      </c>
      <c r="J83" s="10">
        <v>0</v>
      </c>
      <c r="K83" s="10">
        <v>0</v>
      </c>
      <c r="L83" s="11">
        <v>0</v>
      </c>
      <c r="M83" s="11">
        <v>0</v>
      </c>
      <c r="N83" s="11">
        <v>0</v>
      </c>
      <c r="O83" s="10">
        <v>0</v>
      </c>
      <c r="P83" s="11">
        <v>0</v>
      </c>
      <c r="Q83" s="11">
        <v>0</v>
      </c>
      <c r="R83" s="12" t="b">
        <f t="shared" ca="1" si="0"/>
        <v>0</v>
      </c>
      <c r="S83" s="12" t="str">
        <v>Math 306</v>
      </c>
      <c r="T83" s="12" t="e">
        <f t="array" aca="1" ref="T83" ca="1">_xludf.IFNA(LOOKUP(2,1/(C83:Q83&lt;&gt;""),COLUMN(C83:Q83))-2,0)</f>
        <v>#NAME?</v>
      </c>
      <c r="U83" s="12">
        <f t="shared" si="1"/>
        <v>15</v>
      </c>
      <c r="V83" s="12" t="e">
        <f t="shared" ca="1" si="2"/>
        <v>#NAME?</v>
      </c>
    </row>
    <row r="84" spans="1:22" ht="12.75">
      <c r="A84" s="9" t="str">
        <v>CIE</v>
      </c>
      <c r="B84" s="9" t="str">
        <v>CIE 510</v>
      </c>
      <c r="C84" s="10">
        <v>2020</v>
      </c>
      <c r="D84" s="10" t="str">
        <v>SPRING</v>
      </c>
      <c r="E84" s="10" t="str">
        <v>Define what makes wireless sensor networks different from computer networks.</v>
      </c>
      <c r="F84" s="10" t="str">
        <v>Identify the various WSN and IoT applications and the requirements of each.</v>
      </c>
      <c r="G84" s="10" t="str">
        <v>Analyze the structure of wireless sensor nodes.</v>
      </c>
      <c r="H84" s="10" t="str">
        <v>Understand the use of the Cognitive Radio concept is spectral allocation of WSN applications.</v>
      </c>
      <c r="I84" s="10" t="str">
        <v>Identify the receiver impairments that affect energy-effecient operation of sensor nodes.</v>
      </c>
      <c r="J84" s="10" t="str">
        <v>Argue and select from among various wireless MAC protocols for WSN/IoT applications.</v>
      </c>
      <c r="K84" s="10" t="str">
        <v>Integrate knowledge and understanding of WSN/IoT to develop computer simulations for existing and novel WSN-based applications.</v>
      </c>
      <c r="L84" s="11">
        <v>0</v>
      </c>
      <c r="M84" s="11">
        <v>0</v>
      </c>
      <c r="N84" s="11">
        <v>0</v>
      </c>
      <c r="O84" s="10">
        <v>0</v>
      </c>
      <c r="P84" s="11">
        <v>0</v>
      </c>
      <c r="Q84" s="11">
        <v>0</v>
      </c>
      <c r="R84" s="12" t="b">
        <f t="shared" si="0"/>
        <v>1</v>
      </c>
      <c r="S84" s="12" t="str">
        <v>MATH 306</v>
      </c>
      <c r="T84" s="12" t="e">
        <f t="array" aca="1" ref="T84" ca="1">_xludf.IFNA(LOOKUP(2,1/(C84:Q84&lt;&gt;""),COLUMN(C84:Q84))-2,0)</f>
        <v>#NAME?</v>
      </c>
      <c r="U84" s="12">
        <f t="shared" si="1"/>
        <v>15</v>
      </c>
      <c r="V84" s="12" t="e">
        <f t="shared" ca="1" si="2"/>
        <v>#NAME?</v>
      </c>
    </row>
    <row r="85" spans="1:22" ht="12.75">
      <c r="A85" s="9" t="str">
        <v>CIE</v>
      </c>
      <c r="B85" s="9" t="str">
        <v>CIE 551</v>
      </c>
      <c r="C85" s="10">
        <v>2020</v>
      </c>
      <c r="D85" s="10" t="str">
        <v>SPRING</v>
      </c>
      <c r="E85" s="10" t="str">
        <v>State and Describe examples of the swarms from biological creatures behavior.</v>
      </c>
      <c r="F85" s="10" t="str">
        <v>Describe application examples of swarm robotics.</v>
      </c>
      <c r="G85" s="10" t="str">
        <v>Derive mathematical models for leader-follower robots formations</v>
      </c>
      <c r="H85" s="10" t="str">
        <v>Describe the key features of swarm intelligence algorithms.</v>
      </c>
      <c r="I85" s="10" t="str">
        <v>Ability to write algorithms based on Particle Swarm Optimization for various applications.</v>
      </c>
      <c r="J85" s="10" t="str">
        <v>Ability to use Swarm Intelligence Algorithms to solve robotics navigation problems.</v>
      </c>
      <c r="K85" s="10" t="str">
        <v>Ability to formulate swarm robotics applications using cluster space approach.</v>
      </c>
      <c r="L85" s="11" t="str">
        <v>Ability to solve swarm formations, robot cooperation, and robots coordination using Null space approach.</v>
      </c>
      <c r="M85" s="11" t="str">
        <v>Ability to use Matlab, ROS-Gazebo, and ARGOS robotic simulation environments.</v>
      </c>
      <c r="N85" s="11" t="str">
        <v>Ability to use robotic simulation environments for solving swarm robotics applications.</v>
      </c>
      <c r="O85" s="10">
        <v>0</v>
      </c>
      <c r="P85" s="11">
        <v>0</v>
      </c>
      <c r="Q85" s="11">
        <v>0</v>
      </c>
      <c r="R85" s="12" t="b">
        <f t="shared" ca="1" si="0"/>
        <v>0</v>
      </c>
      <c r="S85" s="12" t="str">
        <v>Math 404</v>
      </c>
      <c r="T85" s="12" t="e">
        <f t="array" aca="1" ref="T85" ca="1">_xludf.IFNA(LOOKUP(2,1/(C85:Q85&lt;&gt;""),COLUMN(C85:Q85))-2,0)</f>
        <v>#NAME?</v>
      </c>
      <c r="U85" s="12">
        <f t="shared" si="1"/>
        <v>15</v>
      </c>
      <c r="V85" s="12" t="e">
        <f t="shared" ca="1" si="2"/>
        <v>#NAME?</v>
      </c>
    </row>
    <row r="86" spans="1:22" ht="12.75">
      <c r="A86" s="9" t="str">
        <v>CIE</v>
      </c>
      <c r="B86" s="9" t="str">
        <v>CIE 552</v>
      </c>
      <c r="C86" s="10">
        <v>2020</v>
      </c>
      <c r="D86" s="10" t="str">
        <v>SPRING</v>
      </c>
      <c r="E86" s="10" t="str">
        <v>Explain, implement and test fundamental computer vision techniques, e.g., image filtering, enhancement, and manipulation</v>
      </c>
      <c r="F86" s="10" t="str">
        <v>Explain, implement and test object recognition techniques</v>
      </c>
      <c r="G86" s="10" t="str">
        <v>Explain, implement and test the geometric relationships between 2D images and the 3D world.</v>
      </c>
      <c r="H86" s="10" t="str">
        <v>Explain, implement and test fundamental deep learning techniques used in computer vision</v>
      </c>
      <c r="I86" s="10" t="str">
        <v>Analyze and evaluate critically computer vision algorithms and systems.</v>
      </c>
      <c r="J86" s="10" t="str">
        <v>Critically review and assess scientific literature and apply the knowledge and skills gained from the course in developing innovative applications.</v>
      </c>
      <c r="K86" s="10">
        <v>0</v>
      </c>
      <c r="L86" s="11">
        <v>0</v>
      </c>
      <c r="M86" s="11">
        <v>0</v>
      </c>
      <c r="N86" s="11">
        <v>0</v>
      </c>
      <c r="O86" s="10">
        <v>0</v>
      </c>
      <c r="P86" s="11">
        <v>0</v>
      </c>
      <c r="Q86" s="11">
        <v>0</v>
      </c>
      <c r="R86" s="12" t="b">
        <f t="shared" ca="1" si="0"/>
        <v>0</v>
      </c>
      <c r="S86" s="12" t="str">
        <v>MATSCI 201</v>
      </c>
      <c r="T86" s="12" t="e">
        <f t="array" aca="1" ref="T86" ca="1">_xludf.IFNA(LOOKUP(2,1/(C86:Q86&lt;&gt;""),COLUMN(C86:Q86))-2,0)</f>
        <v>#NAME?</v>
      </c>
      <c r="U86" s="12">
        <f t="shared" si="1"/>
        <v>15</v>
      </c>
      <c r="V86" s="12" t="e">
        <f t="shared" ca="1" si="2"/>
        <v>#NAME?</v>
      </c>
    </row>
    <row r="87" spans="1:22" ht="12.75">
      <c r="A87" s="9" t="str">
        <v>CIE</v>
      </c>
      <c r="B87" s="9" t="str">
        <v>CIE 553</v>
      </c>
      <c r="C87" s="10">
        <v>2020</v>
      </c>
      <c r="D87" s="10" t="str">
        <v>SPRING</v>
      </c>
      <c r="E87" s="10" t="str">
        <v>Understand the field of natural language processing in terms of techniques, applications and challenges.</v>
      </c>
      <c r="F87" s="10" t="str">
        <v>Discriminate the levels of difficulties and the recent findings in NLP applications.</v>
      </c>
      <c r="G87" s="10" t="str">
        <v>Analyze the theoretical underpinnings of natural language processing in linguistics and formal language theory.</v>
      </c>
      <c r="H87" s="10" t="str">
        <v>Investigate the hand written rules and machine learning technologies adopted to address different NLP applications.</v>
      </c>
      <c r="I87" s="10" t="str">
        <v>Implement a working NLP application to address a real life problem.</v>
      </c>
      <c r="J87" s="10" t="str">
        <v>Justify the findings and the outcomes of the NLP research project.</v>
      </c>
      <c r="K87" s="10" t="str">
        <v>Evaluate the capabilities and limitations of current natural language technologies, and some of the baseline algorithms and techniques that underlie these technologies.</v>
      </c>
      <c r="L87" s="11" t="str">
        <v>Retrieve information from a variety of sources that fit the field of NLP.</v>
      </c>
      <c r="M87" s="11" t="str">
        <v>Collaborate with project team members to get the term project implemented, documented, and presented.</v>
      </c>
      <c r="N87" s="11">
        <v>0</v>
      </c>
      <c r="O87" s="10">
        <v>0</v>
      </c>
      <c r="P87" s="11">
        <v>0</v>
      </c>
      <c r="Q87" s="11">
        <v>0</v>
      </c>
      <c r="R87" s="12" t="b">
        <f t="shared" si="0"/>
        <v>1</v>
      </c>
      <c r="S87" s="12" t="str">
        <v>MATSCI 204</v>
      </c>
      <c r="T87" s="12" t="e">
        <f t="array" aca="1" ref="T87" ca="1">_xludf.IFNA(LOOKUP(2,1/(C87:Q87&lt;&gt;""),COLUMN(C87:Q87))-2,0)</f>
        <v>#NAME?</v>
      </c>
      <c r="U87" s="12">
        <f t="shared" si="1"/>
        <v>15</v>
      </c>
      <c r="V87" s="12" t="e">
        <f t="shared" ca="1" si="2"/>
        <v>#NAME?</v>
      </c>
    </row>
    <row r="88" spans="1:22" ht="12.75">
      <c r="A88" s="9" t="str">
        <v>CIE</v>
      </c>
      <c r="B88" s="9" t="str">
        <v>CIE 555</v>
      </c>
      <c r="C88" s="10">
        <v>2020</v>
      </c>
      <c r="D88" s="10" t="str">
        <v>SPRING</v>
      </c>
      <c r="E88" s="10" t="str">
        <v>Understand the fundamentals of neural networks and how they are used to solve machine learning problems.</v>
      </c>
      <c r="F88" s="10" t="str">
        <v>Identify key deep learning models and their applications in areas such as computer vision, speech recognition, robotics and natural language processing.</v>
      </c>
      <c r="G88" s="10" t="str">
        <v>Describe common optimization strategies in training deep architectures.</v>
      </c>
      <c r="H88" s="10" t="str">
        <v>Design from scratch and train deep convolutional and recurrent neural networks models.</v>
      </c>
      <c r="I88" s="10" t="str">
        <v>Understand selected deep unsupervised learning techniques and outline some of their applications</v>
      </c>
      <c r="J88" s="10" t="str">
        <v>Discuss some of the ongoing deep learning research efforts and recognize some of the open problems</v>
      </c>
      <c r="K88" s="10">
        <v>0</v>
      </c>
      <c r="L88" s="11">
        <v>0</v>
      </c>
      <c r="M88" s="11">
        <v>0</v>
      </c>
      <c r="N88" s="11">
        <v>0</v>
      </c>
      <c r="O88" s="10">
        <v>0</v>
      </c>
      <c r="P88" s="11">
        <v>0</v>
      </c>
      <c r="Q88" s="11">
        <v>0</v>
      </c>
      <c r="R88" s="12" t="b">
        <f t="shared" ca="1" si="0"/>
        <v>0</v>
      </c>
      <c r="S88" s="12" t="str">
        <v>MATSCI 214</v>
      </c>
      <c r="T88" s="12" t="e">
        <f t="array" aca="1" ref="T88" ca="1">_xludf.IFNA(LOOKUP(2,1/(C88:Q88&lt;&gt;""),COLUMN(C88:Q88))-2,0)</f>
        <v>#NAME?</v>
      </c>
      <c r="U88" s="12">
        <f t="shared" si="1"/>
        <v>15</v>
      </c>
      <c r="V88" s="12" t="e">
        <f t="shared" ca="1" si="2"/>
        <v>#NAME?</v>
      </c>
    </row>
    <row r="89" spans="1:22" ht="12.75">
      <c r="A89" s="9" t="str">
        <v>CIE</v>
      </c>
      <c r="B89" s="9" t="str">
        <v>CIE 556</v>
      </c>
      <c r="C89" s="10">
        <v>2020</v>
      </c>
      <c r="D89" s="10" t="str">
        <v>SPRING</v>
      </c>
      <c r="E89" s="10" t="str">
        <v>Describe spoken language interface, its architectures and applications.</v>
      </c>
      <c r="F89" s="10" t="str">
        <v>Describe the human sound production system and sound perception</v>
      </c>
      <c r="G89" s="10" t="str">
        <v>Describe the Arabic phonemes,their acoustic classifications, and their manner of articulation</v>
      </c>
      <c r="H89" s="10" t="str">
        <v>Analyse speech signals using spectrograms, and formant formant frequencies</v>
      </c>
      <c r="I89" s="10" t="str">
        <v>Use appropriate tools to produce the mfcc speech feature vectors</v>
      </c>
      <c r="J89" s="10" t="str">
        <v>Describre the HMM model, transition matric, and emission probabilities.</v>
      </c>
      <c r="K89" s="10" t="str">
        <v>Describe Arabic speech recognition system, phone set, phonetic dictionary and language model.</v>
      </c>
      <c r="L89" s="11" t="str">
        <v>Describe Arabic text to speech systems, lettter to phone rules and speech synthesis from the phone models</v>
      </c>
      <c r="M89" s="11" t="str">
        <v>Describe the automatic diacritization of Arabic text, and the HMM-viterbi method.</v>
      </c>
      <c r="N89" s="11" t="str">
        <v>Use state of the art seq2seq and Deepspeech for speech recognition and other Arabic speech applications.</v>
      </c>
      <c r="O89" s="10">
        <v>0</v>
      </c>
      <c r="P89" s="11">
        <v>0</v>
      </c>
      <c r="Q89" s="11">
        <v>0</v>
      </c>
      <c r="R89" s="12" t="b">
        <f t="shared" si="0"/>
        <v>1</v>
      </c>
      <c r="S89" s="12" t="str">
        <v>MATSCI 303</v>
      </c>
      <c r="T89" s="12" t="e">
        <f t="array" aca="1" ref="T89" ca="1">_xludf.IFNA(LOOKUP(2,1/(C89:Q89&lt;&gt;""),COLUMN(C89:Q89))-2,0)</f>
        <v>#NAME?</v>
      </c>
      <c r="U89" s="12">
        <f t="shared" si="1"/>
        <v>15</v>
      </c>
      <c r="V89" s="12" t="e">
        <f t="shared" ca="1" si="2"/>
        <v>#NAME?</v>
      </c>
    </row>
    <row r="90" spans="1:22" ht="12.75">
      <c r="A90" s="9" t="str">
        <v>CIE</v>
      </c>
      <c r="B90" s="9" t="str">
        <v>CIE 564</v>
      </c>
      <c r="C90" s="17">
        <v>2020</v>
      </c>
      <c r="D90" s="17" t="str">
        <v>SPRING</v>
      </c>
      <c r="E90" s="17" t="str">
        <v>identify the differences between serial computing and parallel computing paradigms.</v>
      </c>
      <c r="F90" s="17" t="str">
        <v>distinguish between the different parallel and distributed computing architectures.</v>
      </c>
      <c r="G90" s="17" t="str">
        <v>analyze the performance of parallel algorithms.</v>
      </c>
      <c r="H90" s="17" t="str">
        <v>develop parallel programs using message passing paradigm.</v>
      </c>
      <c r="I90" s="10" t="str">
        <v>develop parallel programs using shared address space paradigm.</v>
      </c>
      <c r="J90" s="10" t="str">
        <v>describe the Mapreduce programming model.</v>
      </c>
      <c r="K90" s="10">
        <v>0</v>
      </c>
      <c r="L90" s="11">
        <v>0</v>
      </c>
      <c r="M90" s="11">
        <v>0</v>
      </c>
      <c r="N90" s="11">
        <v>0</v>
      </c>
      <c r="O90" s="10">
        <v>0</v>
      </c>
      <c r="P90" s="11">
        <v>0</v>
      </c>
      <c r="Q90" s="11">
        <v>0</v>
      </c>
      <c r="R90" s="12" t="b">
        <f t="shared" si="0"/>
        <v>1</v>
      </c>
      <c r="S90" s="12" t="str">
        <v>MATSCI 318</v>
      </c>
      <c r="T90" s="12" t="e">
        <f t="array" aca="1" ref="T90" ca="1">_xludf.IFNA(LOOKUP(2,1/(C90:Q90&lt;&gt;""),COLUMN(C90:Q90))-2,0)</f>
        <v>#NAME?</v>
      </c>
      <c r="U90" s="12">
        <f t="shared" si="1"/>
        <v>15</v>
      </c>
      <c r="V90" s="12" t="e">
        <f t="shared" ca="1" si="2"/>
        <v>#NAME?</v>
      </c>
    </row>
    <row r="91" spans="1:22" ht="12.75">
      <c r="A91" s="9" t="str">
        <v>CIE</v>
      </c>
      <c r="B91" s="9" t="str">
        <v>CIE 598</v>
      </c>
      <c r="C91" s="10">
        <v>2020</v>
      </c>
      <c r="D91" s="10" t="str">
        <v>SPRING</v>
      </c>
      <c r="E91" s="10">
        <v>0</v>
      </c>
      <c r="F91" s="10">
        <v>0</v>
      </c>
      <c r="G91" s="10">
        <v>0</v>
      </c>
      <c r="H91" s="10">
        <v>0</v>
      </c>
      <c r="I91" s="10">
        <v>0</v>
      </c>
      <c r="J91" s="10">
        <v>0</v>
      </c>
      <c r="K91" s="10">
        <v>0</v>
      </c>
      <c r="L91" s="11">
        <v>0</v>
      </c>
      <c r="M91" s="11">
        <v>0</v>
      </c>
      <c r="N91" s="11">
        <v>0</v>
      </c>
      <c r="O91" s="10">
        <v>0</v>
      </c>
      <c r="P91" s="11">
        <v>0</v>
      </c>
      <c r="Q91" s="11">
        <v>0</v>
      </c>
      <c r="R91" s="12" t="b">
        <f t="shared" ca="1" si="0"/>
        <v>0</v>
      </c>
      <c r="S91" s="12" t="str">
        <v>MATSCI 405</v>
      </c>
      <c r="T91" s="12" t="e">
        <f t="array" aca="1" ref="T91" ca="1">_xludf.IFNA(LOOKUP(2,1/(C91:Q91&lt;&gt;""),COLUMN(C91:Q91))-2,0)</f>
        <v>#NAME?</v>
      </c>
      <c r="U91" s="12">
        <f t="shared" si="1"/>
        <v>15</v>
      </c>
      <c r="V91" s="12" t="e">
        <f t="shared" ca="1" si="2"/>
        <v>#NAME?</v>
      </c>
    </row>
    <row r="92" spans="1:22" ht="12.75">
      <c r="A92" s="9" t="str">
        <v>CIE</v>
      </c>
      <c r="B92" s="9" t="str">
        <v>CIE 602</v>
      </c>
      <c r="C92" s="10">
        <v>2020</v>
      </c>
      <c r="D92" s="10" t="str">
        <v>SPRING</v>
      </c>
      <c r="E92" s="10">
        <v>0</v>
      </c>
      <c r="F92" s="10">
        <v>0</v>
      </c>
      <c r="G92" s="10">
        <v>0</v>
      </c>
      <c r="H92" s="10">
        <v>0</v>
      </c>
      <c r="I92" s="10">
        <v>0</v>
      </c>
      <c r="J92" s="10">
        <v>0</v>
      </c>
      <c r="K92" s="10">
        <v>0</v>
      </c>
      <c r="L92" s="11">
        <v>0</v>
      </c>
      <c r="M92" s="11">
        <v>0</v>
      </c>
      <c r="N92" s="11">
        <v>0</v>
      </c>
      <c r="O92" s="10">
        <v>0</v>
      </c>
      <c r="P92" s="11">
        <v>0</v>
      </c>
      <c r="Q92" s="11">
        <v>0</v>
      </c>
      <c r="R92" s="12" t="b">
        <f t="shared" ca="1" si="0"/>
        <v>0</v>
      </c>
      <c r="S92" s="12" t="str">
        <v>MATSCI 411</v>
      </c>
      <c r="T92" s="12" t="e">
        <f t="array" aca="1" ref="T92" ca="1">_xludf.IFNA(LOOKUP(2,1/(C92:Q92&lt;&gt;""),COLUMN(C92:Q92))-2,0)</f>
        <v>#NAME?</v>
      </c>
      <c r="U92" s="12">
        <f t="shared" si="1"/>
        <v>15</v>
      </c>
      <c r="V92" s="12" t="e">
        <f t="shared" ca="1" si="2"/>
        <v>#NAME?</v>
      </c>
    </row>
    <row r="93" spans="1:22" ht="12.75">
      <c r="A93" s="9" t="str">
        <v>CIE</v>
      </c>
      <c r="B93" s="9" t="str">
        <v>CIE 631</v>
      </c>
      <c r="C93" s="10">
        <v>2020</v>
      </c>
      <c r="D93" s="10" t="str">
        <v>SPRING</v>
      </c>
      <c r="E93" s="10">
        <v>0</v>
      </c>
      <c r="F93" s="10">
        <v>0</v>
      </c>
      <c r="G93" s="10">
        <v>0</v>
      </c>
      <c r="H93" s="10">
        <v>0</v>
      </c>
      <c r="I93" s="10">
        <v>0</v>
      </c>
      <c r="J93" s="10">
        <v>0</v>
      </c>
      <c r="K93" s="10">
        <v>0</v>
      </c>
      <c r="L93" s="11">
        <v>0</v>
      </c>
      <c r="M93" s="11">
        <v>0</v>
      </c>
      <c r="N93" s="11">
        <v>0</v>
      </c>
      <c r="O93" s="10">
        <v>0</v>
      </c>
      <c r="P93" s="11">
        <v>0</v>
      </c>
      <c r="Q93" s="11">
        <v>0</v>
      </c>
      <c r="R93" s="12" t="b">
        <f t="shared" ca="1" si="0"/>
        <v>0</v>
      </c>
      <c r="S93" s="12" t="str">
        <v>MATSCI 463</v>
      </c>
      <c r="T93" s="12" t="e">
        <f t="array" aca="1" ref="T93" ca="1">_xludf.IFNA(LOOKUP(2,1/(C93:Q93&lt;&gt;""),COLUMN(C93:Q93))-2,0)</f>
        <v>#NAME?</v>
      </c>
      <c r="U93" s="12">
        <f t="shared" si="1"/>
        <v>15</v>
      </c>
      <c r="V93" s="12" t="e">
        <f t="shared" ca="1" si="2"/>
        <v>#NAME?</v>
      </c>
    </row>
    <row r="94" spans="1:22" ht="12.75">
      <c r="A94" s="9" t="str">
        <v>CIE</v>
      </c>
      <c r="B94" s="9" t="str">
        <v>CIE 690</v>
      </c>
      <c r="C94" s="10">
        <v>2020</v>
      </c>
      <c r="D94" s="10" t="str">
        <v>SPRING</v>
      </c>
      <c r="E94" s="10">
        <v>0</v>
      </c>
      <c r="F94" s="10">
        <v>0</v>
      </c>
      <c r="G94" s="10">
        <v>0</v>
      </c>
      <c r="H94" s="10">
        <v>0</v>
      </c>
      <c r="I94" s="10">
        <v>0</v>
      </c>
      <c r="J94" s="10">
        <v>0</v>
      </c>
      <c r="K94" s="10">
        <v>0</v>
      </c>
      <c r="L94" s="11">
        <v>0</v>
      </c>
      <c r="M94" s="11">
        <v>0</v>
      </c>
      <c r="N94" s="11">
        <v>0</v>
      </c>
      <c r="O94" s="10">
        <v>0</v>
      </c>
      <c r="P94" s="11">
        <v>0</v>
      </c>
      <c r="Q94" s="11">
        <v>0</v>
      </c>
      <c r="R94" s="12" t="b">
        <f t="shared" ca="1" si="0"/>
        <v>0</v>
      </c>
      <c r="S94" s="12" t="str">
        <v>MATSCI 480</v>
      </c>
      <c r="T94" s="12" t="e">
        <f t="array" aca="1" ref="T94" ca="1">_xludf.IFNA(LOOKUP(2,1/(C94:Q94&lt;&gt;""),COLUMN(C94:Q94))-2,0)</f>
        <v>#NAME?</v>
      </c>
      <c r="U94" s="12">
        <f t="shared" si="1"/>
        <v>15</v>
      </c>
      <c r="V94" s="12" t="e">
        <f t="shared" ca="1" si="2"/>
        <v>#NAME?</v>
      </c>
    </row>
    <row r="95" spans="1:22" ht="12.75">
      <c r="A95" s="9" t="str">
        <v>CIE</v>
      </c>
      <c r="B95" s="9" t="str">
        <v>CSCI 101</v>
      </c>
      <c r="C95" s="10">
        <v>2020</v>
      </c>
      <c r="D95" s="10" t="str">
        <v>SPRING</v>
      </c>
      <c r="E95" s="10" t="str">
        <v>Ability to evaluate the results of programming work</v>
      </c>
      <c r="F95" s="10" t="str">
        <v>Ability to describe the algorithm of solving any problem using flowchart. Use the algorithm in preparing to write MATLAB programs.</v>
      </c>
      <c r="G95" s="10" t="str">
        <v>Ability to observe and state each step in the Problem Solving Method (input, output, solve by hand, scientific principles, convert to code, test code).</v>
      </c>
      <c r="H95" s="10" t="str">
        <v>Ability to use the programming language MATLAB to write computer programs that solve scientific problems.</v>
      </c>
      <c r="I95" s="10" t="str">
        <v>Ability to use data types, input/output commands, loops, control structures, functions, arrays, and other programming language constructs in MATLAB computer programs.</v>
      </c>
      <c r="J95" s="10" t="str">
        <v>Ability to identify basic sorting and searching algorithms and their complexities</v>
      </c>
      <c r="K95" s="10" t="str">
        <v>Ability to understand the role of creativity and innovation in developing computer algorithms</v>
      </c>
      <c r="L95" s="11" t="str">
        <v>Ability to work in teamwork to solve real life problems.</v>
      </c>
      <c r="M95" s="11">
        <v>0</v>
      </c>
      <c r="N95" s="11">
        <v>0</v>
      </c>
      <c r="O95" s="10">
        <v>0</v>
      </c>
      <c r="P95" s="11">
        <v>0</v>
      </c>
      <c r="Q95" s="11">
        <v>0</v>
      </c>
      <c r="R95" s="12" t="b">
        <f t="shared" si="0"/>
        <v>1</v>
      </c>
      <c r="S95" s="12" t="str">
        <v>MATSCI 494</v>
      </c>
      <c r="T95" s="12" t="e">
        <f t="array" aca="1" ref="T95" ca="1">_xludf.IFNA(LOOKUP(2,1/(C95:Q95&lt;&gt;""),COLUMN(C95:Q95))-2,0)</f>
        <v>#NAME?</v>
      </c>
      <c r="U95" s="12">
        <f t="shared" si="1"/>
        <v>15</v>
      </c>
      <c r="V95" s="12" t="e">
        <f t="shared" ca="1" si="2"/>
        <v>#NAME?</v>
      </c>
    </row>
    <row r="96" spans="1:22" ht="12.75">
      <c r="A96" s="9" t="str">
        <v>CIE</v>
      </c>
      <c r="B96" s="19" t="str">
        <v>ENGR 210</v>
      </c>
      <c r="C96" s="10">
        <v>2020</v>
      </c>
      <c r="D96" s="10" t="str">
        <v>SPRING</v>
      </c>
      <c r="E96" s="10" t="str">
        <v>Analyze DC Electric Circuits voltages and currents, using Node and Mesh methods, source transformation techniques and the principle of superposition</v>
      </c>
      <c r="F96" s="10" t="str">
        <v>Explain transients in reactive circuits (inductive and capacitive)</v>
      </c>
      <c r="G96" s="10" t="str">
        <v>Describe the Response of RL and RC Circuits</v>
      </c>
      <c r="H96" s="10" t="str">
        <v>Analyze simple circuits containing op amps and recognize the basic op amp applications</v>
      </c>
      <c r="I96" s="10" t="str">
        <v>Analyze steady state AC circuits in the frequency domain using the phasor form</v>
      </c>
      <c r="J96" s="10" t="str">
        <v>Understand, analyze, and calculate instantaneous, average power and maximum average power transfer</v>
      </c>
      <c r="K96" s="10" t="str">
        <v>Calculate any set of two-port parameters using circuit analysis methods and converting from another set of two-port parameters</v>
      </c>
      <c r="L96" s="11" t="str">
        <v>Analyze the input-output properties of interconnected two-port networks</v>
      </c>
      <c r="M96" s="11">
        <v>0</v>
      </c>
      <c r="N96" s="11">
        <v>0</v>
      </c>
      <c r="O96" s="10">
        <v>0</v>
      </c>
      <c r="P96" s="11">
        <v>0</v>
      </c>
      <c r="Q96" s="11">
        <v>0</v>
      </c>
      <c r="R96" s="12" t="b">
        <f t="shared" si="0"/>
        <v>1</v>
      </c>
      <c r="S96" s="12" t="str">
        <v>MATSCI 499</v>
      </c>
      <c r="T96" s="12" t="e">
        <f t="array" aca="1" ref="T96" ca="1">_xludf.IFNA(LOOKUP(2,1/(C96:Q96&lt;&gt;""),COLUMN(C96:Q96))-2,0)</f>
        <v>#NAME?</v>
      </c>
      <c r="U96" s="12">
        <f t="shared" si="1"/>
        <v>15</v>
      </c>
      <c r="V96" s="12" t="e">
        <f t="shared" ca="1" si="2"/>
        <v>#NAME?</v>
      </c>
    </row>
    <row r="97" spans="1:22" ht="12.75">
      <c r="A97" s="9" t="str">
        <v>CIE</v>
      </c>
      <c r="B97" s="9" t="str">
        <v>SPC 418</v>
      </c>
      <c r="C97" s="10">
        <v>2020</v>
      </c>
      <c r="D97" s="10" t="str">
        <v>SPRING</v>
      </c>
      <c r="E97" s="10" t="str">
        <v>Give examples of autonomous mobile robots features and applications</v>
      </c>
      <c r="F97" s="10" t="str">
        <v>Ability to model and control differential wheel Mobile Robots.</v>
      </c>
      <c r="G97" s="10" t="str">
        <v>State the capabilities and limitations of various robotics measurement devices</v>
      </c>
      <c r="H97" s="10" t="str">
        <v>Apply the probabilistic frame work for robot pose/motion estimation.</v>
      </c>
      <c r="I97" s="10" t="str">
        <v>Ability to use KF/EKF and Bayes filter for Robot Pose estimation.</v>
      </c>
      <c r="J97" s="10" t="str">
        <v>Ability to Solve Robots Localization using Particle filter</v>
      </c>
      <c r="K97" s="10" t="str">
        <v>Use Grid mapping and land marks for solving SLAM problems.</v>
      </c>
      <c r="L97" s="11" t="str">
        <v>Use ROS frame work for robot application simulation and navigation.</v>
      </c>
      <c r="M97" s="11" t="str">
        <v>Ability to use Potential field for collision avoidance and A* algorithm for path planning</v>
      </c>
      <c r="N97" s="11" t="str">
        <v>Ability to use ROS for building autonomous robot applications.</v>
      </c>
      <c r="O97" s="10">
        <v>0</v>
      </c>
      <c r="P97" s="11">
        <v>0</v>
      </c>
      <c r="Q97" s="11">
        <v>0</v>
      </c>
      <c r="R97" s="12" t="b">
        <f t="shared" ca="1" si="0"/>
        <v>0</v>
      </c>
      <c r="S97" s="12" t="str">
        <v>NANENG 204</v>
      </c>
      <c r="T97" s="12" t="e">
        <f t="array" aca="1" ref="T97" ca="1">_xludf.IFNA(LOOKUP(2,1/(C97:Q97&lt;&gt;""),COLUMN(C97:Q97))-2,0)</f>
        <v>#NAME?</v>
      </c>
      <c r="U97" s="12">
        <f t="shared" si="1"/>
        <v>15</v>
      </c>
      <c r="V97" s="12" t="e">
        <f t="shared" ca="1" si="2"/>
        <v>#NAME?</v>
      </c>
    </row>
    <row r="98" spans="1:22" ht="12.75">
      <c r="A98" s="9" t="str">
        <v>ENV</v>
      </c>
      <c r="B98" s="9" t="str">
        <v>ENGR 102</v>
      </c>
      <c r="C98" s="10">
        <v>2020</v>
      </c>
      <c r="D98" s="10" t="str">
        <v>SPRING</v>
      </c>
      <c r="E98" s="10" t="str">
        <v>Design a system, component, or process to meet desired needs.</v>
      </c>
      <c r="F98" s="10" t="str">
        <v>Function on multidisciplinary teams and use project management skills.</v>
      </c>
      <c r="G98" s="10" t="str">
        <v>Identify basic and derived dimensions and units, and apply conversion of units</v>
      </c>
      <c r="H98" s="10" t="str">
        <v>Use a graph of dimensionless groups, extract information from the plot about the physical system.</v>
      </c>
      <c r="I98" s="10" t="str">
        <v>Identify process variability and measurement uncertainty associated with an experimental procedure, and interpret the validity of experimental results</v>
      </c>
      <c r="J98" s="10" t="str">
        <v>Use “practical” skills, such as visualizing common units and conducting simple measurements, calculations, and comparisons to make estimations.</v>
      </c>
      <c r="K98" s="10" t="str">
        <v>Identify the type of trendline for a given graph and interpret the physical parameters of the experimental system.</v>
      </c>
      <c r="L98" s="11" t="str">
        <v>Select the best mathematical model to describe a data set, then apply the model to form graphical solutions to engineering problems</v>
      </c>
      <c r="M98" s="11">
        <v>0</v>
      </c>
      <c r="N98" s="11">
        <v>0</v>
      </c>
      <c r="O98" s="10">
        <v>0</v>
      </c>
      <c r="P98" s="11">
        <v>0</v>
      </c>
      <c r="Q98" s="11">
        <v>0</v>
      </c>
      <c r="R98" s="12" t="b">
        <f t="shared" ca="1" si="0"/>
        <v>0</v>
      </c>
      <c r="S98" s="12" t="str">
        <v>NANENG 305</v>
      </c>
      <c r="T98" s="12" t="e">
        <f t="array" aca="1" ref="T98" ca="1">_xludf.IFNA(LOOKUP(2,1/(C98:Q98&lt;&gt;""),COLUMN(C98:Q98))-2,0)</f>
        <v>#NAME?</v>
      </c>
      <c r="U98" s="12">
        <f t="shared" si="1"/>
        <v>15</v>
      </c>
      <c r="V98" s="12" t="e">
        <f t="shared" ca="1" si="2"/>
        <v>#NAME?</v>
      </c>
    </row>
    <row r="99" spans="1:22" ht="12.75">
      <c r="A99" s="9" t="str">
        <v>ENV</v>
      </c>
      <c r="B99" s="9" t="str">
        <v>ENGR 207</v>
      </c>
      <c r="C99" s="10">
        <v>2020</v>
      </c>
      <c r="D99" s="10" t="str">
        <v>SPRING</v>
      </c>
      <c r="E99" s="10" t="str">
        <v>Identify and calculate key fluid properties used in analysis of fluid behavior</v>
      </c>
      <c r="F99" s="10" t="str">
        <v>Apply principles of fluid statics to determine pressure in fluids at rest and fluids in rigid-body motion, calculate hydrostatic and buoyancy forces, and assess stability of floating objects</v>
      </c>
      <c r="G99" s="10" t="str">
        <v>Apply the Bernoulli equation to solve flow problems</v>
      </c>
      <c r="H99" s="10" t="str">
        <v>Determine various kinematic elements of flow</v>
      </c>
      <c r="I99" s="10" t="str">
        <v>Apply conservation of mass, energy, and momentum to fluid control volumes to determine velocity changes, energy transfers, forces, and torques</v>
      </c>
      <c r="J99" s="10" t="str">
        <v>Apply CFD software to simulate simple flow fields</v>
      </c>
      <c r="K99" s="10" t="str">
        <v>Apply the Buckingham pi theorem and develop sets of dimensionless variables for various flow situations</v>
      </c>
      <c r="L99" s="11" t="str">
        <v>Analyze flow in pipes and pipe system components</v>
      </c>
      <c r="M99" s="11" t="str">
        <v>Calculate lift and drag forces for various objects</v>
      </c>
      <c r="N99" s="11">
        <v>0</v>
      </c>
      <c r="O99" s="10">
        <v>0</v>
      </c>
      <c r="P99" s="11">
        <v>0</v>
      </c>
      <c r="Q99" s="11">
        <v>0</v>
      </c>
      <c r="R99" s="12" t="b">
        <f t="shared" ca="1" si="0"/>
        <v>0</v>
      </c>
      <c r="S99" s="12" t="str">
        <v>NANENG 312</v>
      </c>
      <c r="T99" s="12" t="e">
        <f t="array" aca="1" ref="T99" ca="1">_xludf.IFNA(LOOKUP(2,1/(C99:Q99&lt;&gt;""),COLUMN(C99:Q99))-2,0)</f>
        <v>#NAME?</v>
      </c>
      <c r="U99" s="12">
        <f t="shared" si="1"/>
        <v>15</v>
      </c>
      <c r="V99" s="12" t="e">
        <f t="shared" ca="1" si="2"/>
        <v>#NAME?</v>
      </c>
    </row>
    <row r="100" spans="1:22" ht="12.75">
      <c r="A100" s="9" t="str">
        <v>ENV</v>
      </c>
      <c r="B100" s="9" t="str">
        <v>ENGR 346</v>
      </c>
      <c r="C100" s="10">
        <v>2020</v>
      </c>
      <c r="D100" s="10" t="str">
        <v>SPRING</v>
      </c>
      <c r="E100" s="10" t="str">
        <v>Understand the basic mechanisms of heat transfer</v>
      </c>
      <c r="F100" s="10" t="str">
        <v>Solve one-dimensional heat conduction in solids and obtain the temperature distribution within a medium and the heat flux</v>
      </c>
      <c r="G100" s="10" t="str">
        <v>Understand and use the concept of thermal resistance to solve steady conduction problems and analyze finned surfaces</v>
      </c>
      <c r="H100" s="10" t="str">
        <v>Understand the fundamentals of convective heat transfer process</v>
      </c>
      <c r="I100" s="10" t="str">
        <v>Analyze heating and cooling of a fluid flowing under internal and external forced convection conditions</v>
      </c>
      <c r="J100" s="10" t="str">
        <v>Derive the governing equations of natural convection and use it to analyze natural convection cases</v>
      </c>
      <c r="K100" s="10" t="str">
        <v>Perform energy analysis on heat exchangers</v>
      </c>
      <c r="L100" s="11" t="str">
        <v>Understand the concepts of thermal radiation and its properties</v>
      </c>
      <c r="M100" s="11">
        <v>0</v>
      </c>
      <c r="N100" s="11">
        <v>0</v>
      </c>
      <c r="O100" s="10">
        <v>0</v>
      </c>
      <c r="P100" s="11">
        <v>0</v>
      </c>
      <c r="Q100" s="11">
        <v>0</v>
      </c>
      <c r="R100" s="12" t="b">
        <f t="shared" ca="1" si="0"/>
        <v>0</v>
      </c>
      <c r="S100" s="12" t="str">
        <v>NANENG 322</v>
      </c>
      <c r="T100" s="12" t="e">
        <f t="array" aca="1" ref="T100" ca="1">_xludf.IFNA(LOOKUP(2,1/(C100:Q100&lt;&gt;""),COLUMN(C100:Q100))-2,0)</f>
        <v>#NAME?</v>
      </c>
      <c r="U100" s="12">
        <f t="shared" si="1"/>
        <v>15</v>
      </c>
      <c r="V100" s="12" t="e">
        <f t="shared" ca="1" si="2"/>
        <v>#NAME?</v>
      </c>
    </row>
    <row r="101" spans="1:22" ht="12.75">
      <c r="A101" s="9" t="str">
        <v>ENV</v>
      </c>
      <c r="B101" s="9" t="str">
        <v>ENV 203</v>
      </c>
      <c r="C101" s="10">
        <v>2020</v>
      </c>
      <c r="D101" s="10" t="str">
        <v>SPRING</v>
      </c>
      <c r="E101" s="10" t="str">
        <v>Know how to select the most suitable method for chemical analysis based on the sensitivity and selectivity of these methods.</v>
      </c>
      <c r="F101" s="10" t="str">
        <v>Apply the advanced instrumental methods of analysis for determination of the water quality.</v>
      </c>
      <c r="G101" s="10" t="str">
        <v>Apply chemistry in environmental research and relate the subject to environmental engineering practices.</v>
      </c>
      <c r="H101" s="10" t="str">
        <v>Discern the importance of water quality parameters and understand the significance of these parameters to water treatment.</v>
      </c>
      <c r="I101" s="10">
        <v>0</v>
      </c>
      <c r="J101" s="10">
        <v>0</v>
      </c>
      <c r="K101" s="10">
        <v>0</v>
      </c>
      <c r="L101" s="11">
        <v>0</v>
      </c>
      <c r="M101" s="11">
        <v>0</v>
      </c>
      <c r="N101" s="11">
        <v>0</v>
      </c>
      <c r="O101" s="10">
        <v>0</v>
      </c>
      <c r="P101" s="11">
        <v>0</v>
      </c>
      <c r="Q101" s="11">
        <v>0</v>
      </c>
      <c r="R101" s="12" t="b">
        <f t="shared" ca="1" si="0"/>
        <v>0</v>
      </c>
      <c r="S101" s="12" t="str">
        <v>NANENG 331</v>
      </c>
      <c r="T101" s="12" t="e">
        <f t="array" aca="1" ref="T101" ca="1">_xludf.IFNA(LOOKUP(2,1/(C101:Q101&lt;&gt;""),COLUMN(C101:Q101))-2,0)</f>
        <v>#NAME?</v>
      </c>
      <c r="U101" s="12">
        <f t="shared" si="1"/>
        <v>15</v>
      </c>
      <c r="V101" s="12" t="e">
        <f t="shared" ca="1" si="2"/>
        <v>#NAME?</v>
      </c>
    </row>
    <row r="102" spans="1:22" ht="12.75">
      <c r="A102" s="9" t="str">
        <v>ENV</v>
      </c>
      <c r="B102" s="9" t="str">
        <v>ENV 207</v>
      </c>
      <c r="C102" s="10">
        <v>2020</v>
      </c>
      <c r="D102" s="10" t="str">
        <v>SPRING</v>
      </c>
      <c r="E102" s="10" t="str">
        <v>Perform unit conversion and dimensional consistency</v>
      </c>
      <c r="F102" s="10" t="str">
        <v>Perform degree of freedom analysis for single and multiple unit processes</v>
      </c>
      <c r="G102" s="10" t="str">
        <v>Calculate material balance for non-reacting and reacting systems.</v>
      </c>
      <c r="H102" s="10" t="str">
        <v>Perform calculations using Ideal Gas Law, Dalton’s law, Raoult’s law and Henry’s law</v>
      </c>
      <c r="I102" s="10" t="str">
        <v>Perform energy balances for non-reacting and reacting systems</v>
      </c>
      <c r="J102" s="10">
        <v>0</v>
      </c>
      <c r="K102" s="10">
        <v>0</v>
      </c>
      <c r="L102" s="11">
        <v>0</v>
      </c>
      <c r="M102" s="11">
        <v>0</v>
      </c>
      <c r="N102" s="11">
        <v>0</v>
      </c>
      <c r="O102" s="10">
        <v>0</v>
      </c>
      <c r="P102" s="11">
        <v>0</v>
      </c>
      <c r="Q102" s="11">
        <v>0</v>
      </c>
      <c r="R102" s="12" t="b">
        <f t="shared" ca="1" si="0"/>
        <v>0</v>
      </c>
      <c r="S102" s="12" t="str">
        <v>NANENG 401</v>
      </c>
      <c r="T102" s="12" t="e">
        <f t="array" aca="1" ref="T102" ca="1">_xludf.IFNA(LOOKUP(2,1/(C102:Q102&lt;&gt;""),COLUMN(C102:Q102))-2,0)</f>
        <v>#NAME?</v>
      </c>
      <c r="U102" s="12">
        <f t="shared" si="1"/>
        <v>15</v>
      </c>
      <c r="V102" s="12" t="e">
        <f t="shared" ca="1" si="2"/>
        <v>#NAME?</v>
      </c>
    </row>
    <row r="103" spans="1:22" ht="12.75">
      <c r="A103" s="9" t="str">
        <v>ENV</v>
      </c>
      <c r="B103" s="9" t="str">
        <v>ENV 213</v>
      </c>
      <c r="C103" s="10">
        <v>2020</v>
      </c>
      <c r="D103" s="10" t="str">
        <v>SPRING</v>
      </c>
      <c r="E103" s="10" t="str">
        <v>Measure physical water parameters such as pH, conductivity and turbidity, and chemical parameters such as hardness, alkalinity and acidity.</v>
      </c>
      <c r="F103" s="10" t="str">
        <v>Quantify total solids and suspended solids in water samples.</v>
      </c>
      <c r="G103" s="10" t="str">
        <v>Obtain good handling of titration method and evaluate chemical oxygen demand of water by titration, as well as by spectrometric method.</v>
      </c>
      <c r="H103" s="10" t="str">
        <v>Evaluate the biological oxygen demand of water by the 5 days practice.</v>
      </c>
      <c r="I103" s="10" t="str">
        <v>Analyze common wastewater contents including chloride anions, chlorine, phosphorus, phosphate, iron, sulphates, sulphites, ammonia and oil and grease.</v>
      </c>
      <c r="J103" s="10" t="str">
        <v>Develop practical experience through bench scale jar test for coagulation and flocculation (physicochemical treatment practice).</v>
      </c>
      <c r="K103" s="10" t="str">
        <v>Obtain practical experience of gravimetric, titrimetric, spectrometric and chromatographic techniques of analysis.</v>
      </c>
      <c r="L103" s="11">
        <v>0</v>
      </c>
      <c r="M103" s="11">
        <v>0</v>
      </c>
      <c r="N103" s="11">
        <v>0</v>
      </c>
      <c r="O103" s="10">
        <v>0</v>
      </c>
      <c r="P103" s="11">
        <v>0</v>
      </c>
      <c r="Q103" s="11">
        <v>0</v>
      </c>
      <c r="R103" s="12" t="b">
        <f t="shared" ca="1" si="0"/>
        <v>0</v>
      </c>
      <c r="S103" s="12" t="str">
        <v>NANENG 404</v>
      </c>
      <c r="T103" s="12" t="e">
        <f t="array" aca="1" ref="T103" ca="1">_xludf.IFNA(LOOKUP(2,1/(C103:Q103&lt;&gt;""),COLUMN(C103:Q103))-2,0)</f>
        <v>#NAME?</v>
      </c>
      <c r="U103" s="12">
        <f t="shared" si="1"/>
        <v>15</v>
      </c>
      <c r="V103" s="12" t="e">
        <f t="shared" ca="1" si="2"/>
        <v>#NAME?</v>
      </c>
    </row>
    <row r="104" spans="1:22" ht="12.75">
      <c r="A104" s="9" t="str">
        <v>ENV</v>
      </c>
      <c r="B104" s="9" t="str">
        <v>ENV 220</v>
      </c>
      <c r="C104" s="10">
        <v>2020</v>
      </c>
      <c r="D104" s="10" t="str">
        <v>SPRING</v>
      </c>
      <c r="E104" s="10" t="str">
        <v>Ability to distinguish the basic groups of bacteria</v>
      </c>
      <c r="F104" s="10" t="str">
        <v>Ability to describe the microbial metabolism and understand the reproduction mechanisms of bacteria</v>
      </c>
      <c r="G104" s="10" t="str">
        <v>Ability to demonstrate the best control methods of microbial growth</v>
      </c>
      <c r="H104" s="10" t="str">
        <v>Ability to distinguish Fungi, Algae and Protozoa</v>
      </c>
      <c r="I104" s="10" t="str">
        <v>Ability to describe the Microbial Ecology</v>
      </c>
      <c r="J104" s="10" t="str">
        <v>Ability to explain the relationship between microorganisms and environment</v>
      </c>
      <c r="K104" s="10" t="str">
        <v>Ability to judge the ability of water and food to cause diseases</v>
      </c>
      <c r="L104" s="11" t="str">
        <v>Ability to demonstrate the use of microorganisms in fermentation technology</v>
      </c>
      <c r="M104" s="11">
        <v>0</v>
      </c>
      <c r="N104" s="11">
        <v>0</v>
      </c>
      <c r="O104" s="10">
        <v>0</v>
      </c>
      <c r="P104" s="11">
        <v>0</v>
      </c>
      <c r="Q104" s="11">
        <v>0</v>
      </c>
      <c r="R104" s="12" t="b">
        <f t="shared" si="0"/>
        <v>1</v>
      </c>
      <c r="S104" s="12" t="str">
        <v>NANENG 421</v>
      </c>
      <c r="T104" s="12" t="e">
        <f t="array" aca="1" ref="T104" ca="1">_xludf.IFNA(LOOKUP(2,1/(C104:Q104&lt;&gt;""),COLUMN(C104:Q104))-2,0)</f>
        <v>#NAME?</v>
      </c>
      <c r="U104" s="12">
        <f t="shared" si="1"/>
        <v>15</v>
      </c>
      <c r="V104" s="12" t="e">
        <f t="shared" ca="1" si="2"/>
        <v>#NAME?</v>
      </c>
    </row>
    <row r="105" spans="1:22" ht="12.75">
      <c r="A105" s="9" t="str">
        <v>ENV</v>
      </c>
      <c r="B105" s="9" t="str">
        <v>ENV 221</v>
      </c>
      <c r="C105" s="10">
        <v>2020</v>
      </c>
      <c r="D105" s="10" t="str">
        <v>SPRING</v>
      </c>
      <c r="E105" s="10" t="str">
        <v>Ability to distinguish the basic groups of bacteria</v>
      </c>
      <c r="F105" s="10" t="str">
        <v>Ability to point out the microbial metabolism</v>
      </c>
      <c r="G105" s="10" t="str">
        <v>Ability to understand the reproduction mechanisms of bacteria</v>
      </c>
      <c r="H105" s="10" t="str">
        <v>Ability to predict the effect of physical and chemical treatments on the microbial growth</v>
      </c>
      <c r="I105" s="10" t="str">
        <v>Ability to distinguish soil and water microorganisms</v>
      </c>
      <c r="J105" s="10" t="str">
        <v>Ability to design a protocol to use fermentors</v>
      </c>
      <c r="K105" s="10" t="str">
        <v>Ability to work in teamwork to solve real life problems</v>
      </c>
      <c r="L105" s="11">
        <v>0</v>
      </c>
      <c r="M105" s="11">
        <v>0</v>
      </c>
      <c r="N105" s="11">
        <v>0</v>
      </c>
      <c r="O105" s="10">
        <v>0</v>
      </c>
      <c r="P105" s="11">
        <v>0</v>
      </c>
      <c r="Q105" s="11">
        <v>0</v>
      </c>
      <c r="R105" s="12" t="b">
        <f t="shared" si="0"/>
        <v>1</v>
      </c>
      <c r="S105" s="12" t="str">
        <v>NANENG 424</v>
      </c>
      <c r="T105" s="12" t="e">
        <f t="array" aca="1" ref="T105" ca="1">_xludf.IFNA(LOOKUP(2,1/(C105:Q105&lt;&gt;""),COLUMN(C105:Q105))-2,0)</f>
        <v>#NAME?</v>
      </c>
      <c r="U105" s="12">
        <f t="shared" si="1"/>
        <v>15</v>
      </c>
      <c r="V105" s="12" t="e">
        <f t="shared" ca="1" si="2"/>
        <v>#NAME?</v>
      </c>
    </row>
    <row r="106" spans="1:22" ht="12.75">
      <c r="A106" s="9" t="str">
        <v>ENV</v>
      </c>
      <c r="B106" s="9" t="str">
        <v>ENV 319</v>
      </c>
      <c r="C106" s="17">
        <v>2020</v>
      </c>
      <c r="D106" s="17" t="str">
        <v>SPRING</v>
      </c>
      <c r="E106" s="17" t="str">
        <v>Know the basics of hazards, climate change, global and environmental change and identify and apply SDGs concepts.</v>
      </c>
      <c r="F106" s="17" t="str">
        <v>Know the components and processes of the geological, energy, and hydrological cycles.</v>
      </c>
      <c r="G106" s="17" t="str">
        <v>Understand the potential causes of global climate warming and know how it relates to natural hazards.</v>
      </c>
      <c r="H106" s="17" t="str">
        <v>Recognize the different types of natural hazards that cause disasters are generally high- energy events, caused by natural earth processes and tied to cycles and know the underlying concept that the magnitude of a hazardous event is inversely related to its frequency.</v>
      </c>
      <c r="I106" s="17" t="str">
        <v>Understand how natural hazards may be linked to one another, to the physical environment, and the accelerating climate and global changes.</v>
      </c>
      <c r="J106" s="17" t="str">
        <v>Understand the difference between climate and weather, and how their variability is related to natural hazards.</v>
      </c>
      <c r="K106" s="17" t="str">
        <v>Know the basic concepts of earth system science such as atmospheric science, structure, composition, and dynamics of the atmosphere.</v>
      </c>
      <c r="L106" s="17" t="str">
        <v>Understand the earth’s energy balance, energy exchanges and hydrological cycle that produce climate and weather.</v>
      </c>
      <c r="M106" s="17" t="str">
        <v>Understand how climate has changed during the last million years, through glacial and interglacial periods, and how human activity may be altering our current climate.</v>
      </c>
      <c r="N106" s="17" t="str">
        <v>Recognize that increasing human population and poor land-use changes compound the effects of natural hazards and can turn disasters into large catastrophes.</v>
      </c>
      <c r="O106" s="17" t="str">
        <v>Be informed on the topical issues of climate change and how hazards may be connected to global warming and address ways we may mitigate global warming and associated hazards.</v>
      </c>
      <c r="P106" s="17" t="str">
        <v>Understand different remote sensing components and different satellite characteristics.</v>
      </c>
      <c r="Q106" s="17" t="str">
        <v>Recognize different satellite orbits and how they can be used to track and monitor different environmental related hazards and understand the different spatial, spectral and temporal characteristics of urban and suburban phenomena.</v>
      </c>
      <c r="R106" s="12" t="b">
        <f t="shared" si="0"/>
        <v>1</v>
      </c>
      <c r="S106" s="40" t="str">
        <v>NANENG 433</v>
      </c>
      <c r="T106" s="12" t="e">
        <f t="array" aca="1" ref="T106" ca="1">_xludf.IFNA(LOOKUP(2,1/(C106:Q106&lt;&gt;""),COLUMN(C106:Q106))-2,0)</f>
        <v>#NAME?</v>
      </c>
      <c r="U106" s="12">
        <f t="shared" si="1"/>
        <v>15</v>
      </c>
      <c r="V106" s="12" t="e">
        <f t="shared" ca="1" si="2"/>
        <v>#NAME?</v>
      </c>
    </row>
    <row r="107" spans="1:22" ht="12.75">
      <c r="A107" s="9" t="str">
        <v>ENV</v>
      </c>
      <c r="B107" s="9" t="str">
        <v>ENV 324</v>
      </c>
      <c r="C107" s="10">
        <v>2020</v>
      </c>
      <c r="D107" s="10" t="str">
        <v>SPRING</v>
      </c>
      <c r="E107" s="10" t="str">
        <v>know and respect the environmental issues and elements</v>
      </c>
      <c r="F107" s="10" t="str">
        <v>know the related national/ international laws, legislations and conventions.</v>
      </c>
      <c r="G107" s="10" t="str">
        <v>describe, understand the Nature of Ecology and Terrestrial Environment</v>
      </c>
      <c r="H107" s="10" t="str">
        <v>understand the relationship between the organism and its environment, and the adaptation mechanisms.</v>
      </c>
      <c r="I107" s="10" t="str">
        <v>distinguish the keystone species and determine its zonation</v>
      </c>
      <c r="J107" s="10" t="str">
        <v>know the features and potentialities of the Egyptian desert.</v>
      </c>
      <c r="K107" s="10" t="str">
        <v>predict the dynamic of landscape.</v>
      </c>
      <c r="L107" s="11" t="str">
        <v>describe the ecosystem and the influence of climate change.</v>
      </c>
      <c r="M107" s="11" t="str">
        <v>use the sustainable management approach.</v>
      </c>
      <c r="N107" s="11" t="str">
        <v>demonstrate Remote Sensing applications.</v>
      </c>
      <c r="O107" s="10" t="str">
        <v>apply Data Modelling in environment.</v>
      </c>
      <c r="P107" s="11" t="str">
        <v>work in teamwork to solve real environmental problems.</v>
      </c>
      <c r="Q107" s="11">
        <v>0</v>
      </c>
      <c r="R107" s="12" t="b">
        <f t="shared" ca="1" si="0"/>
        <v>0</v>
      </c>
      <c r="S107" s="12" t="str">
        <v>NANENG 500</v>
      </c>
      <c r="T107" s="12" t="e">
        <f t="array" aca="1" ref="T107" ca="1">_xludf.IFNA(LOOKUP(2,1/(C107:Q107&lt;&gt;""),COLUMN(C107:Q107))-2,0)</f>
        <v>#NAME?</v>
      </c>
      <c r="U107" s="12">
        <f t="shared" si="1"/>
        <v>15</v>
      </c>
      <c r="V107" s="12" t="e">
        <f t="shared" ca="1" si="2"/>
        <v>#NAME?</v>
      </c>
    </row>
    <row r="108" spans="1:22" ht="12.75">
      <c r="A108" s="9" t="str">
        <v>ENV</v>
      </c>
      <c r="B108" s="9" t="str">
        <v>ENV 330</v>
      </c>
      <c r="C108" s="17">
        <v>2020</v>
      </c>
      <c r="D108" s="17" t="str">
        <v>SPRING</v>
      </c>
      <c r="E108" s="17" t="str">
        <v>Recognize ideal thermodynamic models, equations of state, activity coefficient models, vapor-</v>
      </c>
      <c r="F108" s="17" t="str">
        <v>Analyze the conditions associated with ideal and non-ideal syatems at equilibrium through the construction and interpretation of phase diagrams for idea and non-ideal binary mixtures.</v>
      </c>
      <c r="G108" s="17" t="str">
        <v>Determine the equilibrium conditions for multiple chemical reactions.</v>
      </c>
      <c r="H108" s="10" t="str">
        <v>Compute phase and chemical equilibrium calculations using programming and computer software.</v>
      </c>
      <c r="I108" s="10" t="str">
        <v>Apply the concepts if phase and chemical equilibria in environmental engineering context.</v>
      </c>
      <c r="J108" s="10">
        <v>0</v>
      </c>
      <c r="K108" s="10">
        <v>0</v>
      </c>
      <c r="L108" s="11">
        <v>0</v>
      </c>
      <c r="M108" s="11">
        <v>0</v>
      </c>
      <c r="N108" s="11">
        <v>0</v>
      </c>
      <c r="O108" s="10">
        <v>0</v>
      </c>
      <c r="P108" s="11">
        <v>0</v>
      </c>
      <c r="Q108" s="11">
        <v>0</v>
      </c>
      <c r="R108" s="12" t="b">
        <f t="shared" si="0"/>
        <v>1</v>
      </c>
      <c r="S108" s="12" t="str">
        <v>NANENG 503</v>
      </c>
      <c r="T108" s="12" t="e">
        <f t="array" aca="1" ref="T108" ca="1">_xludf.IFNA(LOOKUP(2,1/(C108:Q108&lt;&gt;""),COLUMN(C108:Q108))-2,0)</f>
        <v>#NAME?</v>
      </c>
      <c r="U108" s="12">
        <f t="shared" si="1"/>
        <v>15</v>
      </c>
      <c r="V108" s="12" t="e">
        <f t="shared" ca="1" si="2"/>
        <v>#NAME?</v>
      </c>
    </row>
    <row r="109" spans="1:22" ht="12.75">
      <c r="A109" s="9" t="str">
        <v>ENV</v>
      </c>
      <c r="B109" s="9" t="str">
        <v>ENV 348</v>
      </c>
      <c r="C109" s="17">
        <v>2020</v>
      </c>
      <c r="D109" s="10" t="str">
        <v>SPRING</v>
      </c>
      <c r="E109" s="10" t="str">
        <v>liquid equlibria, and chemical reaction equilibrium.</v>
      </c>
      <c r="F109" s="10" t="str">
        <v>Use the basic sampling devices of marine samples; sediments, plankton, water, and physical parameters.</v>
      </c>
      <c r="G109" s="10" t="str">
        <v>Monitor coastal and marine changes by observation and analysis.</v>
      </c>
      <c r="H109" s="10" t="str">
        <v>Correlate aquatic ecosystem with other related engineering disciplines and applications.</v>
      </c>
      <c r="I109" s="10" t="str">
        <v>Explain the concept of the blue economy and the role of the engineers in the sustainable use of marine resources.</v>
      </c>
      <c r="J109" s="10" t="str">
        <v>Identify the major coastal hazards and its mitigation and adaptation strategies.</v>
      </c>
      <c r="K109" s="10" t="str">
        <v>Understanding the different methods and techniques of aquatic management including EIA, ICZM, and MSP.</v>
      </c>
      <c r="L109" s="11" t="str">
        <v>Identify the different aquatic habitats in Egypt, such as: coral reefs, mangroves,...</v>
      </c>
      <c r="M109" s="11" t="str">
        <v>Use the basic features of GIS mapping software.</v>
      </c>
      <c r="N109" s="11">
        <v>0</v>
      </c>
      <c r="O109" s="10">
        <v>0</v>
      </c>
      <c r="P109" s="11">
        <v>0</v>
      </c>
      <c r="Q109" s="11">
        <v>0</v>
      </c>
      <c r="R109" s="12" t="b">
        <f t="shared" ca="1" si="0"/>
        <v>0</v>
      </c>
      <c r="S109" s="12" t="str">
        <v>NANENG 511</v>
      </c>
      <c r="T109" s="12" t="e">
        <f t="array" aca="1" ref="T109" ca="1">_xludf.IFNA(LOOKUP(2,1/(C109:Q109&lt;&gt;""),COLUMN(C109:Q109))-2,0)</f>
        <v>#NAME?</v>
      </c>
      <c r="U109" s="12">
        <f t="shared" si="1"/>
        <v>15</v>
      </c>
      <c r="V109" s="12" t="e">
        <f t="shared" ca="1" si="2"/>
        <v>#NAME?</v>
      </c>
    </row>
    <row r="110" spans="1:22" ht="12.75">
      <c r="A110" s="9" t="str">
        <v>ENV</v>
      </c>
      <c r="B110" s="9" t="str">
        <v>ENV 350</v>
      </c>
      <c r="C110" s="10">
        <v>2020</v>
      </c>
      <c r="D110" s="10" t="str">
        <v>SPRING</v>
      </c>
      <c r="E110" s="10" t="str">
        <v>Determine flow rate, pressure, and energy head loss for pipes in series, parallel pipes, branched pipelines between multiple reservoirs, and pipe networks.</v>
      </c>
      <c r="F110" s="10" t="str">
        <v>Design and analyze operating conditions of pipelines with pumping systems.</v>
      </c>
      <c r="G110" s="10" t="str">
        <v>Analyze uniform flows in open channels and design channel cross-sections.</v>
      </c>
      <c r="H110" s="10" t="str">
        <v>Perform hydraulic analysis of steady, rapidly and gradually varied flows in open channels.</v>
      </c>
      <c r="I110" s="10" t="str">
        <v>Perform hydraulic analysis and design for culverts.</v>
      </c>
      <c r="J110" s="10" t="str">
        <v>Perform hydraulic analysis for simple cases of quasi-steady and transient flow in pressurized pipes.</v>
      </c>
      <c r="K110" s="10" t="str">
        <v>Apply computer spreadsheet programs and commercial hydraulic models to analyze pressurized flow in pipes and gravity-driven flow in open channels.</v>
      </c>
      <c r="L110" s="11">
        <v>0</v>
      </c>
      <c r="M110" s="11">
        <v>0</v>
      </c>
      <c r="N110" s="11">
        <v>0</v>
      </c>
      <c r="O110" s="10">
        <v>0</v>
      </c>
      <c r="P110" s="11">
        <v>0</v>
      </c>
      <c r="Q110" s="11">
        <v>0</v>
      </c>
      <c r="R110" s="12" t="b">
        <f t="shared" si="0"/>
        <v>1</v>
      </c>
      <c r="S110" s="12" t="str">
        <v>NANENG 512</v>
      </c>
      <c r="T110" s="12" t="e">
        <f t="array" aca="1" ref="T110" ca="1">_xludf.IFNA(LOOKUP(2,1/(C110:Q110&lt;&gt;""),COLUMN(C110:Q110))-2,0)</f>
        <v>#NAME?</v>
      </c>
      <c r="U110" s="12">
        <f t="shared" si="1"/>
        <v>15</v>
      </c>
      <c r="V110" s="12" t="e">
        <f t="shared" ca="1" si="2"/>
        <v>#NAME?</v>
      </c>
    </row>
    <row r="111" spans="1:22" ht="12.75">
      <c r="A111" s="9" t="str">
        <v>ENV</v>
      </c>
      <c r="B111" s="9" t="str">
        <v>ENV 357</v>
      </c>
      <c r="C111" s="17">
        <v>2020</v>
      </c>
      <c r="D111" s="17" t="str">
        <v>SPRING</v>
      </c>
      <c r="E111" s="17" t="str">
        <v>Classify the main types of reactors for different operations</v>
      </c>
      <c r="F111" s="17" t="str">
        <v>Apply material (mole) balances for different reactors</v>
      </c>
      <c r="G111" s="17" t="str">
        <v>Calculate the expected conversion from a given reactor</v>
      </c>
      <c r="H111" s="17" t="str">
        <v>Determine the reactor volume under isothermal conditions</v>
      </c>
      <c r="I111" s="10" t="str">
        <v>Estimate the reactor volume and heating (cooling) load under non-isothermal conditions</v>
      </c>
      <c r="J111" s="10" t="str">
        <v>Use a computer program (Polymath, Excel, Matlab,….etc) to solve reactor systems and design equations</v>
      </c>
      <c r="K111" s="10">
        <v>0</v>
      </c>
      <c r="L111" s="11">
        <v>0</v>
      </c>
      <c r="M111" s="11">
        <v>0</v>
      </c>
      <c r="N111" s="11">
        <v>0</v>
      </c>
      <c r="O111" s="10">
        <v>0</v>
      </c>
      <c r="P111" s="11">
        <v>0</v>
      </c>
      <c r="Q111" s="11">
        <v>0</v>
      </c>
      <c r="R111" s="12" t="b">
        <f t="shared" si="0"/>
        <v>1</v>
      </c>
      <c r="S111" s="12" t="str">
        <v>NANENG 515</v>
      </c>
      <c r="T111" s="12" t="e">
        <f t="array" aca="1" ref="T111" ca="1">_xludf.IFNA(LOOKUP(2,1/(C111:Q111&lt;&gt;""),COLUMN(C111:Q111))-2,0)</f>
        <v>#NAME?</v>
      </c>
      <c r="U111" s="12">
        <f t="shared" si="1"/>
        <v>15</v>
      </c>
      <c r="V111" s="12" t="e">
        <f t="shared" ca="1" si="2"/>
        <v>#NAME?</v>
      </c>
    </row>
    <row r="112" spans="1:22" ht="12.75">
      <c r="A112" s="9" t="str">
        <v>ENV</v>
      </c>
      <c r="B112" s="9" t="str">
        <v>ENV 359</v>
      </c>
      <c r="C112" s="10">
        <v>2020</v>
      </c>
      <c r="D112" s="10" t="str">
        <v>SPRING</v>
      </c>
      <c r="E112" s="10" t="str">
        <v>Identify, formulate, and solve bioprocess engineering problems by applying principles of microbiology, reaction engineering and mathematics</v>
      </c>
      <c r="F112" s="10" t="str">
        <v>Apply and conduct an analysis on bio kinetic, and thermodynamics to design bio reactors that meet specified needs with consideration for environment and economic</v>
      </c>
      <c r="G112" s="10" t="str">
        <v>Develop and conduct appropriate experimentation, analyze the effect of operating parameters on the cell growth rate, and stoichiometric calculations used in bioprocess engineering</v>
      </c>
      <c r="H112" s="10" t="str">
        <v>Communicate bioprocess engineering concepts through the use of engineering media, verbally, and in writing</v>
      </c>
      <c r="I112" s="10" t="str">
        <v>Function effectively in work group to solve bioprocess engineering problems</v>
      </c>
      <c r="J112" s="10">
        <v>0</v>
      </c>
      <c r="K112" s="10">
        <v>0</v>
      </c>
      <c r="L112" s="11">
        <v>0</v>
      </c>
      <c r="M112" s="11">
        <v>0</v>
      </c>
      <c r="N112" s="11">
        <v>0</v>
      </c>
      <c r="O112" s="10">
        <v>0</v>
      </c>
      <c r="P112" s="11">
        <v>0</v>
      </c>
      <c r="Q112" s="11">
        <v>0</v>
      </c>
      <c r="R112" s="12" t="b">
        <f t="shared" ca="1" si="0"/>
        <v>0</v>
      </c>
      <c r="S112" s="12" t="str">
        <v>NANENG 520</v>
      </c>
      <c r="T112" s="12" t="e">
        <f t="array" aca="1" ref="T112" ca="1">_xludf.IFNA(LOOKUP(2,1/(C112:Q112&lt;&gt;""),COLUMN(C112:Q112))-2,0)</f>
        <v>#NAME?</v>
      </c>
      <c r="U112" s="12">
        <f t="shared" si="1"/>
        <v>15</v>
      </c>
      <c r="V112" s="12" t="e">
        <f t="shared" ca="1" si="2"/>
        <v>#NAME?</v>
      </c>
    </row>
    <row r="113" spans="1:22" ht="12.75">
      <c r="A113" s="9" t="str">
        <v>ENV</v>
      </c>
      <c r="B113" s="9" t="str">
        <v>ENV 406</v>
      </c>
      <c r="C113" s="17">
        <v>2020</v>
      </c>
      <c r="D113" s="17" t="str">
        <v>SPRING</v>
      </c>
      <c r="E113" s="17" t="str">
        <v>Perform water and constituent balance for watersheds and lakes.</v>
      </c>
      <c r="F113" s="17" t="str">
        <v>Estimate rainfall rates and depths for hydrologic analysis and design.</v>
      </c>
      <c r="G113" s="17" t="str">
        <v>Estimate evaporation and infiltration rates.</v>
      </c>
      <c r="H113" s="17" t="str">
        <v>Estimate peak surface runoff and hydrographs.</v>
      </c>
      <c r="I113" s="17" t="str">
        <v>Route flow in rivers and streams using hydrologic methods.</v>
      </c>
      <c r="J113" s="10" t="str">
        <v>Predict groundwater flow and perform hydraulic analysis for wells.</v>
      </c>
      <c r="K113" s="10" t="str">
        <v>Apply computer models for hydrologic analysis.</v>
      </c>
      <c r="L113" s="11">
        <v>0</v>
      </c>
      <c r="M113" s="11">
        <v>0</v>
      </c>
      <c r="N113" s="11">
        <v>0</v>
      </c>
      <c r="O113" s="10">
        <v>0</v>
      </c>
      <c r="P113" s="11">
        <v>0</v>
      </c>
      <c r="Q113" s="11">
        <v>0</v>
      </c>
      <c r="R113" s="12" t="b">
        <f t="shared" si="0"/>
        <v>1</v>
      </c>
      <c r="S113" s="12" t="str">
        <v>NANOSC 302</v>
      </c>
      <c r="T113" s="12" t="e">
        <f t="array" aca="1" ref="T113" ca="1">_xludf.IFNA(LOOKUP(2,1/(C113:Q113&lt;&gt;""),COLUMN(C113:Q113))-2,0)</f>
        <v>#NAME?</v>
      </c>
      <c r="U113" s="12">
        <f t="shared" si="1"/>
        <v>15</v>
      </c>
      <c r="V113" s="12" t="e">
        <f t="shared" ca="1" si="2"/>
        <v>#NAME?</v>
      </c>
    </row>
    <row r="114" spans="1:22" ht="12.75">
      <c r="A114" s="9" t="str">
        <v>ENV</v>
      </c>
      <c r="B114" s="9" t="str">
        <v>ENV 415</v>
      </c>
      <c r="C114" s="10">
        <v>2020</v>
      </c>
      <c r="D114" s="10" t="str">
        <v>SPRING</v>
      </c>
      <c r="E114" s="10" t="str">
        <v>‎Practice the coagulation and flocculation process.</v>
      </c>
      <c r="F114" s="10" t="str">
        <v>Practice the sedimentation process.</v>
      </c>
      <c r="G114" s="10" t="str">
        <v>Practice the filtration process.</v>
      </c>
      <c r="H114" s="10" t="str">
        <v>Practice the ion exchange process.</v>
      </c>
      <c r="I114" s="10" t="str">
        <v>Practice the adsorption process.</v>
      </c>
      <c r="J114" s="10" t="str">
        <v>Practice the activated sludge process.</v>
      </c>
      <c r="K114" s="10">
        <v>0</v>
      </c>
      <c r="L114" s="11">
        <v>0</v>
      </c>
      <c r="M114" s="11">
        <v>0</v>
      </c>
      <c r="N114" s="11">
        <v>0</v>
      </c>
      <c r="O114" s="10">
        <v>0</v>
      </c>
      <c r="P114" s="11">
        <v>0</v>
      </c>
      <c r="Q114" s="11">
        <v>0</v>
      </c>
      <c r="R114" s="12" t="b">
        <f t="shared" ca="1" si="0"/>
        <v>0</v>
      </c>
      <c r="S114" s="12" t="str">
        <v>NANOSC 303</v>
      </c>
      <c r="T114" s="12" t="e">
        <f t="array" aca="1" ref="T114" ca="1">_xludf.IFNA(LOOKUP(2,1/(C114:Q114&lt;&gt;""),COLUMN(C114:Q114))-2,0)</f>
        <v>#NAME?</v>
      </c>
      <c r="U114" s="12">
        <f t="shared" si="1"/>
        <v>15</v>
      </c>
      <c r="V114" s="12" t="e">
        <f t="shared" ca="1" si="2"/>
        <v>#NAME?</v>
      </c>
    </row>
    <row r="115" spans="1:22" ht="12.75">
      <c r="A115" s="9" t="str">
        <v>ENV</v>
      </c>
      <c r="B115" s="9" t="str">
        <v>ENV 420</v>
      </c>
      <c r="C115" s="17">
        <v>2020</v>
      </c>
      <c r="D115" s="17" t="str">
        <v>SPRING</v>
      </c>
      <c r="E115" s="17" t="str">
        <v>Examine the quality of the raw and drinking water for design requirements and Select the suitable water treatment system based on the raw water quality.</v>
      </c>
      <c r="F115" s="17" t="str">
        <v>Design and plan the raw water abstraction systems for water works design.</v>
      </c>
      <c r="G115" s="17" t="str">
        <v>Design and plan the sedimentation process for surface water treatment</v>
      </c>
      <c r="H115" s="10" t="str">
        <v>Design and plan the filtration and disinfection processes for surface water treatment</v>
      </c>
      <c r="I115" s="10" t="str">
        <v>Design and plan the ground water treatment systems for drinking water production.</v>
      </c>
      <c r="J115" s="10">
        <v>0</v>
      </c>
      <c r="K115" s="10">
        <v>0</v>
      </c>
      <c r="L115" s="11">
        <v>0</v>
      </c>
      <c r="M115" s="11">
        <v>0</v>
      </c>
      <c r="N115" s="11">
        <v>0</v>
      </c>
      <c r="O115" s="10">
        <v>0</v>
      </c>
      <c r="P115" s="11">
        <v>0</v>
      </c>
      <c r="Q115" s="11">
        <v>0</v>
      </c>
      <c r="R115" s="12" t="b">
        <f t="shared" si="0"/>
        <v>1</v>
      </c>
      <c r="S115" s="12" t="str">
        <v>NANOSC 305</v>
      </c>
      <c r="T115" s="12" t="e">
        <f t="array" aca="1" ref="T115" ca="1">_xludf.IFNA(LOOKUP(2,1/(C115:Q115&lt;&gt;""),COLUMN(C115:Q115))-2,0)</f>
        <v>#NAME?</v>
      </c>
      <c r="U115" s="12">
        <f t="shared" si="1"/>
        <v>15</v>
      </c>
      <c r="V115" s="12" t="e">
        <f t="shared" ca="1" si="2"/>
        <v>#NAME?</v>
      </c>
    </row>
    <row r="116" spans="1:22" ht="12.75">
      <c r="A116" s="9" t="str">
        <v>ENV</v>
      </c>
      <c r="B116" s="9" t="str">
        <v>ENV 422</v>
      </c>
      <c r="C116" s="17">
        <v>2020</v>
      </c>
      <c r="D116" s="17" t="str">
        <v>SPRING</v>
      </c>
      <c r="E116" s="17" t="str">
        <v>Understand the water uses, water quality and water pollution within urban water cycle</v>
      </c>
      <c r="F116" s="17" t="str">
        <v>Analyze the quantity and quality of wastewater originating from different sources and its impact of discharges to water bodies</v>
      </c>
      <c r="G116" s="10" t="str">
        <v>Appraise and Compare wastewater treatment systems &amp; treatment options for removal of different pollutant, including system’s layouts, characteristics, pro’s and con’s and criteria for their application</v>
      </c>
      <c r="H116" s="10" t="str">
        <v>Design and plan activated sludge wastewater treatment plants including preliminary, primary, secondary &amp; tertiary treatment stages</v>
      </c>
      <c r="I116" s="10">
        <v>0</v>
      </c>
      <c r="J116" s="10">
        <v>0</v>
      </c>
      <c r="K116" s="10">
        <v>0</v>
      </c>
      <c r="L116" s="11">
        <v>0</v>
      </c>
      <c r="M116" s="11">
        <v>0</v>
      </c>
      <c r="N116" s="11">
        <v>0</v>
      </c>
      <c r="O116" s="10">
        <v>0</v>
      </c>
      <c r="P116" s="11">
        <v>0</v>
      </c>
      <c r="Q116" s="11">
        <v>0</v>
      </c>
      <c r="R116" s="12" t="b">
        <f t="shared" si="0"/>
        <v>1</v>
      </c>
      <c r="S116" s="12" t="str">
        <v>NANOSC 306</v>
      </c>
      <c r="T116" s="12" t="e">
        <f t="array" aca="1" ref="T116" ca="1">_xludf.IFNA(LOOKUP(2,1/(C116:Q116&lt;&gt;""),COLUMN(C116:Q116))-2,0)</f>
        <v>#NAME?</v>
      </c>
      <c r="U116" s="12">
        <f t="shared" si="1"/>
        <v>15</v>
      </c>
      <c r="V116" s="12" t="e">
        <f t="shared" ca="1" si="2"/>
        <v>#NAME?</v>
      </c>
    </row>
    <row r="117" spans="1:22" ht="12.75">
      <c r="A117" s="9" t="str">
        <v>ENV</v>
      </c>
      <c r="B117" s="9" t="str">
        <v>ENV 423</v>
      </c>
      <c r="C117" s="17">
        <v>2020</v>
      </c>
      <c r="D117" s="17" t="str">
        <v>SPRING</v>
      </c>
      <c r="E117" s="17" t="str">
        <v>Analyze and compare solid waste generation &amp; characterization in urban</v>
      </c>
      <c r="F117" t="str">
        <v>Analyze and compare solid waste system in urban areas in term of collection, transfer and transport, separation, processing, transformation and disposal</v>
      </c>
      <c r="G117" t="str">
        <v>Design and plan Integrated solid waste management system to achieve sustainability</v>
      </c>
      <c r="H117" s="17" t="str">
        <v>Analyze and compare solid waste problems of rural area regarding animal waste</v>
      </c>
      <c r="I117" s="10" t="str">
        <v>Develop innovative and appropriate sustainable Solid Waste Management</v>
      </c>
      <c r="J117" s="10">
        <v>0</v>
      </c>
      <c r="K117" s="17">
        <v>0</v>
      </c>
      <c r="L117" s="11">
        <v>0</v>
      </c>
      <c r="M117" s="11">
        <v>0</v>
      </c>
      <c r="N117" s="11">
        <v>0</v>
      </c>
      <c r="O117" s="10">
        <v>0</v>
      </c>
      <c r="P117" s="11">
        <v>0</v>
      </c>
      <c r="Q117" s="11">
        <v>0</v>
      </c>
      <c r="R117" s="12" t="b">
        <f t="shared" si="0"/>
        <v>1</v>
      </c>
      <c r="S117" s="12" t="str">
        <v>NANOSC 312</v>
      </c>
      <c r="T117" s="12" t="e">
        <f t="array" aca="1" ref="T117" ca="1">_xludf.IFNA(LOOKUP(2,1/(C117:Q117&lt;&gt;""),COLUMN(C117:Q117))-2,0)</f>
        <v>#NAME?</v>
      </c>
      <c r="U117" s="12">
        <f t="shared" si="1"/>
        <v>15</v>
      </c>
      <c r="V117" s="12" t="e">
        <f t="shared" ca="1" si="2"/>
        <v>#NAME?</v>
      </c>
    </row>
    <row r="118" spans="1:22" ht="12.75">
      <c r="A118" s="9" t="str">
        <v>ENV</v>
      </c>
      <c r="B118" s="9" t="str">
        <v>ENV 425</v>
      </c>
      <c r="C118" s="17">
        <v>2020</v>
      </c>
      <c r="D118" s="17" t="str">
        <v>SPRING</v>
      </c>
      <c r="E118" s="17" t="str">
        <v>Solve engineering problems related to diffusion in gas, liquid and solid as well as related to convective mass transfer</v>
      </c>
      <c r="F118" s="17" t="str">
        <v>Design absorption/stripping separation equipment</v>
      </c>
      <c r="G118" s="17" t="str">
        <v>Design distillation separation equipment</v>
      </c>
      <c r="H118" s="10" t="str">
        <v>Use the techniques, skills, and modern engineering tools necessary for engineering practice related to mass transfer and separation processes</v>
      </c>
      <c r="I118" s="10">
        <v>0</v>
      </c>
      <c r="J118" s="10">
        <v>0</v>
      </c>
      <c r="K118" s="10">
        <v>0</v>
      </c>
      <c r="L118" s="11">
        <v>0</v>
      </c>
      <c r="M118" s="11">
        <v>0</v>
      </c>
      <c r="N118" s="11">
        <v>0</v>
      </c>
      <c r="O118" s="10">
        <v>0</v>
      </c>
      <c r="P118" s="11">
        <v>0</v>
      </c>
      <c r="Q118" s="11">
        <v>0</v>
      </c>
      <c r="R118" s="12" t="b">
        <f t="shared" si="0"/>
        <v>1</v>
      </c>
      <c r="S118" s="12" t="str">
        <v>NANOSC 315</v>
      </c>
      <c r="T118" s="12" t="e">
        <f t="array" aca="1" ref="T118" ca="1">_xludf.IFNA(LOOKUP(2,1/(C118:Q118&lt;&gt;""),COLUMN(C118:Q118))-2,0)</f>
        <v>#NAME?</v>
      </c>
      <c r="U118" s="12">
        <f t="shared" si="1"/>
        <v>15</v>
      </c>
      <c r="V118" s="12" t="e">
        <f t="shared" ca="1" si="2"/>
        <v>#NAME?</v>
      </c>
    </row>
    <row r="119" spans="1:22" ht="12.75">
      <c r="A119" s="9" t="str">
        <v>ENV</v>
      </c>
      <c r="B119" s="9" t="str">
        <v>ENV 427</v>
      </c>
      <c r="C119" s="10">
        <v>2020</v>
      </c>
      <c r="D119" s="10" t="str">
        <v>SPRING</v>
      </c>
      <c r="E119" s="10" t="str">
        <v>Ability to analyze the two-different approach to deal with hazardous waste (Before &amp; After the fact);</v>
      </c>
      <c r="F119" s="10" t="str">
        <v>Ability to analysis and assess the hazardous waste management system includes generation, storage, transportation, treatment and disposal;</v>
      </c>
      <c r="G119" s="10" t="str">
        <v>Ability to classify the type of hazardous waste and its characteristics;</v>
      </c>
      <c r="H119" s="10" t="str">
        <v>Ability to identify and select the hazardous wastes treatment methods and processes;</v>
      </c>
      <c r="I119" s="10" t="str">
        <v>Ability to analyze and assess the disposal facilities of hazardous waste;</v>
      </c>
      <c r="J119" s="10" t="str">
        <v>Be familiar with national regulation frame work of hazardous waste and the international conventions involved;</v>
      </c>
      <c r="K119" s="10" t="str">
        <v>Ability to apply pollution Prevention, Waste Minimization, reuse, and recycling approach (Before the fact) to achieve sustainable development;</v>
      </c>
      <c r="L119" s="11" t="str">
        <v>Ability to assess and analyses different Industrial sectors (at International &amp; national level) includes, process involved, waste generated (Hazardous &amp; Non-Hazardous), conventional waste management. And ability to promote sustainable approach of sector development via cleaner production &amp; waste minimization approach.</v>
      </c>
      <c r="M119" s="11">
        <v>0</v>
      </c>
      <c r="N119" s="11">
        <v>0</v>
      </c>
      <c r="O119" s="10">
        <v>0</v>
      </c>
      <c r="P119" s="11">
        <v>0</v>
      </c>
      <c r="Q119" s="11">
        <v>0</v>
      </c>
      <c r="R119" s="12" t="b">
        <f t="shared" ca="1" si="0"/>
        <v>0</v>
      </c>
      <c r="S119" s="12" t="str">
        <v>NANOSC 401</v>
      </c>
      <c r="T119" s="12" t="e">
        <f t="array" aca="1" ref="T119" ca="1">_xludf.IFNA(LOOKUP(2,1/(C119:Q119&lt;&gt;""),COLUMN(C119:Q119))-2,0)</f>
        <v>#NAME?</v>
      </c>
      <c r="U119" s="12">
        <f t="shared" si="1"/>
        <v>15</v>
      </c>
      <c r="V119" s="12" t="e">
        <f t="shared" ca="1" si="2"/>
        <v>#NAME?</v>
      </c>
    </row>
    <row r="120" spans="1:22" ht="12.75">
      <c r="A120" s="9" t="str">
        <v>ENV</v>
      </c>
      <c r="B120" s="9" t="str">
        <v>ENV 434</v>
      </c>
      <c r="C120" s="10">
        <v>2020</v>
      </c>
      <c r="D120" s="10" t="str">
        <v>SPRING</v>
      </c>
      <c r="E120" s="10" t="str">
        <v>Demonstrate appreciation of the importance of safety on-the-job</v>
      </c>
      <c r="F120" s="10" t="str">
        <v>Understand process safety engineering and loss prevention through the history</v>
      </c>
      <c r="G120" s="10" t="str">
        <v>Evaluate hazards associated with a process facility</v>
      </c>
      <c r="H120" s="10" t="str">
        <v>Apply process-associated hazards’ identification, evaluation &amp; analysis, and control procedures.</v>
      </c>
      <c r="I120" s="10">
        <v>0</v>
      </c>
      <c r="J120" s="10">
        <v>0</v>
      </c>
      <c r="K120" s="10">
        <v>0</v>
      </c>
      <c r="L120" s="11">
        <v>0</v>
      </c>
      <c r="M120" s="11">
        <v>0</v>
      </c>
      <c r="N120" s="11">
        <v>0</v>
      </c>
      <c r="O120" s="10">
        <v>0</v>
      </c>
      <c r="P120" s="11">
        <v>0</v>
      </c>
      <c r="Q120" s="11">
        <v>0</v>
      </c>
      <c r="R120" s="12" t="b">
        <f t="shared" ca="1" si="0"/>
        <v>0</v>
      </c>
      <c r="S120" s="12" t="str">
        <v>NANOSC 403</v>
      </c>
      <c r="T120" s="12" t="e">
        <f t="array" aca="1" ref="T120" ca="1">_xludf.IFNA(LOOKUP(2,1/(C120:Q120&lt;&gt;""),COLUMN(C120:Q120))-2,0)</f>
        <v>#NAME?</v>
      </c>
      <c r="U120" s="12">
        <f t="shared" si="1"/>
        <v>15</v>
      </c>
      <c r="V120" s="12" t="e">
        <f t="shared" ca="1" si="2"/>
        <v>#NAME?</v>
      </c>
    </row>
    <row r="121" spans="1:22" ht="12.75">
      <c r="A121" s="9" t="str">
        <v>ENV</v>
      </c>
      <c r="B121" s="9" t="str">
        <v>ENV 457</v>
      </c>
      <c r="C121" s="10">
        <v>2020</v>
      </c>
      <c r="D121" s="10" t="str">
        <v>SPRING</v>
      </c>
      <c r="E121" s="10" t="str">
        <v>Understand the different steps involved within environmental impact assessment.</v>
      </c>
      <c r="F121" s="10" t="str">
        <v>Participate in a team for preparation EIA studies for newly developed projects.</v>
      </c>
      <c r="G121" s="10" t="str">
        <v>Analyse the different impacts, suggest mitigations and prepare environmental management plans for new projects.</v>
      </c>
      <c r="H121" s="10" t="str">
        <v>Understand how to liaise with and the importance of stakeholders in the EIA process.</v>
      </c>
      <c r="I121" s="10">
        <v>0</v>
      </c>
      <c r="J121" s="10">
        <v>0</v>
      </c>
      <c r="K121" s="10">
        <v>0</v>
      </c>
      <c r="L121" s="11">
        <v>0</v>
      </c>
      <c r="M121" s="11">
        <v>0</v>
      </c>
      <c r="N121" s="11">
        <v>0</v>
      </c>
      <c r="O121" s="10">
        <v>0</v>
      </c>
      <c r="P121" s="11">
        <v>0</v>
      </c>
      <c r="Q121" s="11">
        <v>0</v>
      </c>
      <c r="R121" s="12" t="b">
        <f t="shared" ca="1" si="0"/>
        <v>0</v>
      </c>
      <c r="S121" s="12" t="str">
        <v>NANOSC 405</v>
      </c>
      <c r="T121" s="12" t="e">
        <f t="array" aca="1" ref="T121" ca="1">_xludf.IFNA(LOOKUP(2,1/(C121:Q121&lt;&gt;""),COLUMN(C121:Q121))-2,0)</f>
        <v>#NAME?</v>
      </c>
      <c r="U121" s="12">
        <f t="shared" si="1"/>
        <v>15</v>
      </c>
      <c r="V121" s="12" t="e">
        <f t="shared" ca="1" si="2"/>
        <v>#NAME?</v>
      </c>
    </row>
    <row r="122" spans="1:22" ht="12.75">
      <c r="A122" s="9" t="str">
        <v>ENV</v>
      </c>
      <c r="B122" s="9" t="str">
        <v>ENV 465</v>
      </c>
      <c r="C122" s="17">
        <v>2020</v>
      </c>
      <c r="D122" s="17" t="str">
        <v>SPRING</v>
      </c>
      <c r="E122" s="17" t="str">
        <v>Differentiate between green projects, and the environmental Projects.</v>
      </c>
      <c r="F122" s="17" t="str">
        <v>Understand the different types of organizations, organization strategies, selecting and defining project .</v>
      </c>
      <c r="G122" s="17" t="str">
        <v>Differentiate and understand project life cycle, and project management processes.</v>
      </c>
      <c r="H122" s="17" t="str">
        <v>Prepare Project plans,.e.g..., Time, cost, quality, safety, and Environmental</v>
      </c>
      <c r="I122" s="10" t="str">
        <v>Use different methods of Project control, and project risks</v>
      </c>
      <c r="J122" s="10" t="str">
        <v>Allocate resources for project activities, and prepare project Budget.</v>
      </c>
      <c r="K122" s="10">
        <v>0</v>
      </c>
      <c r="L122" s="11">
        <v>0</v>
      </c>
      <c r="M122" s="11">
        <v>0</v>
      </c>
      <c r="N122" s="11">
        <v>0</v>
      </c>
      <c r="O122" s="10">
        <v>0</v>
      </c>
      <c r="P122" s="11">
        <v>0</v>
      </c>
      <c r="Q122" s="11">
        <v>0</v>
      </c>
      <c r="R122" s="12" t="b">
        <f t="shared" si="0"/>
        <v>1</v>
      </c>
      <c r="S122" s="12" t="str">
        <v>NANOSC 413</v>
      </c>
      <c r="T122" s="12" t="e">
        <f t="array" aca="1" ref="T122" ca="1">_xludf.IFNA(LOOKUP(2,1/(C122:Q122&lt;&gt;""),COLUMN(C122:Q122))-2,0)</f>
        <v>#NAME?</v>
      </c>
      <c r="U122" s="12">
        <f t="shared" si="1"/>
        <v>15</v>
      </c>
      <c r="V122" s="12" t="e">
        <f t="shared" ca="1" si="2"/>
        <v>#NAME?</v>
      </c>
    </row>
    <row r="123" spans="1:22" ht="12.75">
      <c r="A123" s="9" t="str">
        <v>ENV</v>
      </c>
      <c r="B123" s="9" t="str">
        <v>ENV 470</v>
      </c>
      <c r="C123" s="10">
        <v>2020</v>
      </c>
      <c r="D123" s="10" t="str">
        <v>SPRING</v>
      </c>
      <c r="E123" s="10" t="str">
        <v>Explain the main causes of air pollution</v>
      </c>
      <c r="F123" s="10" t="str">
        <v>Specify the right equipment for air pollution control</v>
      </c>
      <c r="G123" s="10" t="str">
        <v>Design different air pollution control equipment</v>
      </c>
      <c r="H123" s="10" t="str">
        <v>Analyze how pollutants disperse in air under various source and meteorological conditions</v>
      </c>
      <c r="I123" s="10">
        <v>0</v>
      </c>
      <c r="J123" s="10">
        <v>0</v>
      </c>
      <c r="K123" s="10">
        <v>0</v>
      </c>
      <c r="L123" s="11">
        <v>0</v>
      </c>
      <c r="M123" s="11">
        <v>0</v>
      </c>
      <c r="N123" s="11">
        <v>0</v>
      </c>
      <c r="O123" s="10">
        <v>0</v>
      </c>
      <c r="P123" s="11">
        <v>0</v>
      </c>
      <c r="Q123" s="11">
        <v>0</v>
      </c>
      <c r="R123" s="12" t="b">
        <f t="shared" ca="1" si="0"/>
        <v>0</v>
      </c>
      <c r="S123" s="12" t="str">
        <v>NANOSC 415</v>
      </c>
      <c r="T123" s="12" t="e">
        <f t="array" aca="1" ref="T123" ca="1">_xludf.IFNA(LOOKUP(2,1/(C123:Q123&lt;&gt;""),COLUMN(C123:Q123))-2,0)</f>
        <v>#NAME?</v>
      </c>
      <c r="U123" s="12">
        <f t="shared" si="1"/>
        <v>15</v>
      </c>
      <c r="V123" s="12" t="e">
        <f t="shared" ca="1" si="2"/>
        <v>#NAME?</v>
      </c>
    </row>
    <row r="124" spans="1:22" ht="12.75">
      <c r="A124" s="9" t="str">
        <v>ENV</v>
      </c>
      <c r="B124" s="9" t="str">
        <v>ENV 480</v>
      </c>
      <c r="C124" s="10">
        <v>2020</v>
      </c>
      <c r="D124" s="10" t="str">
        <v>SPRING</v>
      </c>
      <c r="E124" s="10" t="str">
        <v>‎plan, model, design water transmission pipelines</v>
      </c>
      <c r="F124" s="10" t="str">
        <v>‎plan, model, design and construct water distribution networks‎ and storahe facilities</v>
      </c>
      <c r="G124" s="10" t="str">
        <v>plan, model and design separate foul sewer system</v>
      </c>
      <c r="H124" s="10" t="str">
        <v>plan, model and design storm sewer system</v>
      </c>
      <c r="I124" s="10" t="str">
        <v>plan, model and design combined sewer system</v>
      </c>
      <c r="J124" s="10" t="str">
        <v>‎design lift station</v>
      </c>
      <c r="K124" s="10">
        <v>0</v>
      </c>
      <c r="L124" s="11">
        <v>0</v>
      </c>
      <c r="M124" s="11">
        <v>0</v>
      </c>
      <c r="N124" s="11">
        <v>0</v>
      </c>
      <c r="O124" s="10">
        <v>0</v>
      </c>
      <c r="P124" s="11">
        <v>0</v>
      </c>
      <c r="Q124" s="11">
        <v>0</v>
      </c>
      <c r="R124" s="12" t="b">
        <f t="shared" ca="1" si="0"/>
        <v>0</v>
      </c>
      <c r="S124" s="12" t="str">
        <v>NANOSC 417</v>
      </c>
      <c r="T124" s="12" t="e">
        <f t="array" aca="1" ref="T124" ca="1">_xludf.IFNA(LOOKUP(2,1/(C124:Q124&lt;&gt;""),COLUMN(C124:Q124))-2,0)</f>
        <v>#NAME?</v>
      </c>
      <c r="U124" s="12">
        <f t="shared" si="1"/>
        <v>15</v>
      </c>
      <c r="V124" s="12" t="e">
        <f t="shared" ca="1" si="2"/>
        <v>#NAME?</v>
      </c>
    </row>
    <row r="125" spans="1:22" ht="12.75">
      <c r="A125" s="9" t="str">
        <v>ENV</v>
      </c>
      <c r="B125" s="9" t="str">
        <v>ENV 506</v>
      </c>
      <c r="C125" s="10">
        <v>2020</v>
      </c>
      <c r="D125" s="10" t="str">
        <v>SPRING</v>
      </c>
      <c r="E125" s="10" t="str">
        <v>‎ ‎design the desalination plant intakes</v>
      </c>
      <c r="F125" s="10" t="str">
        <v>design the ‎ RO desalination pretreatment processes</v>
      </c>
      <c r="G125" s="10" t="str">
        <v>design the ‎ RO systems</v>
      </c>
      <c r="H125" s="10" t="str">
        <v>‎design the ‎ RO post treatment</v>
      </c>
      <c r="I125" s="10" t="str">
        <v>understand the concept of thermal desalination processes.</v>
      </c>
      <c r="J125" s="10">
        <v>0</v>
      </c>
      <c r="K125" s="10">
        <v>0</v>
      </c>
      <c r="L125" s="11">
        <v>0</v>
      </c>
      <c r="M125" s="11">
        <v>0</v>
      </c>
      <c r="N125" s="11">
        <v>0</v>
      </c>
      <c r="O125" s="10">
        <v>0</v>
      </c>
      <c r="P125" s="11">
        <v>0</v>
      </c>
      <c r="Q125" s="11">
        <v>0</v>
      </c>
      <c r="R125" s="12" t="b">
        <f t="shared" si="0"/>
        <v>1</v>
      </c>
      <c r="S125" s="12" t="str">
        <v>NANOSC 499</v>
      </c>
      <c r="T125" s="12" t="e">
        <f t="array" aca="1" ref="T125" ca="1">_xludf.IFNA(LOOKUP(2,1/(C125:Q125&lt;&gt;""),COLUMN(C125:Q125))-2,0)</f>
        <v>#NAME?</v>
      </c>
      <c r="U125" s="12">
        <f t="shared" si="1"/>
        <v>15</v>
      </c>
      <c r="V125" s="12" t="e">
        <f t="shared" ca="1" si="2"/>
        <v>#NAME?</v>
      </c>
    </row>
    <row r="126" spans="1:22" ht="12.75">
      <c r="A126" s="9" t="str">
        <v>ENV</v>
      </c>
      <c r="B126" s="9" t="str">
        <v>ENV 510</v>
      </c>
      <c r="C126" s="17">
        <v>2020</v>
      </c>
      <c r="D126" s="17" t="str">
        <v>SPRING</v>
      </c>
      <c r="E126" s="17" t="str">
        <v>model material and energy flows around reacting chemical systems using an appropriate modelling software package</v>
      </c>
      <c r="F126" s="17" t="str">
        <v>Define and scope engineering problems and formulate suitable strategies for problem solution</v>
      </c>
      <c r="G126" s="17" t="str">
        <v>develop and interpret process flow diagrams, process and instrumentation diagrams</v>
      </c>
      <c r="H126" s="17" t="str">
        <v>apply basic thermodynamic relationships to real problems</v>
      </c>
      <c r="I126" s="17" t="str">
        <v>discuss the principles of sustainable design and development</v>
      </c>
      <c r="J126" s="10" t="str">
        <v>use the techniques, skills, and modern engineering tools necessary for engineering practice</v>
      </c>
      <c r="K126" s="10" t="str">
        <v>Enhance team work skills and communications skills</v>
      </c>
      <c r="L126" s="11">
        <v>0</v>
      </c>
      <c r="M126" s="11">
        <v>0</v>
      </c>
      <c r="N126" s="11">
        <v>0</v>
      </c>
      <c r="O126" s="10">
        <v>0</v>
      </c>
      <c r="P126" s="11">
        <v>0</v>
      </c>
      <c r="Q126" s="11">
        <v>0</v>
      </c>
      <c r="R126" s="12" t="b">
        <f t="shared" si="0"/>
        <v>1</v>
      </c>
      <c r="S126" s="12" t="str">
        <v>PEU 205</v>
      </c>
      <c r="T126" s="12" t="e">
        <f t="array" aca="1" ref="T126" ca="1">_xludf.IFNA(LOOKUP(2,1/(C126:Q126&lt;&gt;""),COLUMN(C126:Q126))-2,0)</f>
        <v>#NAME?</v>
      </c>
      <c r="U126" s="12">
        <f t="shared" si="1"/>
        <v>15</v>
      </c>
      <c r="V126" s="12" t="e">
        <f t="shared" ca="1" si="2"/>
        <v>#NAME?</v>
      </c>
    </row>
    <row r="127" spans="1:22" ht="12.75">
      <c r="A127" s="9" t="str">
        <v>ENV</v>
      </c>
      <c r="B127" s="9" t="str">
        <v>ENV 512</v>
      </c>
      <c r="C127" s="10">
        <v>2020</v>
      </c>
      <c r="D127" s="10" t="str">
        <v>SPRING</v>
      </c>
      <c r="E127" s="10" t="str">
        <v>Understanding the main themes, theories and methods addressed by green economics</v>
      </c>
      <c r="F127" s="10" t="str">
        <v>Understanding the basic literature regarding Green Economy</v>
      </c>
      <c r="G127" s="10" t="str">
        <v>Ability to analyze and compare between the way environmental problems and solutions are approached in standard economics and Green Economy</v>
      </c>
      <c r="H127" s="10" t="str">
        <v>Ability to identify the best practices of transiting to Green Economy in developing countries</v>
      </c>
      <c r="I127" s="10" t="str">
        <v>Recognizing the Green Economy scientific and conceptual developments</v>
      </c>
      <c r="J127" s="10" t="str">
        <v>Ability to develop innovative and appropriate sustainable solutions to support transition to green economy</v>
      </c>
      <c r="K127" s="10">
        <v>0</v>
      </c>
      <c r="L127" s="11">
        <v>0</v>
      </c>
      <c r="M127" s="11">
        <v>0</v>
      </c>
      <c r="N127" s="11">
        <v>0</v>
      </c>
      <c r="O127" s="10">
        <v>0</v>
      </c>
      <c r="P127" s="11">
        <v>0</v>
      </c>
      <c r="Q127" s="11">
        <v>0</v>
      </c>
      <c r="R127" s="12" t="b">
        <f t="shared" ca="1" si="0"/>
        <v>0</v>
      </c>
      <c r="S127" s="12" t="str">
        <v>PEU 228</v>
      </c>
      <c r="T127" s="12" t="e">
        <f t="array" aca="1" ref="T127" ca="1">_xludf.IFNA(LOOKUP(2,1/(C127:Q127&lt;&gt;""),COLUMN(C127:Q127))-2,0)</f>
        <v>#NAME?</v>
      </c>
      <c r="U127" s="12">
        <f t="shared" si="1"/>
        <v>15</v>
      </c>
      <c r="V127" s="12" t="e">
        <f t="shared" ca="1" si="2"/>
        <v>#NAME?</v>
      </c>
    </row>
    <row r="128" spans="1:22" ht="12.75">
      <c r="A128" s="9" t="str">
        <v>ENV</v>
      </c>
      <c r="B128" s="9" t="str">
        <v>ENV 523</v>
      </c>
      <c r="C128" s="10">
        <v>2020</v>
      </c>
      <c r="D128" s="10" t="str">
        <v>SPRING</v>
      </c>
      <c r="E128" s="10" t="str">
        <v>Understand the fundamentals of fate and transport</v>
      </c>
      <c r="F128" s="10" t="str">
        <v>Produce numerical solution of the advection-diffusion equation</v>
      </c>
      <c r="G128" s="10" t="str">
        <v>Predict fate and transport of contaminants in rivers and streams</v>
      </c>
      <c r="H128" s="10" t="str">
        <v>Predict fate and transport of contaminants in lakes and reservoirs</v>
      </c>
      <c r="I128" s="10" t="str">
        <v>Predict fate and transport of contaminants in groundwater</v>
      </c>
      <c r="J128" s="10" t="str">
        <v>Apply trajectory and dispersion models</v>
      </c>
      <c r="K128" s="10" t="str">
        <v>Understand the concept of climate change and global warming</v>
      </c>
      <c r="L128" s="11" t="str">
        <v>Using climate models to study the present climate and future projections</v>
      </c>
      <c r="M128" s="11">
        <v>0</v>
      </c>
      <c r="N128" s="11">
        <v>0</v>
      </c>
      <c r="O128" s="10">
        <v>0</v>
      </c>
      <c r="P128" s="11">
        <v>0</v>
      </c>
      <c r="Q128" s="11">
        <v>0</v>
      </c>
      <c r="R128" s="12" t="b">
        <f t="shared" ca="1" si="0"/>
        <v>0</v>
      </c>
      <c r="S128" s="12" t="str">
        <v>PEU 311</v>
      </c>
      <c r="T128" s="12" t="e">
        <f t="array" aca="1" ref="T128" ca="1">_xludf.IFNA(LOOKUP(2,1/(C128:Q128&lt;&gt;""),COLUMN(C128:Q128))-2,0)</f>
        <v>#NAME?</v>
      </c>
      <c r="U128" s="12">
        <f t="shared" si="1"/>
        <v>15</v>
      </c>
      <c r="V128" s="12" t="e">
        <f t="shared" ca="1" si="2"/>
        <v>#NAME?</v>
      </c>
    </row>
    <row r="129" spans="1:22" ht="12.75">
      <c r="A129" s="9" t="str">
        <v>ENV</v>
      </c>
      <c r="B129" s="9" t="str">
        <v>ENV 527</v>
      </c>
      <c r="C129" s="17">
        <v>2020</v>
      </c>
      <c r="D129" s="17" t="str">
        <v>SPRING</v>
      </c>
      <c r="E129" s="17" t="str">
        <v>Identify, formulate and analyze critical environmental problems</v>
      </c>
      <c r="F129" s="17" t="str">
        <v>Indicate the needed solutions for local environmental problems.</v>
      </c>
      <c r="G129" s="17" t="str">
        <v>Identify one idea of a technology and prototype it.</v>
      </c>
      <c r="H129" s="17" t="str">
        <v>Examine the appropriateness and applicability of the identified technology.</v>
      </c>
      <c r="I129" s="10" t="str">
        <v>Develop a business model for the tested technology.</v>
      </c>
      <c r="J129" s="10" t="str">
        <v>Plan for initiating and managing a project</v>
      </c>
      <c r="K129">
        <v>0</v>
      </c>
      <c r="L129" s="11">
        <v>0</v>
      </c>
      <c r="M129" s="11">
        <v>0</v>
      </c>
      <c r="N129" s="11">
        <v>0</v>
      </c>
      <c r="O129" s="10">
        <v>0</v>
      </c>
      <c r="P129" s="11">
        <v>0</v>
      </c>
      <c r="Q129" s="11">
        <v>0</v>
      </c>
      <c r="R129" s="12" t="b">
        <f t="shared" si="0"/>
        <v>1</v>
      </c>
      <c r="S129" s="12" t="str">
        <v>PEU 323</v>
      </c>
      <c r="T129" s="12" t="e">
        <f t="array" aca="1" ref="T129" ca="1">_xludf.IFNA(LOOKUP(2,1/(C129:Q129&lt;&gt;""),COLUMN(C129:Q129))-2,0)</f>
        <v>#NAME?</v>
      </c>
      <c r="U129" s="12">
        <f t="shared" si="1"/>
        <v>15</v>
      </c>
      <c r="V129" s="12" t="e">
        <f t="shared" ca="1" si="2"/>
        <v>#NAME?</v>
      </c>
    </row>
    <row r="130" spans="1:22" ht="12.75">
      <c r="A130" s="9" t="str">
        <v>ENV</v>
      </c>
      <c r="B130" s="9" t="str">
        <v>ENV 528</v>
      </c>
      <c r="C130" s="17">
        <v>2020</v>
      </c>
      <c r="D130" s="17" t="str">
        <v>SPRING</v>
      </c>
      <c r="E130" s="17" t="str">
        <v>Know how to select the most suitable method for sample collection, preservation and treatment for correct chemical analysis.</v>
      </c>
      <c r="F130" s="10" t="str">
        <v>Apply the advanced instrumental methods of analysis for determination of the different types of pollutants in air, water and soil samples.</v>
      </c>
      <c r="G130" s="10" t="str">
        <v>Apply the quality control and quality assurance in sample collection.</v>
      </c>
      <c r="H130" s="10">
        <v>0</v>
      </c>
      <c r="I130" s="10">
        <v>0</v>
      </c>
      <c r="J130" s="10">
        <v>0</v>
      </c>
      <c r="K130" s="10">
        <v>0</v>
      </c>
      <c r="L130" s="11">
        <v>0</v>
      </c>
      <c r="M130" s="11">
        <v>0</v>
      </c>
      <c r="N130" s="11">
        <v>0</v>
      </c>
      <c r="O130" s="10">
        <v>0</v>
      </c>
      <c r="P130" s="11">
        <v>0</v>
      </c>
      <c r="Q130" s="11">
        <v>0</v>
      </c>
      <c r="R130" s="12" t="b">
        <f t="shared" si="0"/>
        <v>1</v>
      </c>
      <c r="S130" s="12" t="str">
        <v>PEU 346</v>
      </c>
      <c r="T130" s="12" t="e">
        <f t="array" aca="1" ref="T130" ca="1">_xludf.IFNA(LOOKUP(2,1/(C130:Q130&lt;&gt;""),COLUMN(C130:Q130))-2,0)</f>
        <v>#NAME?</v>
      </c>
      <c r="U130" s="12">
        <f t="shared" si="1"/>
        <v>15</v>
      </c>
      <c r="V130" s="12" t="e">
        <f t="shared" ca="1" si="2"/>
        <v>#NAME?</v>
      </c>
    </row>
    <row r="131" spans="1:22" ht="12.75">
      <c r="A131" s="9" t="str">
        <v>ENV</v>
      </c>
      <c r="B131" s="9" t="str">
        <v>ENV 530</v>
      </c>
      <c r="C131" s="10">
        <v>2020</v>
      </c>
      <c r="D131" s="10" t="str">
        <v>SPRING</v>
      </c>
      <c r="E131" s="10" t="str">
        <v>understand the definition of Urban development within the Egyptian context</v>
      </c>
      <c r="F131" s="10" t="str">
        <v>understand the dimentions of Informal urban development</v>
      </c>
      <c r="G131" s="10" t="str">
        <v>understand the different dimentions of the Gated Housing as a special urban development pattern</v>
      </c>
      <c r="H131" s="10" t="str">
        <v>investigate various worldwide patterns of Urbanization : Developed countries</v>
      </c>
      <c r="I131" s="10" t="str">
        <v>investigate various worldwide patterns of Urbanization : Developing countries</v>
      </c>
      <c r="J131" s="10" t="str">
        <v>understand the Elements of Urban Form as a Dimension of the Sustainable City</v>
      </c>
      <c r="K131" s="10" t="str">
        <v>understand Travel and Mobility, and Energy Use as Dimensions of the Sustainable City</v>
      </c>
      <c r="L131" s="11" t="str">
        <v>understand Social Acceptability, and Economic Viability as Dimensions of the Sustainable City</v>
      </c>
      <c r="M131" s="11" t="str">
        <v>identify Neighborhood Design and Sustainable Lifestyles of Sustainable City</v>
      </c>
      <c r="N131" s="11" t="str">
        <v>understand the dimentions of Quality of Urban Life concept</v>
      </c>
      <c r="O131" s="10" t="str">
        <v>identify the indicators of Quality of Urban Life concept worldwide</v>
      </c>
      <c r="P131" s="11" t="str">
        <v>identify the indicators of Quality of Urban Life concept in the Egyptian context</v>
      </c>
      <c r="Q131" s="11" t="str">
        <v>discuss the Spatial Tools for Natural Resources Governance</v>
      </c>
      <c r="R131" s="12" t="b">
        <f t="shared" ca="1" si="0"/>
        <v>0</v>
      </c>
      <c r="S131" s="12" t="str">
        <v>PEU 403</v>
      </c>
      <c r="T131" s="12" t="e">
        <f t="array" aca="1" ref="T131" ca="1">_xludf.IFNA(LOOKUP(2,1/(C131:Q131&lt;&gt;""),COLUMN(C131:Q131))-2,0)</f>
        <v>#NAME?</v>
      </c>
      <c r="U131" s="12">
        <f t="shared" si="1"/>
        <v>15</v>
      </c>
      <c r="V131" s="12" t="e">
        <f t="shared" ca="1" si="2"/>
        <v>#NAME?</v>
      </c>
    </row>
    <row r="132" spans="1:22" ht="12.75">
      <c r="A132" s="9" t="str">
        <v>ENV</v>
      </c>
      <c r="B132" s="9" t="str">
        <v>ENV 598</v>
      </c>
      <c r="C132" s="10">
        <v>2020</v>
      </c>
      <c r="D132" s="10" t="str">
        <v>SPRING</v>
      </c>
      <c r="E132" s="10">
        <v>0</v>
      </c>
      <c r="F132" s="10">
        <v>0</v>
      </c>
      <c r="G132" s="10">
        <v>0</v>
      </c>
      <c r="H132" s="10">
        <v>0</v>
      </c>
      <c r="I132" s="10">
        <v>0</v>
      </c>
      <c r="J132" s="10">
        <v>0</v>
      </c>
      <c r="K132" s="10">
        <v>0</v>
      </c>
      <c r="L132" s="11">
        <v>0</v>
      </c>
      <c r="M132" s="11">
        <v>0</v>
      </c>
      <c r="N132" s="11">
        <v>0</v>
      </c>
      <c r="O132" s="10">
        <v>0</v>
      </c>
      <c r="P132" s="11">
        <v>0</v>
      </c>
      <c r="Q132" s="11">
        <v>0</v>
      </c>
      <c r="R132" s="12" t="b">
        <f t="shared" ca="1" si="0"/>
        <v>0</v>
      </c>
      <c r="S132" s="12" t="str">
        <v>PEU 407</v>
      </c>
      <c r="T132" s="12" t="e">
        <f t="array" aca="1" ref="T132" ca="1">_xludf.IFNA(LOOKUP(2,1/(C132:Q132&lt;&gt;""),COLUMN(C132:Q132))-2,0)</f>
        <v>#NAME?</v>
      </c>
      <c r="U132" s="12">
        <f t="shared" si="1"/>
        <v>15</v>
      </c>
      <c r="V132" s="12" t="e">
        <f t="shared" ca="1" si="2"/>
        <v>#NAME?</v>
      </c>
    </row>
    <row r="133" spans="1:22" ht="12.75">
      <c r="A133" s="9" t="str">
        <v>ENV</v>
      </c>
      <c r="B133" s="9" t="str">
        <v>ENV 599</v>
      </c>
      <c r="C133" s="10">
        <v>2020</v>
      </c>
      <c r="D133" s="10" t="str">
        <v>SPRING</v>
      </c>
      <c r="E133" s="10">
        <v>0</v>
      </c>
      <c r="F133" s="10">
        <v>0</v>
      </c>
      <c r="G133" s="10">
        <v>0</v>
      </c>
      <c r="H133" s="10">
        <v>0</v>
      </c>
      <c r="I133" s="10">
        <v>0</v>
      </c>
      <c r="J133" s="10">
        <v>0</v>
      </c>
      <c r="K133" s="10">
        <v>0</v>
      </c>
      <c r="L133" s="11">
        <v>0</v>
      </c>
      <c r="M133" s="11">
        <v>0</v>
      </c>
      <c r="N133" s="11">
        <v>0</v>
      </c>
      <c r="O133" s="10">
        <v>0</v>
      </c>
      <c r="P133" s="11">
        <v>0</v>
      </c>
      <c r="Q133" s="11">
        <v>0</v>
      </c>
      <c r="R133" s="12" t="b">
        <f t="shared" ca="1" si="0"/>
        <v>0</v>
      </c>
      <c r="S133" s="12" t="str">
        <v>PEU 430</v>
      </c>
      <c r="T133" s="12" t="e">
        <f t="array" aca="1" ref="T133" ca="1">_xludf.IFNA(LOOKUP(2,1/(C133:Q133&lt;&gt;""),COLUMN(C133:Q133))-2,0)</f>
        <v>#NAME?</v>
      </c>
      <c r="U133" s="12">
        <f t="shared" si="1"/>
        <v>15</v>
      </c>
      <c r="V133" s="12" t="e">
        <f t="shared" ca="1" si="2"/>
        <v>#NAME?</v>
      </c>
    </row>
    <row r="134" spans="1:22" ht="12.75">
      <c r="A134" s="9" t="str">
        <v>GenEd</v>
      </c>
      <c r="B134" s="9" t="str">
        <v>ENG 151</v>
      </c>
      <c r="C134" s="17">
        <v>2020</v>
      </c>
      <c r="D134" s="17" t="str">
        <v>SPRING</v>
      </c>
      <c r="E134" s="17" t="str">
        <v>understand, analyze and synthesize information from various sections in scientific journal articles</v>
      </c>
      <c r="F134" s="17" t="str">
        <v>implement the various characteristics of formal scientific writing</v>
      </c>
      <c r="G134" s="17" t="str">
        <v>identify the differences between an informative and descriptive/theoretical abstracts</v>
      </c>
      <c r="H134" s="17" t="str">
        <v>narrow down a general topic to reach a focused statement of a research problem, research question(s), and a hypothesis</v>
      </c>
      <c r="I134" s="10" t="str">
        <v>review and analyze various types of theoretical and empirical research papers in order to write a synthesis matrix that enables me to write a literature review</v>
      </c>
      <c r="J134" s="10" t="str">
        <v>design a methodology section for a research grant proposal</v>
      </c>
      <c r="K134" s="10" t="str">
        <v>outline, write, and format a full-fledged research grant proposal</v>
      </c>
      <c r="L134" s="11" t="str">
        <v>make a compelling poster presentation</v>
      </c>
      <c r="M134" s="11">
        <v>0</v>
      </c>
      <c r="N134" s="11">
        <v>0</v>
      </c>
      <c r="O134" s="10">
        <v>0</v>
      </c>
      <c r="P134" s="11">
        <v>0</v>
      </c>
      <c r="Q134" s="11">
        <v>0</v>
      </c>
      <c r="R134" s="12" t="b">
        <f t="shared" si="0"/>
        <v>1</v>
      </c>
      <c r="S134" s="12" t="str">
        <v>PEU 450</v>
      </c>
      <c r="T134" s="12" t="e">
        <f t="array" aca="1" ref="T134" ca="1">_xludf.IFNA(LOOKUP(2,1/(C134:Q134&lt;&gt;""),COLUMN(C134:Q134))-2,0)</f>
        <v>#NAME?</v>
      </c>
      <c r="U134" s="12">
        <f t="shared" si="1"/>
        <v>15</v>
      </c>
      <c r="V134" s="12" t="e">
        <f t="shared" ca="1" si="2"/>
        <v>#NAME?</v>
      </c>
    </row>
    <row r="135" spans="1:22" ht="14.25">
      <c r="A135" s="9" t="str">
        <v>GenEd</v>
      </c>
      <c r="B135" s="9" t="str">
        <v>ENG 152</v>
      </c>
      <c r="C135" s="43">
        <v>2020</v>
      </c>
      <c r="D135" s="43" t="str">
        <v>SPRING</v>
      </c>
      <c r="E135" s="43" t="str">
        <v>Critically and rhetorical analyze written and spoken texts/arguments.</v>
      </c>
      <c r="F135" s="43" t="str">
        <v>Identify one-sided, multi-sided, and dialogic arguments</v>
      </c>
      <c r="G135" s="43" t="str">
        <v>Develop a delayed-thesis argumentative essay by presenting verified counter views.</v>
      </c>
      <c r="H135" s="43" t="str">
        <v>Improve integrating valid and reliable sources using APA documentation style.</v>
      </c>
      <c r="I135" s="43" t="str">
        <v>Detect illogical reasoning in spoken and written arguments.</v>
      </c>
      <c r="J135" s="43" t="str">
        <v>Respectfully refute counter views.</v>
      </c>
      <c r="K135" s="43" t="str">
        <v>Understand the different types of public speeches</v>
      </c>
      <c r="L135" s="43" t="str">
        <v>Select and refine speech topics and theses</v>
      </c>
      <c r="M135" s="11" t="str">
        <v>Integrate credible sources to organize ideas coherently before conducting a speech</v>
      </c>
      <c r="N135" s="11" t="str">
        <v>Evaluate and implement organizational strategies and craft transitions that guide audience understanding</v>
      </c>
      <c r="O135" s="10" t="str">
        <v>Practice delivery that aids in audience understanding and elicits and maintains audience interest</v>
      </c>
      <c r="P135" s="11" t="str">
        <v>Evaluate other public speakers using the criteria studied in the course</v>
      </c>
      <c r="Q135" s="11" t="str">
        <v>Use clear, concise, accurate, and interesting wording to reate, prepare, and deliver public speeches.</v>
      </c>
      <c r="R135" s="12" t="b">
        <f t="shared" si="0"/>
        <v>1</v>
      </c>
      <c r="S135" s="12" t="str">
        <v>PEU 453</v>
      </c>
      <c r="T135" s="12" t="e">
        <f t="array" aca="1" ref="T135" ca="1">_xludf.IFNA(LOOKUP(2,1/(C135:Q135&lt;&gt;""),COLUMN(C135:Q135))-2,0)</f>
        <v>#NAME?</v>
      </c>
      <c r="U135" s="12">
        <f t="shared" si="1"/>
        <v>15</v>
      </c>
      <c r="V135" s="12" t="e">
        <f t="shared" ca="1" si="2"/>
        <v>#NAME?</v>
      </c>
    </row>
    <row r="136" spans="1:22" ht="14.25">
      <c r="A136" s="9" t="str">
        <v>GenEd</v>
      </c>
      <c r="B136" s="9" t="str">
        <v>ENG 601</v>
      </c>
      <c r="C136" s="44">
        <v>2020</v>
      </c>
      <c r="D136" s="44" t="str">
        <v>SPRING</v>
      </c>
      <c r="E136" s="45" t="str">
        <v>NOT offered during Fall 2019</v>
      </c>
      <c r="F136" s="45" t="str">
        <v>NOT offered during Fall 2019</v>
      </c>
      <c r="G136" s="45" t="str">
        <v>NOT offered during Fall 2019</v>
      </c>
      <c r="H136" s="44" t="str">
        <v>NOT offered during Fall 2019</v>
      </c>
      <c r="I136" s="45" t="str">
        <v>NOT offered during Fall 2019</v>
      </c>
      <c r="J136" s="44" t="str">
        <v>NOT offered during Fall 2019</v>
      </c>
      <c r="K136" s="45">
        <v>0</v>
      </c>
      <c r="L136" s="45">
        <v>0</v>
      </c>
      <c r="M136" s="45">
        <v>0</v>
      </c>
      <c r="N136" s="44">
        <v>0</v>
      </c>
      <c r="O136" s="44">
        <v>0</v>
      </c>
      <c r="P136" s="11">
        <v>0</v>
      </c>
      <c r="Q136" s="11">
        <v>0</v>
      </c>
      <c r="R136" s="12" t="b">
        <f t="shared" ca="1" si="0"/>
        <v>0</v>
      </c>
      <c r="S136" s="12" t="str">
        <v>PEU 455</v>
      </c>
      <c r="T136" s="12" t="e">
        <f t="array" aca="1" ref="T136" ca="1">_xludf.IFNA(LOOKUP(2,1/(C136:Q136&lt;&gt;""),COLUMN(C136:Q136))-2,0)</f>
        <v>#NAME?</v>
      </c>
      <c r="U136" s="12">
        <f t="shared" si="1"/>
        <v>15</v>
      </c>
      <c r="V136" s="12" t="e">
        <f t="shared" ca="1" si="2"/>
        <v>#NAME?</v>
      </c>
    </row>
    <row r="137" spans="1:22" ht="14.25">
      <c r="A137" s="9" t="str">
        <v>GenEd</v>
      </c>
      <c r="B137" s="9" t="str">
        <v>ENGL 003</v>
      </c>
      <c r="C137" s="10">
        <v>2020</v>
      </c>
      <c r="D137" s="10" t="str">
        <v>SPRING</v>
      </c>
      <c r="E137" s="10" t="str">
        <v>Understand and implement the rules of phonetics and speaking skills in oral presentations</v>
      </c>
      <c r="F137" s="10" t="str">
        <v>Avoid common problems in pronunciation</v>
      </c>
      <c r="G137" s="10" t="str">
        <v>Understand a variety of texts and acquire new vocabulary and collocations</v>
      </c>
      <c r="H137" s="46" t="str">
        <v>Formulate and improve topic sentences of paragraphs</v>
      </c>
      <c r="I137" s="10" t="str">
        <v>Develop paragraphs with supporting information and ideas</v>
      </c>
      <c r="J137" s="46" t="str">
        <v>Revise paragraphs to increase unity and coherence</v>
      </c>
      <c r="K137" s="47" t="str">
        <v>Plan, organize and write a Comparison and Contrast Essay</v>
      </c>
      <c r="L137" t="str">
        <v>Be familiar with common errors in writing</v>
      </c>
      <c r="M137" s="47" t="str">
        <v>Avoid Plagiarism and to be aware of its consequences</v>
      </c>
      <c r="N137" s="47" t="str">
        <v>Understand a variety of texts and acquire new vocabulary and collocations</v>
      </c>
      <c r="O137" s="46">
        <v>0</v>
      </c>
      <c r="P137" s="11">
        <v>0</v>
      </c>
      <c r="Q137" s="11">
        <v>0</v>
      </c>
      <c r="R137" s="12" t="b">
        <f t="shared" ca="1" si="0"/>
        <v>0</v>
      </c>
      <c r="S137" s="12" t="str">
        <v>PHIL 301</v>
      </c>
      <c r="T137" s="12" t="e">
        <f t="array" aca="1" ref="T137" ca="1">_xludf.IFNA(LOOKUP(2,1/(C137:Q137&lt;&gt;""),COLUMN(C137:Q137))-2,0)</f>
        <v>#NAME?</v>
      </c>
      <c r="U137" s="12">
        <f t="shared" si="1"/>
        <v>15</v>
      </c>
      <c r="V137" s="12" t="e">
        <f t="shared" ca="1" si="2"/>
        <v>#NAME?</v>
      </c>
    </row>
    <row r="138" spans="1:22" ht="12.75">
      <c r="A138" s="9" t="str">
        <v>GenEd</v>
      </c>
      <c r="B138" s="9" t="str">
        <v>ENGL 004</v>
      </c>
      <c r="C138" s="10">
        <v>2020</v>
      </c>
      <c r="D138" s="10" t="str">
        <v>SPRING</v>
      </c>
      <c r="E138" s="10" t="str">
        <v>Generate ideas using prewriting techniques</v>
      </c>
      <c r="F138" s="10" t="str">
        <v>Organize their ideas into a structured (keyword-based) outline</v>
      </c>
      <c r="G138" s="10" t="str">
        <v>Find and evaluate sources to distinguish between reliable and unreliable ones and between main and minor ideas</v>
      </c>
      <c r="H138" s="10" t="str">
        <v>Distinguish between the types of plagiarism</v>
      </c>
      <c r="I138" s="10" t="str">
        <v>Produce an Expository essay and integrate 3 sources to support their ideas and conform to APA style conventions</v>
      </c>
      <c r="J138" s="10" t="str">
        <v>Use complex sentence structure and appropriate collocations in writing</v>
      </c>
      <c r="K138" s="10" t="str">
        <v>Skim and scan texts to draw inferences and distinguish between facts and opinions</v>
      </c>
      <c r="L138" s="11" t="str">
        <v>Apply different listening strategies to identify main and minor ideas</v>
      </c>
      <c r="M138" s="11" t="str">
        <v>Identify and apply connected speech rules (sentence stress and intonation)</v>
      </c>
      <c r="N138" s="11" t="str">
        <v>Brainstorm, select and refine information relevant to the Impromptu Speech</v>
      </c>
      <c r="O138" s="10" t="str">
        <v>Organize and deliver their speech using effective and appropriate body language</v>
      </c>
      <c r="P138" s="11" t="str">
        <v>Use effective and accurate pronunciation stress, intonation, voice level, and pacing</v>
      </c>
      <c r="Q138" s="11" t="str">
        <v>Demonstrate appropriate time management skills</v>
      </c>
      <c r="R138" s="12" t="b">
        <f t="shared" ca="1" si="0"/>
        <v>0</v>
      </c>
      <c r="S138" s="12" t="str">
        <v>PHYS 101</v>
      </c>
      <c r="T138" s="12" t="e">
        <f t="array" aca="1" ref="T138" ca="1">_xludf.IFNA(LOOKUP(2,1/(C138:Q138&lt;&gt;""),COLUMN(C138:Q138))-2,0)</f>
        <v>#NAME?</v>
      </c>
      <c r="U138" s="12">
        <f t="shared" si="1"/>
        <v>15</v>
      </c>
      <c r="V138" s="12" t="e">
        <f t="shared" ca="1" si="2"/>
        <v>#NAME?</v>
      </c>
    </row>
    <row r="139" spans="1:22" ht="12.75">
      <c r="A139" s="9" t="str">
        <v>GenEd</v>
      </c>
      <c r="B139" s="9" t="str">
        <v>ENGL 202</v>
      </c>
      <c r="C139" s="10">
        <v>2020</v>
      </c>
      <c r="D139" s="10" t="str">
        <v>SPRING</v>
      </c>
      <c r="E139" s="10" t="str">
        <v>Identify different types of research paradigms/designs in various research disciplines</v>
      </c>
      <c r="F139" s="10" t="str">
        <v>understand, analyze and synthesize information from various sections in scientific journal articles</v>
      </c>
      <c r="G139" s="10" t="str">
        <v>implement the various characteristics of formal scientific writing</v>
      </c>
      <c r="H139" s="10" t="str">
        <v>identify the differences between an informative and descriptive/theoretical abstracts</v>
      </c>
      <c r="I139" s="10" t="str">
        <v>narrow down a general topic to reach a focused statement of a research problem, research question(s), and a hypothesis</v>
      </c>
      <c r="J139" s="10" t="str">
        <v>review and analyze various types of theoretical and empirical research papers in order to write a synthesis matrix that enables me to write a literature review</v>
      </c>
      <c r="K139" s="10" t="str">
        <v>design a methodology section for a research grant proposal</v>
      </c>
      <c r="L139" s="11" t="str">
        <v>outline, write, and format a full-fledged research grant proposal</v>
      </c>
      <c r="M139" s="11" t="str">
        <v>demonstrate a full understanding and application of the concept of academic honesty and integrity by documenting information from sources using IEEE documentation style.</v>
      </c>
      <c r="N139" s="11">
        <v>0</v>
      </c>
      <c r="O139" s="10">
        <v>0</v>
      </c>
      <c r="P139" s="11">
        <v>0</v>
      </c>
      <c r="Q139" s="11">
        <v>0</v>
      </c>
      <c r="R139" s="12" t="b">
        <f t="shared" si="0"/>
        <v>1</v>
      </c>
      <c r="S139" s="12" t="str">
        <v>PHYS 111</v>
      </c>
      <c r="T139" s="12" t="e">
        <f t="array" aca="1" ref="T139" ca="1">_xludf.IFNA(LOOKUP(2,1/(C139:Q139&lt;&gt;""),COLUMN(C139:Q139))-2,0)</f>
        <v>#NAME?</v>
      </c>
      <c r="U139" s="12">
        <f t="shared" si="1"/>
        <v>15</v>
      </c>
      <c r="V139" s="12" t="e">
        <f t="shared" ca="1" si="2"/>
        <v>#NAME?</v>
      </c>
    </row>
    <row r="140" spans="1:22" ht="12.75">
      <c r="A140" s="9" t="str">
        <v>GenEd</v>
      </c>
      <c r="B140" s="9" t="str">
        <v>ENGR/SCI 304</v>
      </c>
      <c r="C140" s="10">
        <v>2020</v>
      </c>
      <c r="D140" s="10" t="str">
        <v>SPRING</v>
      </c>
      <c r="E140" s="10" t="str">
        <v>Define rules, issues, options relevant to ethical concepts</v>
      </c>
      <c r="F140" s="10" t="str">
        <v>Identify and analyze an ethical issue in the context of science or technology.</v>
      </c>
      <c r="G140" s="10" t="str">
        <v>Identify the various ethical interests in a real-world situation and value of ethical decision-making.</v>
      </c>
      <c r="H140" s="10" t="str">
        <v>Identify ethical concerns in research, including academic integrity, use and citation of sources, the objective presentation of data, and the treatment of human subjects.</v>
      </c>
      <c r="I140" s="10" t="str">
        <v>Understand different types of applied ethics such as engineering, environmental and health care ethics.</v>
      </c>
      <c r="J140" s="10" t="str">
        <v>Analyze the main arguments, pro and con, for contract and procurement.</v>
      </c>
      <c r="K140" s="10" t="str">
        <v>Integrate, synthesize, and apply knowledge of ethical dilemmas and resolutions to real world issues.</v>
      </c>
      <c r="L140" s="11" t="str">
        <v>Integrate ethical and professional behavior in biological and chemical waste, pharmaceutical or other work based learning environment.</v>
      </c>
      <c r="M140" s="11" t="str">
        <v>Safely apply techniques and instrumentation in biosafety monitoring, biohazardous waste disposal and risk management.</v>
      </c>
      <c r="N140" s="11" t="str">
        <v>To have a positive disposition toward continued learning about ethics</v>
      </c>
      <c r="O140" s="10">
        <v>0</v>
      </c>
      <c r="P140" s="11">
        <v>0</v>
      </c>
      <c r="Q140" s="11">
        <v>0</v>
      </c>
      <c r="R140" s="12" t="b">
        <f t="shared" ca="1" si="0"/>
        <v>0</v>
      </c>
      <c r="S140" s="12" t="str">
        <v>PHYS 201</v>
      </c>
      <c r="T140" s="12" t="e">
        <f t="array" aca="1" ref="T140" ca="1">_xludf.IFNA(LOOKUP(2,1/(C140:Q140&lt;&gt;""),COLUMN(C140:Q140))-2,0)</f>
        <v>#NAME?</v>
      </c>
      <c r="U140" s="12">
        <f t="shared" si="1"/>
        <v>15</v>
      </c>
      <c r="V140" s="12" t="e">
        <f t="shared" ca="1" si="2"/>
        <v>#NAME?</v>
      </c>
    </row>
    <row r="141" spans="1:22" ht="12.75">
      <c r="A141" s="9" t="str">
        <v>GenEd</v>
      </c>
      <c r="B141" s="9" t="str">
        <v>PHIL 101</v>
      </c>
      <c r="C141" s="10">
        <v>2020</v>
      </c>
      <c r="D141" s="10" t="str">
        <v>SPRING</v>
      </c>
      <c r="E141" s="10" t="str">
        <v>Understand what philosophy is and its importance</v>
      </c>
      <c r="F141" s="10" t="str">
        <v>Identify errors of reasoning and explain what the error is</v>
      </c>
      <c r="G141" s="10" t="str">
        <v>Explore the nature of reality, and the origins of knowledge.</v>
      </c>
      <c r="H141" s="10" t="str">
        <v>Compare and contrast Scientific Realism and Instrumentalism</v>
      </c>
      <c r="I141" s="10" t="str">
        <v>Evaluate the different philosophical schools that try to define the self, and understand the implications for the field of Artificial Intelligence.</v>
      </c>
      <c r="J141" s="10" t="str">
        <v>Analyze and classify the key philosophical concepts of determinism and free will, the existence of God, personal identity, social justice, and ethics.</v>
      </c>
      <c r="K141" s="10">
        <v>0</v>
      </c>
      <c r="L141" s="11">
        <v>0</v>
      </c>
      <c r="M141" s="11">
        <v>0</v>
      </c>
      <c r="N141" s="11">
        <v>0</v>
      </c>
      <c r="O141" s="10">
        <v>0</v>
      </c>
      <c r="P141" s="11">
        <v>0</v>
      </c>
      <c r="Q141" s="11">
        <v>0</v>
      </c>
      <c r="R141" s="12" t="b">
        <f t="shared" ca="1" si="0"/>
        <v>0</v>
      </c>
      <c r="S141" s="12" t="str">
        <v>PHYS 211</v>
      </c>
      <c r="T141" s="12" t="e">
        <f t="array" aca="1" ref="T141" ca="1">_xludf.IFNA(LOOKUP(2,1/(C141:Q141&lt;&gt;""),COLUMN(C141:Q141))-2,0)</f>
        <v>#NAME?</v>
      </c>
      <c r="U141" s="12">
        <f t="shared" si="1"/>
        <v>15</v>
      </c>
      <c r="V141" s="12" t="e">
        <f t="shared" ca="1" si="2"/>
        <v>#NAME?</v>
      </c>
    </row>
    <row r="142" spans="1:22" ht="12.75">
      <c r="A142" s="9" t="str">
        <v>GenEd</v>
      </c>
      <c r="B142" s="9" t="str">
        <v>PHIL 301</v>
      </c>
      <c r="C142" s="10">
        <v>2020</v>
      </c>
      <c r="D142" s="10" t="str">
        <v>SPRING</v>
      </c>
      <c r="E142" t="str">
        <v>Acquire a holistic view of Science, as a system defined by logic and methodology, and as an essential human endeavor that shaped history and civilization.</v>
      </c>
      <c r="F142" s="10" t="str">
        <v>Understand the different epistemological foundations of science such as: empiricism, induction, deduction, falsifiability, hypothesis, theory.... etc.</v>
      </c>
      <c r="G142" s="10" t="str">
        <v>Develop an understanding of the essence and nature of mathematics, its deductive method, and its status and role in the system of science.</v>
      </c>
      <c r="H142" s="10" t="str">
        <v>Understand the concept of the “Paradigm” which deals with science as a human practice that has its cultural and social dimensions</v>
      </c>
      <c r="I142" s="10" t="str">
        <v>Have a clear image of the history and process of science from its inceptions in the ancient oriental civilizations, to the Greek and Alexandrian sciences, followed by Arab Islamic sciences and how they paved the way to the revolution of modern science in the 17th century.</v>
      </c>
      <c r="J142" s="10" t="str">
        <v>Learn about the developments in modern science and the great impact of the revolutions of relativity and quantum in the 20th century.</v>
      </c>
      <c r="K142" s="10" t="str">
        <v>Gain deep insight to the nature of “progress” as a distinctive feature of scientific knowledge.</v>
      </c>
      <c r="L142" s="11">
        <v>0</v>
      </c>
      <c r="M142" s="11">
        <v>0</v>
      </c>
      <c r="N142" s="11">
        <v>0</v>
      </c>
      <c r="O142" s="10">
        <v>0</v>
      </c>
      <c r="P142" s="11">
        <v>0</v>
      </c>
      <c r="Q142" s="11">
        <v>0</v>
      </c>
      <c r="R142" s="12" t="b">
        <f t="shared" si="0"/>
        <v>1</v>
      </c>
      <c r="S142" s="12" t="str">
        <v>REE 201</v>
      </c>
      <c r="T142" s="12" t="e">
        <f t="array" aca="1" ref="T142" ca="1">_xludf.IFNA(LOOKUP(2,1/(C142:Q142&lt;&gt;""),COLUMN(C142:Q142))-2,0)</f>
        <v>#NAME?</v>
      </c>
      <c r="U142" s="12">
        <f t="shared" si="1"/>
        <v>15</v>
      </c>
      <c r="V142" s="12" t="e">
        <f t="shared" ca="1" si="2"/>
        <v>#NAME?</v>
      </c>
    </row>
    <row r="143" spans="1:22" ht="12.75">
      <c r="A143" s="9" t="str">
        <v>GenEd</v>
      </c>
      <c r="B143" s="9" t="str">
        <v>SCH 201</v>
      </c>
      <c r="C143" s="10">
        <v>2020</v>
      </c>
      <c r="D143" s="10" t="str">
        <v>SPRING</v>
      </c>
      <c r="E143" s="10">
        <v>0</v>
      </c>
      <c r="F143" s="10">
        <v>0</v>
      </c>
      <c r="G143" s="10">
        <v>0</v>
      </c>
      <c r="H143" s="10">
        <v>0</v>
      </c>
      <c r="I143" s="10">
        <v>0</v>
      </c>
      <c r="J143" s="10">
        <v>0</v>
      </c>
      <c r="K143" s="10">
        <v>0</v>
      </c>
      <c r="L143" s="11">
        <v>0</v>
      </c>
      <c r="M143" s="11">
        <v>0</v>
      </c>
      <c r="N143" s="11">
        <v>0</v>
      </c>
      <c r="O143" s="10">
        <v>0</v>
      </c>
      <c r="P143" s="11">
        <v>0</v>
      </c>
      <c r="Q143" s="11">
        <v>0</v>
      </c>
      <c r="R143" s="12" t="b">
        <f t="shared" si="0"/>
        <v>1</v>
      </c>
      <c r="S143" s="12" t="str">
        <v>REE 209</v>
      </c>
      <c r="T143" s="12" t="e">
        <f t="array" aca="1" ref="T143" ca="1">_xludf.IFNA(LOOKUP(2,1/(C143:Q143&lt;&gt;""),COLUMN(C143:Q143))-2,0)</f>
        <v>#NAME?</v>
      </c>
      <c r="U143" s="12">
        <f t="shared" si="1"/>
        <v>15</v>
      </c>
      <c r="V143" s="12" t="e">
        <f t="shared" ca="1" si="2"/>
        <v>#NAME?</v>
      </c>
    </row>
    <row r="144" spans="1:22">
      <c r="A144" s="9" t="str">
        <v>GenEd</v>
      </c>
      <c r="B144" s="9" t="str">
        <v>SCH 202</v>
      </c>
      <c r="C144" s="48">
        <v>2020</v>
      </c>
      <c r="D144" s="22" t="str">
        <v>SPRING</v>
      </c>
      <c r="E144" s="22" t="str">
        <v>Understand and explain the elements of Music: melody, time, form, structure, texture, and tone color.</v>
      </c>
      <c r="F144" s="22" t="str">
        <v>Identify and recognize the types and ranges of the human voice and orchestra and Egyptian ensemble instruments</v>
      </c>
      <c r="G144" s="22" t="str">
        <v>Recognize different musical types and genres</v>
      </c>
      <c r="H144" s="22" t="str">
        <v>Identify western music eras (Baroque, Classical, Romantic and Twentieth Century), identify some representative composers of each period and learn something about their lives, their historical and cultural context.</v>
      </c>
      <c r="I144" s="22" t="str">
        <v>Define notes, use of octave higher and lower, enharmonic notes, expression, dynamic and speed/tempo terminology.</v>
      </c>
      <c r="J144" s="22" t="str">
        <v>Define beats, dotted beats, rests, time signatures, speed terms.</v>
      </c>
      <c r="K144" s="22" t="str">
        <v>Read some simple music scores</v>
      </c>
      <c r="L144" s="22" t="str">
        <v>Analyze some instrumental and vocal compositions.</v>
      </c>
      <c r="M144" s="17" t="str">
        <v>Acquire a basic understanding of musical genres, composers, and styles.</v>
      </c>
      <c r="N144" s="11" t="str">
        <v>Gain tools and skills to corelate music with their area of major</v>
      </c>
      <c r="O144" s="10">
        <v>0</v>
      </c>
      <c r="P144" s="11">
        <v>0</v>
      </c>
      <c r="Q144" s="11">
        <v>0</v>
      </c>
      <c r="R144" s="12" t="b">
        <f t="shared" si="0"/>
        <v>1</v>
      </c>
      <c r="S144" s="12" t="str">
        <v>REE 309</v>
      </c>
      <c r="T144" s="12" t="e">
        <f t="array" aca="1" ref="T144" ca="1">_xludf.IFNA(LOOKUP(2,1/(C144:Q144&lt;&gt;""),COLUMN(C144:Q144))-2,0)</f>
        <v>#NAME?</v>
      </c>
      <c r="U144" s="12">
        <f t="shared" si="1"/>
        <v>15</v>
      </c>
      <c r="V144" s="12" t="e">
        <f t="shared" ca="1" si="2"/>
        <v>#NAME?</v>
      </c>
    </row>
    <row r="145" spans="1:22" ht="12.75">
      <c r="A145" s="9" t="str">
        <v>GenEd</v>
      </c>
      <c r="B145" s="9" t="str">
        <v>SCH 203</v>
      </c>
      <c r="C145" s="10">
        <v>2020</v>
      </c>
      <c r="D145" s="10" t="str">
        <v>SPRING</v>
      </c>
      <c r="E145" s="10">
        <v>0</v>
      </c>
      <c r="F145" s="10">
        <v>0</v>
      </c>
      <c r="G145" s="10">
        <v>0</v>
      </c>
      <c r="H145" s="10">
        <v>0</v>
      </c>
      <c r="I145" s="10">
        <v>0</v>
      </c>
      <c r="J145" s="10">
        <v>0</v>
      </c>
      <c r="K145" s="10">
        <v>0</v>
      </c>
      <c r="L145" s="11">
        <v>0</v>
      </c>
      <c r="M145" s="11">
        <v>0</v>
      </c>
      <c r="N145" s="11">
        <v>0</v>
      </c>
      <c r="O145" s="10">
        <v>0</v>
      </c>
      <c r="P145" s="11">
        <v>0</v>
      </c>
      <c r="Q145" s="11">
        <v>0</v>
      </c>
      <c r="R145" s="12" t="b">
        <f t="shared" ca="1" si="0"/>
        <v>0</v>
      </c>
      <c r="S145" s="12" t="str">
        <v>REE 401</v>
      </c>
      <c r="T145" s="12" t="e">
        <f t="array" aca="1" ref="T145" ca="1">_xludf.IFNA(LOOKUP(2,1/(C145:Q145&lt;&gt;""),COLUMN(C145:Q145))-2,0)</f>
        <v>#NAME?</v>
      </c>
      <c r="U145" s="12">
        <f t="shared" si="1"/>
        <v>15</v>
      </c>
      <c r="V145" s="12" t="e">
        <f t="shared" ca="1" si="2"/>
        <v>#NAME?</v>
      </c>
    </row>
    <row r="146" spans="1:22" ht="12.75">
      <c r="A146" s="9" t="str">
        <v>GenEd</v>
      </c>
      <c r="B146" s="9" t="str">
        <v>SCH 206</v>
      </c>
      <c r="C146" s="17">
        <v>2020</v>
      </c>
      <c r="D146" s="17" t="str">
        <v>SPRING</v>
      </c>
      <c r="E146" s="17" t="str">
        <v>Define facts, conditions and circumstances connected with an art piece</v>
      </c>
      <c r="F146" s="17" t="str">
        <v>Identify sources of inspiration of the artist</v>
      </c>
      <c r="G146" s="17" t="str">
        <v>Discuss the historical context in which a work of art is made</v>
      </c>
      <c r="H146" s="17" t="str">
        <v>Locate world masterpieces from different cultures according to its distinctive characteristics</v>
      </c>
      <c r="I146" s="10" t="str">
        <v>Outline the visual elements in a work of art</v>
      </c>
      <c r="J146" s="10" t="str">
        <v>Interpret the content of a good number of the world masterpieces</v>
      </c>
      <c r="K146" s="10">
        <v>0</v>
      </c>
      <c r="L146" s="11">
        <v>0</v>
      </c>
      <c r="M146" s="11">
        <v>0</v>
      </c>
      <c r="N146" s="11">
        <v>0</v>
      </c>
      <c r="O146" s="10">
        <v>0</v>
      </c>
      <c r="P146" s="11">
        <v>0</v>
      </c>
      <c r="Q146" s="11">
        <v>0</v>
      </c>
      <c r="R146" s="12" t="b">
        <f t="shared" si="0"/>
        <v>1</v>
      </c>
      <c r="S146" s="12" t="str">
        <v>REE 405</v>
      </c>
      <c r="T146" s="12" t="e">
        <f t="array" aca="1" ref="T146" ca="1">_xludf.IFNA(LOOKUP(2,1/(C146:Q146&lt;&gt;""),COLUMN(C146:Q146))-2,0)</f>
        <v>#NAME?</v>
      </c>
      <c r="U146" s="12">
        <f t="shared" si="1"/>
        <v>15</v>
      </c>
      <c r="V146" s="12" t="e">
        <f t="shared" ca="1" si="2"/>
        <v>#NAME?</v>
      </c>
    </row>
    <row r="147" spans="1:22" ht="12.75">
      <c r="A147" s="9" t="str">
        <v>GenEd</v>
      </c>
      <c r="B147" s="9" t="str">
        <v>SCH 208</v>
      </c>
      <c r="C147" s="10">
        <v>2020</v>
      </c>
      <c r="D147" s="10" t="str">
        <v>SPRING</v>
      </c>
      <c r="E147" s="10" t="str">
        <v>Identify the main steps towards making economics decisions</v>
      </c>
      <c r="F147" s="10" t="str">
        <v>Understand Different Technologies of Renewable Energy</v>
      </c>
      <c r="G147" s="10" t="str">
        <v>Describe Basic Economical concept for Renewable Energy</v>
      </c>
      <c r="H147" s="10" t="str">
        <v>Describe how to compare different alternatives of investment</v>
      </c>
      <c r="I147" s="10" t="str">
        <v>Compare between Microeconomics and Macroeconomics</v>
      </c>
      <c r="J147" s="10">
        <v>0</v>
      </c>
      <c r="K147" s="10">
        <v>0</v>
      </c>
      <c r="L147" s="11">
        <v>0</v>
      </c>
      <c r="M147" s="11">
        <v>0</v>
      </c>
      <c r="N147" s="11">
        <v>0</v>
      </c>
      <c r="O147" s="10">
        <v>0</v>
      </c>
      <c r="P147" s="11">
        <v>0</v>
      </c>
      <c r="Q147" s="11">
        <v>0</v>
      </c>
      <c r="R147" s="12" t="b">
        <f t="shared" si="0"/>
        <v>1</v>
      </c>
      <c r="S147" s="12" t="str">
        <v>REE 466</v>
      </c>
      <c r="T147" s="12" t="e">
        <f t="array" aca="1" ref="T147" ca="1">_xludf.IFNA(LOOKUP(2,1/(C147:Q147&lt;&gt;""),COLUMN(C147:Q147))-2,0)</f>
        <v>#NAME?</v>
      </c>
      <c r="U147" s="12">
        <f t="shared" si="1"/>
        <v>15</v>
      </c>
      <c r="V147" s="12" t="e">
        <f t="shared" ca="1" si="2"/>
        <v>#NAME?</v>
      </c>
    </row>
    <row r="148" spans="1:22" ht="12.75">
      <c r="A148" s="9" t="str">
        <v>GenEd</v>
      </c>
      <c r="B148" s="9" t="str">
        <v>SCH 232</v>
      </c>
      <c r="C148" s="17">
        <v>2020</v>
      </c>
      <c r="D148" s="17" t="str">
        <v>SPRING</v>
      </c>
      <c r="E148" s="17" t="str">
        <v>Dfine psychologyand descripe the major subfields within it</v>
      </c>
      <c r="F148" s="17" t="str">
        <v>Distingyish between sensation and perception, explain Gestalt principles of perceptual organization and describe several perceptual constancies.</v>
      </c>
      <c r="G148" s="17" t="str">
        <v>Describe the different states of consciousness, including sleep and its different types and hypnosis.</v>
      </c>
      <c r="H148" s="17" t="str">
        <v>Describe the elements of classical, operant conditioning and cognitive learning.</v>
      </c>
      <c r="I148" s="17" t="str">
        <v>Define differnt types of memory and define the factors that faciliate recalling and lead to forgetting.</v>
      </c>
      <c r="J148" s="17" t="str">
        <v>Define motivation, identify different needs, and smmerize Maslow's hierarchy.</v>
      </c>
      <c r="K148" s="17" t="str">
        <v>Define personality and understand the the underlying causes of it.</v>
      </c>
      <c r="L148" s="11" t="str">
        <v>Distinguish between stressors and stress. Identify the major sources of stress and introduce ways to reduce stress.</v>
      </c>
      <c r="M148" s="11" t="str">
        <v>Present the differnt classification of diorders, symptoms and causes. Compare and contrast differnt therapies.</v>
      </c>
      <c r="N148" s="11">
        <v>0</v>
      </c>
      <c r="O148" s="10">
        <v>0</v>
      </c>
      <c r="P148" s="11">
        <v>0</v>
      </c>
      <c r="Q148" s="11">
        <v>0</v>
      </c>
      <c r="R148" s="12" t="b">
        <f t="shared" si="0"/>
        <v>1</v>
      </c>
      <c r="S148" s="12" t="str">
        <v>REE 520</v>
      </c>
      <c r="T148" s="12" t="e">
        <f t="array" aca="1" ref="T148" ca="1">_xludf.IFNA(LOOKUP(2,1/(C148:Q148&lt;&gt;""),COLUMN(C148:Q148))-2,0)</f>
        <v>#NAME?</v>
      </c>
      <c r="U148" s="12">
        <f t="shared" si="1"/>
        <v>15</v>
      </c>
      <c r="V148" s="12" t="e">
        <f t="shared" ca="1" si="2"/>
        <v>#NAME?</v>
      </c>
    </row>
    <row r="149" spans="1:22" ht="12.75">
      <c r="A149" s="9" t="str">
        <v>GenEd</v>
      </c>
      <c r="B149" s="9" t="str">
        <v>SCH 233</v>
      </c>
      <c r="C149" s="10">
        <v>2020</v>
      </c>
      <c r="D149" s="10" t="str">
        <v>SPRING</v>
      </c>
      <c r="E149" s="10" t="str">
        <v>Identify the main steps towards making economics decisions</v>
      </c>
      <c r="F149" s="10" t="str">
        <v>Introducing the concept of interest and providing examples</v>
      </c>
      <c r="G149" s="10" t="str">
        <v>Understand the different economic analysis methods, such as: Present worth analysis, annual equivalent cash benefit (or cost) analysis, rate of return analysis.</v>
      </c>
      <c r="H149" s="10" t="str">
        <v>Describe how to compare different alternatives of investment</v>
      </c>
      <c r="I149" s="10" t="str">
        <v>Apply the appropriate engineering economics analysis method(s) for problem solving: present worth, annual cost, rate-of-return, payback, break-even, benefit-cost ratio.</v>
      </c>
      <c r="J149" s="10" t="str">
        <v>Apply all mathematical approach models covered in solving engineering economics problems: mathematical formulas, interest factors from tables, Excel functions and graphs.</v>
      </c>
      <c r="K149" s="10" t="str">
        <v>Understand the inflation concept, reasons, and its effect on investment plans.</v>
      </c>
      <c r="L149" s="11">
        <v>0</v>
      </c>
      <c r="M149" s="11">
        <v>0</v>
      </c>
      <c r="N149" s="11">
        <v>0</v>
      </c>
      <c r="O149" s="10">
        <v>0</v>
      </c>
      <c r="P149" s="11">
        <v>0</v>
      </c>
      <c r="Q149" s="11">
        <v>0</v>
      </c>
      <c r="R149" s="12" t="b">
        <f t="shared" ca="1" si="0"/>
        <v>0</v>
      </c>
      <c r="S149" s="12" t="str">
        <v>REE 532</v>
      </c>
      <c r="T149" s="12" t="e">
        <f t="array" aca="1" ref="T149" ca="1">_xludf.IFNA(LOOKUP(2,1/(C149:Q149&lt;&gt;""),COLUMN(C149:Q149))-2,0)</f>
        <v>#NAME?</v>
      </c>
      <c r="U149" s="12">
        <f t="shared" si="1"/>
        <v>15</v>
      </c>
      <c r="V149" s="12" t="e">
        <f t="shared" ca="1" si="2"/>
        <v>#NAME?</v>
      </c>
    </row>
    <row r="150" spans="1:22" ht="15">
      <c r="A150" s="9" t="str">
        <v>GenEd</v>
      </c>
      <c r="B150" s="9" t="str">
        <v>SCH 234</v>
      </c>
      <c r="C150" s="10">
        <v>2020</v>
      </c>
      <c r="D150" s="10" t="str">
        <v>SPRING</v>
      </c>
      <c r="E150" t="str">
        <v>Acquire a holistic view of Science, as a system defined by logic and methodology, and as an essential human endeavor that shaped history and civilization.</v>
      </c>
      <c r="F150" s="10" t="str">
        <v>Understand the different epistemological foundations of science such as: empiricism, induction, deduction, falsifiability, hypothesis, theory.... etc.</v>
      </c>
      <c r="G150" s="10" t="str">
        <v>Develop an understanding of the essence and nature of mathematics, its deductive method, and its status and role in the system of science.</v>
      </c>
      <c r="H150" s="10" t="str">
        <v>Understand the concept of the “Paradigm” which deals with science as a human practice that has its cultural and social dimensions</v>
      </c>
      <c r="I150" s="10" t="str">
        <v>Have a clear image of the history and process of science from its inceptions in the ancient oriental civilizations, to the Greek and Alexandrian sciences, followed by Arab Islamic sciences and how they paved the way to the revolution of modern science in the 17th century.</v>
      </c>
      <c r="J150" s="49" t="str">
        <v>Learn about the developments in modern science and the great impact of the revolutions of relativity and quantum in the 20th century.</v>
      </c>
      <c r="K150" t="str">
        <v>Gain deep insight to the nature of “progress” as a distinctive feature of scientific knowledge.</v>
      </c>
      <c r="L150" s="11">
        <v>0</v>
      </c>
      <c r="M150" s="11">
        <v>0</v>
      </c>
      <c r="N150" s="11">
        <v>0</v>
      </c>
      <c r="O150" s="10">
        <v>0</v>
      </c>
      <c r="P150" s="11">
        <v>0</v>
      </c>
      <c r="Q150" s="11">
        <v>0</v>
      </c>
      <c r="R150" s="12" t="b">
        <f t="shared" ca="1" si="0"/>
        <v>0</v>
      </c>
      <c r="S150" s="12" t="str">
        <v>REE 534</v>
      </c>
      <c r="T150" s="12" t="e">
        <f t="array" aca="1" ref="T150" ca="1">_xludf.IFNA(LOOKUP(2,1/(C150:Q150&lt;&gt;""),COLUMN(C150:Q150))-2,0)</f>
        <v>#NAME?</v>
      </c>
      <c r="U150" s="12">
        <f t="shared" si="1"/>
        <v>15</v>
      </c>
      <c r="V150" s="12" t="e">
        <f t="shared" ca="1" si="2"/>
        <v>#NAME?</v>
      </c>
    </row>
    <row r="151" spans="1:22" ht="15">
      <c r="A151" s="9" t="str">
        <v>GenEd</v>
      </c>
      <c r="B151" s="9" t="str">
        <v>SCH 235</v>
      </c>
      <c r="C151" s="10">
        <v>2020</v>
      </c>
      <c r="D151" s="10" t="str">
        <v>SPRING</v>
      </c>
      <c r="E151" s="10">
        <v>0</v>
      </c>
      <c r="F151" s="10">
        <v>0</v>
      </c>
      <c r="G151" s="10">
        <v>0</v>
      </c>
      <c r="H151" s="10">
        <v>0</v>
      </c>
      <c r="I151" s="10">
        <v>0</v>
      </c>
      <c r="J151" s="50">
        <v>0</v>
      </c>
      <c r="K151" s="10">
        <v>0</v>
      </c>
      <c r="L151" s="11">
        <v>0</v>
      </c>
      <c r="M151" s="11">
        <v>0</v>
      </c>
      <c r="N151" s="11">
        <v>0</v>
      </c>
      <c r="O151" s="10">
        <v>0</v>
      </c>
      <c r="P151" s="11">
        <v>0</v>
      </c>
      <c r="Q151" s="11">
        <v>0</v>
      </c>
      <c r="R151" s="12" t="b">
        <f t="shared" ca="1" si="0"/>
        <v>0</v>
      </c>
      <c r="S151" s="12" t="str">
        <v>SCH 201</v>
      </c>
      <c r="T151" s="12" t="e">
        <f t="array" aca="1" ref="T151" ca="1">_xludf.IFNA(LOOKUP(2,1/(C151:Q151&lt;&gt;""),COLUMN(C151:Q151))-2,0)</f>
        <v>#NAME?</v>
      </c>
      <c r="U151" s="12">
        <f t="shared" si="1"/>
        <v>15</v>
      </c>
      <c r="V151" s="12" t="e">
        <f t="shared" ca="1" si="2"/>
        <v>#NAME?</v>
      </c>
    </row>
    <row r="152" spans="1:22" ht="12.75">
      <c r="A152" s="9" t="str">
        <v>GenEd</v>
      </c>
      <c r="B152" s="9" t="str">
        <v>SCH 244</v>
      </c>
      <c r="C152" s="10">
        <v>2020</v>
      </c>
      <c r="D152" s="10" t="str">
        <v>SPRING</v>
      </c>
      <c r="E152" s="10">
        <v>0</v>
      </c>
      <c r="F152" s="10">
        <v>0</v>
      </c>
      <c r="G152" s="10">
        <v>0</v>
      </c>
      <c r="H152" s="10">
        <v>0</v>
      </c>
      <c r="I152" s="10">
        <v>0</v>
      </c>
      <c r="J152" s="10">
        <v>0</v>
      </c>
      <c r="K152" s="10">
        <v>0</v>
      </c>
      <c r="L152" s="11">
        <v>0</v>
      </c>
      <c r="M152" s="11">
        <v>0</v>
      </c>
      <c r="N152" s="11">
        <v>0</v>
      </c>
      <c r="O152" s="10">
        <v>0</v>
      </c>
      <c r="P152" s="11">
        <v>0</v>
      </c>
      <c r="Q152" s="11">
        <v>0</v>
      </c>
      <c r="R152" s="12" t="b">
        <f t="shared" si="0"/>
        <v>1</v>
      </c>
      <c r="S152" s="12" t="str">
        <v>SCH 202</v>
      </c>
      <c r="T152" s="12" t="e">
        <f t="array" aca="1" ref="T152" ca="1">_xludf.IFNA(LOOKUP(2,1/(C152:Q152&lt;&gt;""),COLUMN(C152:Q152))-2,0)</f>
        <v>#NAME?</v>
      </c>
      <c r="U152" s="12">
        <f t="shared" si="1"/>
        <v>15</v>
      </c>
      <c r="V152" s="12" t="e">
        <f t="shared" ca="1" si="2"/>
        <v>#NAME?</v>
      </c>
    </row>
    <row r="153" spans="1:22" ht="12.75">
      <c r="A153" s="9" t="str">
        <v>GenEd</v>
      </c>
      <c r="B153" s="9" t="str">
        <v>SCH 258</v>
      </c>
      <c r="C153" s="10">
        <v>2020</v>
      </c>
      <c r="D153" s="10" t="str">
        <v>SPRING</v>
      </c>
      <c r="E153" s="10">
        <v>0</v>
      </c>
      <c r="F153" s="10">
        <v>0</v>
      </c>
      <c r="G153" s="10">
        <v>0</v>
      </c>
      <c r="H153" s="10">
        <v>0</v>
      </c>
      <c r="I153" s="10">
        <v>0</v>
      </c>
      <c r="J153" s="10">
        <v>0</v>
      </c>
      <c r="K153" s="10">
        <v>0</v>
      </c>
      <c r="L153" s="11">
        <v>0</v>
      </c>
      <c r="M153" s="11">
        <v>0</v>
      </c>
      <c r="N153" s="11">
        <v>0</v>
      </c>
      <c r="O153" s="10">
        <v>0</v>
      </c>
      <c r="P153" s="11">
        <v>0</v>
      </c>
      <c r="Q153" s="11">
        <v>0</v>
      </c>
      <c r="R153" s="12" t="b">
        <f t="shared" si="0"/>
        <v>1</v>
      </c>
      <c r="S153" s="12" t="str">
        <v>SCH 206</v>
      </c>
      <c r="T153" s="12" t="e">
        <f t="array" aca="1" ref="T153" ca="1">_xludf.IFNA(LOOKUP(2,1/(C153:Q153&lt;&gt;""),COLUMN(C153:Q153))-2,0)</f>
        <v>#NAME?</v>
      </c>
      <c r="U153" s="12">
        <f t="shared" si="1"/>
        <v>15</v>
      </c>
      <c r="V153" s="12" t="e">
        <f t="shared" ca="1" si="2"/>
        <v>#NAME?</v>
      </c>
    </row>
    <row r="154" spans="1:22" ht="12.75">
      <c r="A154" s="9" t="str">
        <v>GenEd</v>
      </c>
      <c r="B154" s="9" t="str">
        <v>SCH 260</v>
      </c>
      <c r="C154" s="17">
        <v>2020</v>
      </c>
      <c r="D154" s="17" t="str">
        <v>SPRING</v>
      </c>
      <c r="E154" s="17" t="str">
        <v>Understand what philosophy is and its importance</v>
      </c>
      <c r="F154" s="17" t="str">
        <v>Become a critical thinker; acquire an ability to challenge one’s own ideas</v>
      </c>
      <c r="G154" s="17" t="str">
        <v>Identify errors of reasoning and explain what the error is.</v>
      </c>
      <c r="H154" s="17" t="str">
        <v>Explore the nature of reality, and the origins of knowledge.</v>
      </c>
      <c r="I154" s="17" t="str">
        <v>Debate the aim of science, whether it is epistemological or pragmatic.</v>
      </c>
      <c r="J154" s="17" t="str">
        <v>Understand the implications of metaphysical questions on defining the self, consider the implications for Artificial Intelligence.</v>
      </c>
      <c r="K154" s="17" t="str">
        <v>Question the existence or non-existence of free will, and understand the ethical implications for such question</v>
      </c>
      <c r="L154" s="17" t="str">
        <v>Gain a view of the different schools of Ethics and the potential implications of each for real life ethical dilemmas</v>
      </c>
      <c r="M154" s="11" t="str">
        <v>Reflect on the problem of creating a just state; understand the ethical foundations of politics</v>
      </c>
      <c r="N154" s="11" t="str">
        <v>Explore thoughtfully deep questions in religion</v>
      </c>
      <c r="O154" s="10">
        <v>0</v>
      </c>
      <c r="P154" s="11">
        <v>0</v>
      </c>
      <c r="Q154" s="11">
        <v>0</v>
      </c>
      <c r="R154" s="12" t="b">
        <f t="shared" si="0"/>
        <v>1</v>
      </c>
      <c r="S154" s="12" t="str">
        <v>SCH 208</v>
      </c>
      <c r="T154" s="12" t="e">
        <f t="array" aca="1" ref="T154" ca="1">_xludf.IFNA(LOOKUP(2,1/(C154:Q154&lt;&gt;""),COLUMN(C154:Q154))-2,0)</f>
        <v>#NAME?</v>
      </c>
      <c r="U154" s="12">
        <f t="shared" si="1"/>
        <v>15</v>
      </c>
      <c r="V154" s="12" t="e">
        <f t="shared" ca="1" si="2"/>
        <v>#NAME?</v>
      </c>
    </row>
    <row r="155" spans="1:22" ht="12.75">
      <c r="A155" s="9" t="str">
        <v>GenEd</v>
      </c>
      <c r="B155" s="9" t="str">
        <v>SCH 262</v>
      </c>
      <c r="C155" s="10">
        <v>2020</v>
      </c>
      <c r="D155" s="10" t="str">
        <v>SPRING</v>
      </c>
      <c r="E155" s="10">
        <v>0</v>
      </c>
      <c r="F155" s="10">
        <v>0</v>
      </c>
      <c r="G155" s="10">
        <v>0</v>
      </c>
      <c r="H155" s="10">
        <v>0</v>
      </c>
      <c r="I155" s="10">
        <v>0</v>
      </c>
      <c r="J155" s="10">
        <v>0</v>
      </c>
      <c r="K155" s="10">
        <v>0</v>
      </c>
      <c r="L155" s="11">
        <v>0</v>
      </c>
      <c r="M155" s="11">
        <v>0</v>
      </c>
      <c r="N155" s="11">
        <v>0</v>
      </c>
      <c r="O155" s="10">
        <v>0</v>
      </c>
      <c r="P155" s="11">
        <v>0</v>
      </c>
      <c r="Q155" s="11">
        <v>0</v>
      </c>
      <c r="R155" s="12" t="b">
        <f t="shared" si="0"/>
        <v>1</v>
      </c>
      <c r="S155" s="12" t="str">
        <v>SCH 232</v>
      </c>
      <c r="T155" s="12" t="e">
        <f t="array" aca="1" ref="T155" ca="1">_xludf.IFNA(LOOKUP(2,1/(C155:Q155&lt;&gt;""),COLUMN(C155:Q155))-2,0)</f>
        <v>#NAME?</v>
      </c>
      <c r="U155" s="12">
        <f t="shared" si="1"/>
        <v>15</v>
      </c>
      <c r="V155" s="12" t="e">
        <f t="shared" ca="1" si="2"/>
        <v>#NAME?</v>
      </c>
    </row>
    <row r="156" spans="1:22" ht="12.75">
      <c r="A156" s="9" t="str">
        <v>GenEd</v>
      </c>
      <c r="B156" s="9" t="str">
        <v>SCH 263</v>
      </c>
      <c r="C156" s="10">
        <v>2020</v>
      </c>
      <c r="D156" s="17" t="str">
        <v>SPRING</v>
      </c>
      <c r="E156" s="51" t="str">
        <v>Define rules, issues, options relevant to ethical concepts</v>
      </c>
      <c r="F156" s="17" t="str">
        <v>Understand how one may reach a decision in a situation regardless its rightness or wrongness.</v>
      </c>
      <c r="G156" s="51" t="str">
        <v>Identify the various ethical interests in a real-world situation and value of ethical decision-making.</v>
      </c>
      <c r="H156" s="17" t="str">
        <v>Identify ethical concerns in research such as integrity, citation of sources, and authorship</v>
      </c>
      <c r="I156" s="51" t="str">
        <v>Understand different types of applied ethics in research, engineering, and business.</v>
      </c>
      <c r="J156" s="17" t="str">
        <v>Identify and analyze ethical issues in the context of different professions.</v>
      </c>
      <c r="K156" s="51" t="str">
        <v>Integrate, synthesize, and apply knowledge of resolving ethical dilemmas to real-world cases.</v>
      </c>
      <c r="L156" s="17" t="str">
        <v>Integrate ethical and professional behavior in performing experimental work, managing biological and chemical wastes or any other work that may affect the environment</v>
      </c>
      <c r="M156" s="11" t="str">
        <v>Identify and analyze surrounding hazards and evaluate and control their risk.</v>
      </c>
      <c r="N156" s="11" t="str">
        <v>To have a positive disposition toward continued learning about ethics</v>
      </c>
      <c r="O156" s="10">
        <v>0</v>
      </c>
      <c r="P156" s="11">
        <v>0</v>
      </c>
      <c r="Q156" s="11">
        <v>0</v>
      </c>
      <c r="R156" s="12" t="b">
        <f t="shared" si="0"/>
        <v>1</v>
      </c>
      <c r="S156" s="12" t="str">
        <v>SCH 244</v>
      </c>
      <c r="T156" s="12" t="e">
        <f t="array" aca="1" ref="T156" ca="1">_xludf.IFNA(LOOKUP(2,1/(C156:Q156&lt;&gt;""),COLUMN(C156:Q156))-2,0)</f>
        <v>#NAME?</v>
      </c>
      <c r="U156" s="12">
        <f t="shared" si="1"/>
        <v>15</v>
      </c>
      <c r="V156" s="12" t="e">
        <f t="shared" ca="1" si="2"/>
        <v>#NAME?</v>
      </c>
    </row>
    <row r="157" spans="1:22" ht="12.75">
      <c r="A157" s="9" t="str">
        <v>GenEd</v>
      </c>
      <c r="B157" s="9" t="str">
        <v>SCH 264</v>
      </c>
      <c r="C157" s="10">
        <v>2020</v>
      </c>
      <c r="D157" s="10" t="str">
        <v>SPRING</v>
      </c>
      <c r="E157" s="10">
        <v>0</v>
      </c>
      <c r="F157" s="10">
        <v>0</v>
      </c>
      <c r="G157" s="10">
        <v>0</v>
      </c>
      <c r="H157" s="10">
        <v>0</v>
      </c>
      <c r="I157" s="10">
        <v>0</v>
      </c>
      <c r="J157" s="10">
        <v>0</v>
      </c>
      <c r="K157" s="10">
        <v>0</v>
      </c>
      <c r="L157" s="11">
        <v>0</v>
      </c>
      <c r="M157" s="11">
        <v>0</v>
      </c>
      <c r="N157" s="11">
        <v>0</v>
      </c>
      <c r="O157" s="10">
        <v>0</v>
      </c>
      <c r="P157" s="11">
        <v>0</v>
      </c>
      <c r="Q157" s="11">
        <v>0</v>
      </c>
      <c r="R157" s="12" t="b">
        <f t="shared" si="0"/>
        <v>1</v>
      </c>
      <c r="S157" s="12" t="str">
        <v>SCH 258</v>
      </c>
      <c r="T157" s="12" t="e">
        <f t="array" aca="1" ref="T157" ca="1">_xludf.IFNA(LOOKUP(2,1/(C157:Q157&lt;&gt;""),COLUMN(C157:Q157))-2,0)</f>
        <v>#NAME?</v>
      </c>
      <c r="U157" s="12">
        <f t="shared" si="1"/>
        <v>15</v>
      </c>
      <c r="V157" s="12" t="e">
        <f t="shared" ca="1" si="2"/>
        <v>#NAME?</v>
      </c>
    </row>
    <row r="158" spans="1:22" ht="12.75">
      <c r="A158" s="9" t="str">
        <v>GenEd</v>
      </c>
      <c r="B158" s="19" t="str">
        <v>SCH 273</v>
      </c>
      <c r="C158" s="10">
        <v>2020</v>
      </c>
      <c r="D158" s="10" t="str">
        <v>SPRING</v>
      </c>
      <c r="E158" s="10">
        <v>0</v>
      </c>
      <c r="F158" s="10">
        <v>0</v>
      </c>
      <c r="G158" s="10">
        <v>0</v>
      </c>
      <c r="H158" s="10">
        <v>0</v>
      </c>
      <c r="I158" s="10">
        <v>0</v>
      </c>
      <c r="J158" s="10">
        <v>0</v>
      </c>
      <c r="K158" s="10">
        <v>0</v>
      </c>
      <c r="L158" s="11">
        <v>0</v>
      </c>
      <c r="M158" s="11">
        <v>0</v>
      </c>
      <c r="N158" s="11">
        <v>0</v>
      </c>
      <c r="O158" s="10">
        <v>0</v>
      </c>
      <c r="P158" s="11">
        <v>0</v>
      </c>
      <c r="Q158" s="11">
        <v>0</v>
      </c>
      <c r="R158" s="12" t="b">
        <f t="shared" si="0"/>
        <v>1</v>
      </c>
      <c r="S158" s="12" t="str">
        <v>SCH 260</v>
      </c>
      <c r="T158" s="12" t="e">
        <f t="array" aca="1" ref="T158" ca="1">_xludf.IFNA(LOOKUP(2,1/(C158:Q158&lt;&gt;""),COLUMN(C158:Q158))-2,0)</f>
        <v>#NAME?</v>
      </c>
      <c r="U158" s="12">
        <f t="shared" si="1"/>
        <v>15</v>
      </c>
      <c r="V158" s="12" t="e">
        <f t="shared" ca="1" si="2"/>
        <v>#NAME?</v>
      </c>
    </row>
    <row r="159" spans="1:22" ht="12.75">
      <c r="A159" s="9" t="str">
        <v>GenEd</v>
      </c>
      <c r="B159" s="19" t="str">
        <v>SCH 274</v>
      </c>
      <c r="C159" s="17">
        <v>2020</v>
      </c>
      <c r="D159" s="17" t="str">
        <v>SPRING</v>
      </c>
      <c r="E159" s="17" t="str">
        <v>Approach the analytic philosophy within the framework of history of philosophy.</v>
      </c>
      <c r="F159" s="17" t="str">
        <v>Assess the role of linguistic analysis in solving philosophical problems.</v>
      </c>
      <c r="G159" s="17" t="str">
        <v>Compare Analytic metaphysics to Modern one, and evaluate its possible limitations.</v>
      </c>
      <c r="H159" s="17" t="str">
        <v>Differentiate between the empiricism of Logical positivism and Quine’s empiricism.</v>
      </c>
      <c r="I159" s="17" t="str">
        <v>Recognize the problems posed by the philosophy of mind to physicalism.</v>
      </c>
      <c r="J159" s="17" t="str">
        <v>Debate the failure of the justified true belief theory of knowledge, and analyze its contemporary alternatives.</v>
      </c>
      <c r="K159" s="10" t="str">
        <v>Assess the successes and failures of the analytic approach to philosophy as compared to other approaches (e.g. the continental approach)</v>
      </c>
      <c r="L159" s="11" t="str">
        <v>Evaluate the Analytic philosophy tackling of ethics &amp; political theory.</v>
      </c>
      <c r="M159" s="11">
        <v>0</v>
      </c>
      <c r="N159" s="11">
        <v>0</v>
      </c>
      <c r="O159" s="10">
        <v>0</v>
      </c>
      <c r="P159" s="11">
        <v>0</v>
      </c>
      <c r="Q159" s="11">
        <v>0</v>
      </c>
      <c r="R159" s="12" t="b">
        <f t="shared" si="0"/>
        <v>1</v>
      </c>
      <c r="S159" s="12" t="str">
        <v>SCH 262</v>
      </c>
      <c r="T159" s="12" t="e">
        <f t="array" aca="1" ref="T159" ca="1">_xludf.IFNA(LOOKUP(2,1/(C159:Q159&lt;&gt;""),COLUMN(C159:Q159))-2,0)</f>
        <v>#NAME?</v>
      </c>
      <c r="U159" s="12">
        <f t="shared" si="1"/>
        <v>15</v>
      </c>
      <c r="V159" s="12" t="e">
        <f t="shared" ca="1" si="2"/>
        <v>#NAME?</v>
      </c>
    </row>
    <row r="160" spans="1:22" ht="12.75">
      <c r="A160" s="9" t="str">
        <v>MATH</v>
      </c>
      <c r="B160" s="9" t="str">
        <v>MATH 100</v>
      </c>
      <c r="C160" s="10">
        <v>2020</v>
      </c>
      <c r="D160" s="10" t="str">
        <v>SPRING</v>
      </c>
      <c r="E160" s="10">
        <v>0</v>
      </c>
      <c r="F160" s="10">
        <v>0</v>
      </c>
      <c r="G160" s="10">
        <v>0</v>
      </c>
      <c r="H160" s="10">
        <v>0</v>
      </c>
      <c r="I160" s="10">
        <v>0</v>
      </c>
      <c r="J160" s="10">
        <v>0</v>
      </c>
      <c r="K160" s="10">
        <v>0</v>
      </c>
      <c r="L160" s="11">
        <v>0</v>
      </c>
      <c r="M160" s="11">
        <v>0</v>
      </c>
      <c r="N160" s="11">
        <v>0</v>
      </c>
      <c r="O160" s="10">
        <v>0</v>
      </c>
      <c r="P160" s="11">
        <v>0</v>
      </c>
      <c r="Q160" s="11">
        <v>0</v>
      </c>
      <c r="R160" s="12" t="b">
        <f t="shared" ca="1" si="0"/>
        <v>0</v>
      </c>
      <c r="S160" s="12" t="str">
        <v>SCH 263</v>
      </c>
      <c r="T160" s="12" t="e">
        <f t="array" aca="1" ref="T160" ca="1">_xludf.IFNA(LOOKUP(2,1/(C160:Q160&lt;&gt;""),COLUMN(C160:Q160))-2,0)</f>
        <v>#NAME?</v>
      </c>
      <c r="U160" s="12">
        <f t="shared" si="1"/>
        <v>15</v>
      </c>
      <c r="V160" s="12" t="e">
        <f t="shared" ca="1" si="2"/>
        <v>#NAME?</v>
      </c>
    </row>
    <row r="161" spans="1:22" ht="12.75">
      <c r="A161" s="9" t="str">
        <v>MATH</v>
      </c>
      <c r="B161" s="9" t="str">
        <v>MATH 101</v>
      </c>
      <c r="C161" s="10">
        <v>2020</v>
      </c>
      <c r="D161" s="10" t="str">
        <v>SPRING</v>
      </c>
      <c r="E161" s="10" t="str">
        <v>The ability to identify the geometrical meaning of the definite integral and its relation to area between curves.</v>
      </c>
      <c r="F161" s="10" t="str">
        <v>The ability to evaluate integrals by different techniques: substitutions, by parts and partial fractions.</v>
      </c>
      <c r="G161" s="10" t="str">
        <v>The ability to evaluate arc length, volume and surface of revolutions.</v>
      </c>
      <c r="H161" s="10" t="str">
        <v>The ability to find inverse function of basic functions and identify their properties.</v>
      </c>
      <c r="I161" s="10" t="str">
        <v>The ability to identify properties and find derivatives and integrals of basic transcendental functions.</v>
      </c>
      <c r="J161" s="10" t="str">
        <v>The ability to find limits using L’Hôpital’s rule.</v>
      </c>
      <c r="K161" s="10" t="str">
        <v>The ability to evaluate integrals numerically.</v>
      </c>
      <c r="L161" s="11" t="str">
        <v>The ability to evaluate improper integrals.</v>
      </c>
      <c r="M161" s="11" t="str">
        <v>The ability to solve first order linear differential equations.</v>
      </c>
      <c r="N161" s="11">
        <v>0</v>
      </c>
      <c r="O161" s="10">
        <v>0</v>
      </c>
      <c r="P161" s="11">
        <v>0</v>
      </c>
      <c r="Q161" s="11">
        <v>0</v>
      </c>
      <c r="R161" s="12" t="b">
        <f t="shared" si="0"/>
        <v>1</v>
      </c>
      <c r="S161" s="12" t="str">
        <v>SCH 264</v>
      </c>
      <c r="T161" s="12" t="e">
        <f t="array" aca="1" ref="T161" ca="1">_xludf.IFNA(LOOKUP(2,1/(C161:Q161&lt;&gt;""),COLUMN(C161:Q161))-2,0)</f>
        <v>#NAME?</v>
      </c>
      <c r="U161" s="12">
        <f t="shared" si="1"/>
        <v>15</v>
      </c>
      <c r="V161" s="12" t="e">
        <f t="shared" ca="1" si="2"/>
        <v>#NAME?</v>
      </c>
    </row>
    <row r="162" spans="1:22" ht="12.75">
      <c r="A162" s="9" t="str">
        <v>MATH</v>
      </c>
      <c r="B162" s="9" t="str">
        <v>MATH 102</v>
      </c>
      <c r="C162" s="10">
        <v>2020</v>
      </c>
      <c r="D162" s="10" t="str">
        <v>SPRING</v>
      </c>
      <c r="E162" s="10" t="str">
        <v>Ability to identify convergence and divergence of sequences and series.</v>
      </c>
      <c r="F162" s="10" t="str">
        <v>Ability to represent a function using Taylor series.</v>
      </c>
      <c r="G162" s="10" t="str">
        <v>Ability to perform differentiation and integration in parametric and polar forms.</v>
      </c>
      <c r="H162" s="10" t="str">
        <v>Ability to identify different conic sections analytically.</v>
      </c>
      <c r="I162" s="10" t="str">
        <v>Ability to represent straight lines, planes and quadratic surfaces in space analytically.</v>
      </c>
      <c r="J162" s="10" t="str">
        <v>Ability to obtain the maximum and minimum a function of two variables with and without constraints.</v>
      </c>
      <c r="K162" s="10" t="str">
        <v>Ability to perform multiple integrals in different coordinates.</v>
      </c>
      <c r="L162" s="11" t="str">
        <v>Ability to perform line integral and evaluate the work and integrals on vector fields.</v>
      </c>
      <c r="M162" s="11">
        <v>0</v>
      </c>
      <c r="N162" s="11">
        <v>0</v>
      </c>
      <c r="O162" s="10">
        <v>0</v>
      </c>
      <c r="P162" s="11">
        <v>0</v>
      </c>
      <c r="Q162" s="11">
        <v>0</v>
      </c>
      <c r="R162" s="12" t="b">
        <f t="shared" ca="1" si="0"/>
        <v>0</v>
      </c>
      <c r="S162" s="12" t="str">
        <v>SCH 273</v>
      </c>
      <c r="T162" s="12" t="e">
        <f t="array" aca="1" ref="T162" ca="1">_xludf.IFNA(LOOKUP(2,1/(C162:Q162&lt;&gt;""),COLUMN(C162:Q162))-2,0)</f>
        <v>#NAME?</v>
      </c>
      <c r="U162" s="12">
        <f t="shared" si="1"/>
        <v>15</v>
      </c>
      <c r="V162" s="12" t="e">
        <f t="shared" ca="1" si="2"/>
        <v>#NAME?</v>
      </c>
    </row>
    <row r="163" spans="1:22" ht="12.75">
      <c r="A163" s="9" t="str">
        <v>MATH</v>
      </c>
      <c r="B163" s="9" t="str">
        <v>MATH 201</v>
      </c>
      <c r="C163" s="10">
        <v>2020</v>
      </c>
      <c r="D163" s="10" t="str">
        <v>SPRING</v>
      </c>
      <c r="E163" s="10" t="str">
        <v>solve linear systems of equations using Gauss elimination and Gauss-Jordan methods.</v>
      </c>
      <c r="F163" s="10" t="str">
        <v>perform the basic operations on matrices (addition, multiplication, inverse).</v>
      </c>
      <c r="G163" s="10" t="str">
        <v>identify linear independence of vectors and find a basis for a vector space.</v>
      </c>
      <c r="H163" s="10" t="str">
        <v>apply matrix operations in computer graphics.</v>
      </c>
      <c r="I163" s="10" t="str">
        <v>determine the eigenvalues and eigenvectors of a matrix and perform matrix diagonalization.</v>
      </c>
      <c r="J163" s="10" t="str">
        <v>solve a system of linear differential equations.</v>
      </c>
      <c r="K163" s="10" t="str">
        <v>develop linear regression models.</v>
      </c>
      <c r="L163" s="11" t="str">
        <v>perform matrix factorization (LU, QR, SVD).</v>
      </c>
      <c r="M163" s="11">
        <v>0</v>
      </c>
      <c r="N163" s="11">
        <v>0</v>
      </c>
      <c r="O163" s="10">
        <v>0</v>
      </c>
      <c r="P163" s="11">
        <v>0</v>
      </c>
      <c r="Q163" s="11">
        <v>0</v>
      </c>
      <c r="R163" s="12" t="b">
        <f t="shared" si="0"/>
        <v>1</v>
      </c>
      <c r="S163" s="12" t="str">
        <v>SCH 274</v>
      </c>
      <c r="T163" s="12" t="e">
        <f t="array" aca="1" ref="T163" ca="1">_xludf.IFNA(LOOKUP(2,1/(C163:Q163&lt;&gt;""),COLUMN(C163:Q163))-2,0)</f>
        <v>#NAME?</v>
      </c>
      <c r="U163" s="12">
        <f t="shared" si="1"/>
        <v>15</v>
      </c>
      <c r="V163" s="12" t="e">
        <f t="shared" ca="1" si="2"/>
        <v>#NAME?</v>
      </c>
    </row>
    <row r="164" spans="1:22" ht="12.75">
      <c r="A164" s="9" t="str">
        <v>MATH</v>
      </c>
      <c r="B164" s="9" t="str">
        <v>MATH 202</v>
      </c>
      <c r="C164" s="10">
        <v>2020</v>
      </c>
      <c r="D164" s="10" t="str">
        <v>SPRING</v>
      </c>
      <c r="E164" s="10" t="str">
        <v>classify differential equations by order, linearity, and homogeneity</v>
      </c>
      <c r="F164" s="10" t="str">
        <v>solve first and second order ordinary differential equations using various techniques</v>
      </c>
      <c r="G164" s="10" t="str">
        <v>use Laplace transforms and their inverses to solve initial value problems (IVPs).</v>
      </c>
      <c r="H164" s="10" t="str">
        <v>solve ordinary differential equations numerically</v>
      </c>
      <c r="I164" s="10" t="str">
        <v>approximate a function using Fourier series</v>
      </c>
      <c r="J164" s="10" t="str">
        <v>solve partial differential equations using the method of separation of variables</v>
      </c>
      <c r="K164" s="10">
        <v>0</v>
      </c>
      <c r="L164" s="11">
        <v>0</v>
      </c>
      <c r="M164" s="11">
        <v>0</v>
      </c>
      <c r="N164" s="11">
        <v>0</v>
      </c>
      <c r="O164" s="10">
        <v>0</v>
      </c>
      <c r="P164" s="11">
        <v>0</v>
      </c>
      <c r="Q164" s="11">
        <v>0</v>
      </c>
      <c r="R164" s="12" t="b">
        <f t="shared" ca="1" si="0"/>
        <v>0</v>
      </c>
      <c r="S164" s="12" t="str">
        <v>SPC 201</v>
      </c>
      <c r="T164" s="12" t="e">
        <f t="array" aca="1" ref="T164" ca="1">_xludf.IFNA(LOOKUP(2,1/(C164:Q164&lt;&gt;""),COLUMN(C164:Q164))-2,0)</f>
        <v>#NAME?</v>
      </c>
      <c r="U164" s="12">
        <f t="shared" si="1"/>
        <v>15</v>
      </c>
      <c r="V164" s="12" t="e">
        <f t="shared" ca="1" si="2"/>
        <v>#NAME?</v>
      </c>
    </row>
    <row r="165" spans="1:22" ht="12.75">
      <c r="A165" s="9" t="str">
        <v>MATH</v>
      </c>
      <c r="B165" s="9" t="str">
        <v>MATH 203</v>
      </c>
      <c r="C165" s="10">
        <v>2020</v>
      </c>
      <c r="D165" s="10" t="str">
        <v>SPRING</v>
      </c>
      <c r="E165" s="10" t="str">
        <v>The ability to demonstrate theoretical knowledge and have practical skills in different areas of mathematics that are applicable in computer science such as logic, graph theory, etc.</v>
      </c>
      <c r="F165" s="10" t="str">
        <v>The ability to identify the steps required to carry out a piece of research on a topic within applications of mathematics in computer science.</v>
      </c>
      <c r="G165" s="10" t="str">
        <v>The ability to understand and Implement applications of number theory to cryptography.</v>
      </c>
      <c r="H165" s="10" t="str">
        <v>The ability to gain the required skills for the proof methods and techniques</v>
      </c>
      <c r="I165" s="10" t="str">
        <v>The ability to understand the applications of the graph theory, Euler graph and Hamiltonian graph,</v>
      </c>
      <c r="J165" s="10" t="str">
        <v>The ability to understand the basic concepts of the trees and their applications in computer science</v>
      </c>
      <c r="K165" s="10">
        <v>0</v>
      </c>
      <c r="L165" s="11">
        <v>0</v>
      </c>
      <c r="M165" s="11">
        <v>0</v>
      </c>
      <c r="N165" s="11">
        <v>0</v>
      </c>
      <c r="O165" s="10">
        <v>0</v>
      </c>
      <c r="P165" s="11">
        <v>0</v>
      </c>
      <c r="Q165" s="11">
        <v>0</v>
      </c>
      <c r="R165" s="12" t="b">
        <f t="shared" si="0"/>
        <v>1</v>
      </c>
      <c r="S165" s="12" t="str">
        <v>SPC 208</v>
      </c>
      <c r="T165" s="12" t="e">
        <f t="array" aca="1" ref="T165" ca="1">_xludf.IFNA(LOOKUP(2,1/(C165:Q165&lt;&gt;""),COLUMN(C165:Q165))-2,0)</f>
        <v>#NAME?</v>
      </c>
      <c r="U165" s="12">
        <f t="shared" si="1"/>
        <v>15</v>
      </c>
      <c r="V165" s="12" t="e">
        <f t="shared" ca="1" si="2"/>
        <v>#NAME?</v>
      </c>
    </row>
    <row r="166" spans="1:22" ht="12.75">
      <c r="A166" s="9" t="str">
        <v>MATH</v>
      </c>
      <c r="B166" s="9" t="str">
        <v>MATH 301</v>
      </c>
      <c r="C166" s="10">
        <v>2020</v>
      </c>
      <c r="D166" s="10" t="str">
        <v>SPRING</v>
      </c>
      <c r="E166" s="10" t="str">
        <v>An ability to calculate and interpret summary statistics and graphical displays for data sets.</v>
      </c>
      <c r="F166" s="10" t="str">
        <v>An ability to compute probability of events and interpret the probability in real life situations.</v>
      </c>
      <c r="G166" s="10" t="str">
        <v>An ability to recognize and understand the relevance of probability distributions such as the normal &amp; binomial.</v>
      </c>
      <c r="H166" s="10" t="str">
        <v>An ability to calculate probability, expectations, mean and variance of discrete and continuous random variables.</v>
      </c>
      <c r="I166" s="10" t="str">
        <v>An ability to calculate marginal and conditional distributions, expectations and covariances from discrete and continuous bivariate distributions.</v>
      </c>
      <c r="J166" s="10" t="str">
        <v>An ability to use sampling distributions and label t, χ2 and F distributions and perform confidence intervals for means and proportions and interpret the results.</v>
      </c>
      <c r="K166" s="10" t="str">
        <v>An ability to perform one and two-sample tests for means and proportions and interpret the results.</v>
      </c>
      <c r="L166" s="11" t="str">
        <v>An ability to use a statistical software such as MINITAB to describe engineering data and to test specific engineering hypotheses.</v>
      </c>
      <c r="M166" s="11">
        <v>0</v>
      </c>
      <c r="N166" s="11">
        <v>0</v>
      </c>
      <c r="O166" s="10">
        <v>0</v>
      </c>
      <c r="P166" s="11">
        <v>0</v>
      </c>
      <c r="Q166" s="11">
        <v>0</v>
      </c>
      <c r="R166" s="12" t="b">
        <f t="shared" ca="1" si="0"/>
        <v>0</v>
      </c>
      <c r="S166" s="12" t="str">
        <v>SPC 209</v>
      </c>
      <c r="T166" s="12" t="e">
        <f t="array" aca="1" ref="T166" ca="1">_xludf.IFNA(LOOKUP(2,1/(C166:Q166&lt;&gt;""),COLUMN(C166:Q166))-2,0)</f>
        <v>#NAME?</v>
      </c>
      <c r="U166" s="12">
        <f t="shared" si="1"/>
        <v>15</v>
      </c>
      <c r="V166" s="12" t="e">
        <f t="shared" ca="1" si="2"/>
        <v>#NAME?</v>
      </c>
    </row>
    <row r="167" spans="1:22" ht="12.75">
      <c r="A167" s="9" t="str">
        <v>MATH</v>
      </c>
      <c r="B167" s="9" t="str">
        <v>MATH 302</v>
      </c>
      <c r="C167" s="10">
        <v>2020</v>
      </c>
      <c r="D167" s="10" t="str">
        <v>SPRING</v>
      </c>
      <c r="E167" s="10" t="str">
        <v>Recognize some special functions that occur frequently in advanced studies in applied mathematics, physics, and engineering such as Bessel, Legendre, Hermite and Laguerre functions.</v>
      </c>
      <c r="F167" s="10" t="str">
        <v>Expand functions using Fourier, Fourier-Bessel and Fourier-Legendre series.</v>
      </c>
      <c r="G167" s="10" t="str">
        <v>Solve linear second order PDEs by separation of variables, with applications to the wave, diffusion and Laplace equations</v>
      </c>
      <c r="H167" s="10" t="str">
        <v>Demonstrate knowledge of Sturm-Liouville theory and the application of generalised Fourier series to solve boundary value problems.</v>
      </c>
      <c r="I167" s="10" t="str">
        <v>Solve nonhomogeneous linear second order PDEs using the method of eigenfunction expansion.</v>
      </c>
      <c r="J167" s="10" t="str">
        <v>Solve boundary value problems using Laplace and Fourier transforms techniques.</v>
      </c>
      <c r="K167" s="10" t="str">
        <v>Demonstrate knowledge of complex differentiation and integrations.</v>
      </c>
      <c r="L167" s="11" t="str">
        <v>Use contour integrals to solve real integral and to obtain inverse Laplace transform.</v>
      </c>
      <c r="M167" s="11">
        <v>0</v>
      </c>
      <c r="N167" s="11">
        <v>0</v>
      </c>
      <c r="O167" s="10">
        <v>0</v>
      </c>
      <c r="P167" s="11">
        <v>0</v>
      </c>
      <c r="Q167" s="11">
        <v>0</v>
      </c>
      <c r="R167" s="12" t="b">
        <f t="shared" si="0"/>
        <v>1</v>
      </c>
      <c r="S167" s="12" t="str">
        <v>SPC 491</v>
      </c>
      <c r="T167" s="12" t="e">
        <f t="array" aca="1" ref="T167" ca="1">_xludf.IFNA(LOOKUP(2,1/(C167:Q167&lt;&gt;""),COLUMN(C167:Q167))-2,0)</f>
        <v>#NAME?</v>
      </c>
      <c r="U167" s="12">
        <f t="shared" si="1"/>
        <v>15</v>
      </c>
      <c r="V167" s="12" t="e">
        <f t="shared" ca="1" si="2"/>
        <v>#NAME?</v>
      </c>
    </row>
    <row r="168" spans="1:22" ht="12.75">
      <c r="A168" s="9" t="str">
        <v>MATH</v>
      </c>
      <c r="B168" s="9" t="str">
        <v>MATH 306</v>
      </c>
      <c r="C168" s="10">
        <v>2020</v>
      </c>
      <c r="D168" s="10" t="str">
        <v>SPRING</v>
      </c>
      <c r="E168" s="10" t="str">
        <v>Identify how to calculate numerical error (absolute error and relative error)</v>
      </c>
      <c r="F168" s="10" t="str">
        <v>Find the roots of algebraic, transcendental equations or system of nonlinear equations numerically</v>
      </c>
      <c r="G168" s="10" t="str">
        <v>Solve a system of simultaneous linear equations numerically</v>
      </c>
      <c r="H168" s="10" t="str">
        <v>Estimate derivatives numerically</v>
      </c>
      <c r="I168" s="10" t="str">
        <v>Analyze the given data for curve fitting either by regression or interpolation</v>
      </c>
      <c r="J168" s="10" t="str">
        <v>Estimate Integrals numerically</v>
      </c>
      <c r="K168" s="10" t="str">
        <v>Solve ordinary/partial differential equations numerically</v>
      </c>
      <c r="L168" s="11">
        <v>0</v>
      </c>
      <c r="M168" s="11">
        <v>0</v>
      </c>
      <c r="N168" s="11">
        <v>0</v>
      </c>
      <c r="O168" s="10">
        <v>0</v>
      </c>
      <c r="P168" s="11">
        <v>0</v>
      </c>
      <c r="Q168" s="11">
        <v>0</v>
      </c>
      <c r="R168" s="12" t="b">
        <f t="shared" si="0"/>
        <v>1</v>
      </c>
      <c r="S168" s="12">
        <v>0</v>
      </c>
      <c r="T168" s="12" t="e">
        <f t="array" aca="1" ref="T168" ca="1">_xludf.IFNA(LOOKUP(2,1/(C168:Q168&lt;&gt;""),COLUMN(C168:Q168))-2,0)</f>
        <v>#NAME?</v>
      </c>
      <c r="U168" s="12">
        <f t="shared" si="1"/>
        <v>15</v>
      </c>
      <c r="V168" s="12" t="e">
        <f t="shared" ca="1" si="2"/>
        <v>#NAME?</v>
      </c>
    </row>
    <row r="169" spans="1:22" ht="12.75">
      <c r="A169" s="9" t="str">
        <v>MATH</v>
      </c>
      <c r="B169" s="9" t="str">
        <v>MATH 308</v>
      </c>
      <c r="C169" s="10">
        <v>2020</v>
      </c>
      <c r="D169" s="10" t="str">
        <v>SPRING</v>
      </c>
      <c r="E169" s="10" t="str">
        <v>The ability to demonstrate theoretical knowledge and have practical skills in different areas of mathematics that are applicable in computer science such as logic, graph theory, etc.</v>
      </c>
      <c r="F169" s="10" t="str">
        <v>The ability to identify the steps required to carry out a piece of research on a topic within applications of mathematics in computer science.</v>
      </c>
      <c r="G169" s="10" t="str">
        <v>The ability to understand and Implement applications of number theory to cryptography.</v>
      </c>
      <c r="H169" s="10" t="str">
        <v>The ability to gain the required skills for the proof methods and techniques</v>
      </c>
      <c r="I169" s="10" t="str">
        <v>Be able to take decision to which counting techniques to be used in different situation.</v>
      </c>
      <c r="J169" s="10" t="str">
        <v>The ability to understand the applications of the graph theory, Euler graph and Hamiltonian graph,</v>
      </c>
      <c r="K169" s="10" t="str">
        <v>The ability to understand the basic concepts of the trees and their applications in computer science</v>
      </c>
      <c r="L169" s="11">
        <v>0</v>
      </c>
      <c r="M169" s="11">
        <v>0</v>
      </c>
      <c r="N169" s="11">
        <v>0</v>
      </c>
      <c r="O169" s="10">
        <v>0</v>
      </c>
      <c r="P169" s="11">
        <v>0</v>
      </c>
      <c r="Q169" s="11">
        <v>0</v>
      </c>
      <c r="R169" s="12" t="b">
        <f t="shared" ca="1" si="0"/>
        <v>0</v>
      </c>
      <c r="S169" s="12">
        <v>0</v>
      </c>
      <c r="T169" s="12" t="e">
        <f t="array" aca="1" ref="T169" ca="1">_xludf.IFNA(LOOKUP(2,1/(C169:Q169&lt;&gt;""),COLUMN(C169:Q169))-2,0)</f>
        <v>#NAME?</v>
      </c>
      <c r="U169" s="12">
        <f t="shared" si="1"/>
        <v>15</v>
      </c>
      <c r="V169" s="12" t="e">
        <f t="shared" ca="1" si="2"/>
        <v>#NAME?</v>
      </c>
    </row>
    <row r="170" spans="1:22" ht="12.75">
      <c r="A170" s="9" t="str">
        <v>MATH</v>
      </c>
      <c r="B170" s="9" t="str">
        <v>MATH 404</v>
      </c>
      <c r="C170" s="10">
        <v>2020</v>
      </c>
      <c r="D170" s="10" t="str">
        <v>SPRING</v>
      </c>
      <c r="E170" s="10" t="str">
        <v>Classify the optimization problem.</v>
      </c>
      <c r="F170" s="10" t="str">
        <v>Derive the optimality conditions for different types of optimization problems.</v>
      </c>
      <c r="G170" s="10" t="str">
        <v>Solve linear programming (LP) problem using different techniques</v>
      </c>
      <c r="H170" s="10" t="str">
        <v>Solve unconstrained and constrained non-linear programming problems using different techniques</v>
      </c>
      <c r="I170" s="10" t="str">
        <v>Use the ready-made SW packages, such as Matlab, to solve optimization problems</v>
      </c>
      <c r="J170" s="10" t="str">
        <v>Implement optimization algorithms to solve optimization problems.</v>
      </c>
      <c r="K170" s="10">
        <v>0</v>
      </c>
      <c r="L170" s="11">
        <v>0</v>
      </c>
      <c r="M170" s="11">
        <v>0</v>
      </c>
      <c r="N170" s="11">
        <v>0</v>
      </c>
      <c r="O170" s="10">
        <v>0</v>
      </c>
      <c r="P170" s="11">
        <v>0</v>
      </c>
      <c r="Q170" s="11">
        <v>0</v>
      </c>
      <c r="R170" s="12" t="b">
        <f t="shared" si="0"/>
        <v>1</v>
      </c>
      <c r="S170" s="12">
        <v>0</v>
      </c>
      <c r="T170" s="12" t="e">
        <f t="array" aca="1" ref="T170" ca="1">_xludf.IFNA(LOOKUP(2,1/(C170:Q170&lt;&gt;""),COLUMN(C170:Q170))-2,0)</f>
        <v>#NAME?</v>
      </c>
      <c r="U170" s="12">
        <f t="shared" si="1"/>
        <v>15</v>
      </c>
      <c r="V170" s="12" t="e">
        <f t="shared" ca="1" si="2"/>
        <v>#NAME?</v>
      </c>
    </row>
    <row r="171" spans="1:22" ht="12.75">
      <c r="A171" s="9" t="str">
        <v>MATSCI</v>
      </c>
      <c r="B171" s="9" t="str">
        <v>CHEM 202</v>
      </c>
      <c r="C171" s="10">
        <v>2020</v>
      </c>
      <c r="D171" s="10" t="str">
        <v>SPRING</v>
      </c>
      <c r="E171" s="10" t="str">
        <v>Understand the basic principles of the analytical chemistry process.</v>
      </c>
      <c r="F171" s="10" t="str">
        <v>Gain familiarity with fundamental concepts of Analytical and Physical chemistry and</v>
      </c>
      <c r="G171" s="10" t="str">
        <v>Link the taught principles to various disciplines of science.</v>
      </c>
      <c r="H171" s="10" t="str">
        <v>Ability to differentiate between different types of analytical techniques and select the</v>
      </c>
      <c r="I171" s="10" t="str">
        <v>Utilize the scientific &amp; quantitative methods of thinking to solve scientific problems.</v>
      </c>
      <c r="J171" s="10" t="str">
        <v>Understand the fundamentals of electrochemistry and the laws that govern the</v>
      </c>
      <c r="K171" s="10" t="str">
        <v>Understand and differentiate between the different types of batteries and fuel cells.</v>
      </c>
      <c r="L171" s="11" t="str">
        <v>Ability to differentiate between the probertites and behaviour of ideal and real gases.</v>
      </c>
      <c r="M171" s="11" t="str">
        <v>Understand the factors controlling the relative stability of the solid, liquid, and gas</v>
      </c>
      <c r="N171" s="11" t="str">
        <v>Recognize the theoretical bases of the different types of phase diagrams.</v>
      </c>
      <c r="O171" s="10">
        <v>0</v>
      </c>
      <c r="P171" s="11">
        <v>0</v>
      </c>
      <c r="Q171" s="11">
        <v>0</v>
      </c>
      <c r="R171" s="12" t="b">
        <f t="shared" ca="1" si="0"/>
        <v>0</v>
      </c>
      <c r="S171" s="12">
        <v>0</v>
      </c>
      <c r="T171" s="12" t="e">
        <f t="array" aca="1" ref="T171" ca="1">_xludf.IFNA(LOOKUP(2,1/(C171:Q171&lt;&gt;""),COLUMN(C171:Q171))-2,0)</f>
        <v>#NAME?</v>
      </c>
      <c r="U171" s="12">
        <f t="shared" si="1"/>
        <v>15</v>
      </c>
      <c r="V171" s="12" t="e">
        <f t="shared" ca="1" si="2"/>
        <v>#NAME?</v>
      </c>
    </row>
    <row r="172" spans="1:22" ht="12.75">
      <c r="A172" s="9" t="str">
        <v>MATSCI</v>
      </c>
      <c r="B172" s="9" t="str">
        <v>CHEM 212</v>
      </c>
      <c r="C172" s="10">
        <v>2020</v>
      </c>
      <c r="D172" s="10" t="str">
        <v>SPRING</v>
      </c>
      <c r="E172" s="10" t="str">
        <v>· Apply some of the principles and phenomena in CHEM 102.</v>
      </c>
      <c r="F172" s="10" t="str">
        <v>Use laboratory notebooks to record all data and observations during the lab session.</v>
      </c>
      <c r="G172" s="10" t="str">
        <v>· Apply fundamentals of gravimetric, Complexometric, conductometric titration and spectrophotometric techniques for quantitative chemical analysis.</v>
      </c>
      <c r="H172" s="10" t="str">
        <v>· Perform experiment to determine the rate, and order of chemical reactions by varying concentrations and/or temperature.</v>
      </c>
      <c r="I172" s="10" t="str">
        <v>Perform experiment to determine Faraday's constant, and heat of dissolution of salts.</v>
      </c>
      <c r="J172" s="10" t="str">
        <v>· Draw a phase diagram for a three component system.</v>
      </c>
      <c r="K172" s="10" t="str">
        <v>· Write clear and concise pre and post lab reports</v>
      </c>
      <c r="L172" s="11">
        <v>0</v>
      </c>
      <c r="M172" s="11">
        <v>0</v>
      </c>
      <c r="N172" s="11">
        <v>0</v>
      </c>
      <c r="O172" s="10">
        <v>0</v>
      </c>
      <c r="P172" s="11">
        <v>0</v>
      </c>
      <c r="Q172" s="11">
        <v>0</v>
      </c>
      <c r="R172" s="12" t="b">
        <f t="shared" ca="1" si="0"/>
        <v>0</v>
      </c>
      <c r="S172" s="12">
        <v>0</v>
      </c>
      <c r="T172" s="12" t="e">
        <f t="array" aca="1" ref="T172" ca="1">_xludf.IFNA(LOOKUP(2,1/(C172:Q172&lt;&gt;""),COLUMN(C172:Q172))-2,0)</f>
        <v>#NAME?</v>
      </c>
      <c r="U172" s="12">
        <f t="shared" si="1"/>
        <v>15</v>
      </c>
      <c r="V172" s="12" t="e">
        <f t="shared" ca="1" si="2"/>
        <v>#NAME?</v>
      </c>
    </row>
    <row r="173" spans="1:22" ht="12.75">
      <c r="A173" s="9" t="str">
        <v>MATSCI</v>
      </c>
      <c r="B173" s="9" t="str">
        <v>MATSCI 201</v>
      </c>
      <c r="C173" s="10">
        <v>2020</v>
      </c>
      <c r="D173" s="10" t="str">
        <v>SPRING</v>
      </c>
      <c r="E173" s="10" t="str">
        <v>Ability to understand the atomic structure and differentiate between primary and secondary interatomic bonds</v>
      </c>
      <c r="F173" s="10" t="str">
        <v>Ability to identify different crystal structures and determine crystallographic planes and directions</v>
      </c>
      <c r="G173" s="10" t="str">
        <v>Ability to characterize polymers types and their molecular structures and configurations</v>
      </c>
      <c r="H173" s="10" t="str">
        <v>The ability to determine the type of defects in metals, ceramics and polymers</v>
      </c>
      <c r="I173" s="10" t="str">
        <v>The ability to understand diffusion mechanisms and the factors that influence diffusion</v>
      </c>
      <c r="J173" s="10" t="str">
        <v>Ability to distinguish between different mechanical properties and their effect on materials behaviour</v>
      </c>
      <c r="K173" s="10" t="str">
        <v>Ability to differentiate between fracture mechanisms in ductile and brittle materials</v>
      </c>
      <c r="L173" s="11" t="str">
        <v>Ability to understand phase diagrams especially the Iron-Iron Carbide phase diagram</v>
      </c>
      <c r="M173" s="11">
        <v>0</v>
      </c>
      <c r="N173" s="11">
        <v>0</v>
      </c>
      <c r="O173" s="10">
        <v>0</v>
      </c>
      <c r="P173" s="11">
        <v>0</v>
      </c>
      <c r="Q173" s="11">
        <v>0</v>
      </c>
      <c r="R173" s="12" t="b">
        <f t="shared" si="0"/>
        <v>1</v>
      </c>
      <c r="S173" s="12">
        <v>0</v>
      </c>
      <c r="T173" s="12" t="e">
        <f t="array" aca="1" ref="T173" ca="1">_xludf.IFNA(LOOKUP(2,1/(C173:Q173&lt;&gt;""),COLUMN(C173:Q173))-2,0)</f>
        <v>#NAME?</v>
      </c>
      <c r="U173" s="12">
        <f t="shared" si="1"/>
        <v>15</v>
      </c>
      <c r="V173" s="12" t="e">
        <f t="shared" ca="1" si="2"/>
        <v>#NAME?</v>
      </c>
    </row>
    <row r="174" spans="1:22" ht="12.75">
      <c r="A174" s="9" t="str">
        <v>MATSCI</v>
      </c>
      <c r="B174" s="9" t="str">
        <v>MATSCI 204</v>
      </c>
      <c r="C174" s="10">
        <v>2020</v>
      </c>
      <c r="D174" s="10" t="str">
        <v>SPRING</v>
      </c>
      <c r="E174" s="10" t="str">
        <v>The ability to describe the general trends in the periodic table of elements</v>
      </c>
      <c r="F174" s="10" t="str">
        <v>The ability to explain methods for the synthesis of the s &amp; p block elements.</v>
      </c>
      <c r="G174" s="10" t="str">
        <v>The ability to understand the structures, the properties, applications, and the chemical reactivity of the s &amp; p block elements</v>
      </c>
      <c r="H174" s="10" t="str">
        <v>The ability to describe relevant oxidation states for the s &amp; p block elements.</v>
      </c>
      <c r="I174" s="10" t="str">
        <v>The ability to demonstrate the hybridization of s &amp; p block elements</v>
      </c>
      <c r="J174" s="10" t="str">
        <v>Differentiate the different allotropes of the s &amp; p block elements</v>
      </c>
      <c r="K174" s="10" t="str">
        <v>Derive equations for reactions of compounds of the s &amp; p block elements.</v>
      </c>
      <c r="L174" s="11" t="str">
        <v>Appreciate the anomalous properties of some elements</v>
      </c>
      <c r="M174" s="11">
        <v>0</v>
      </c>
      <c r="N174" s="11">
        <v>0</v>
      </c>
      <c r="O174" s="10">
        <v>0</v>
      </c>
      <c r="P174" s="11">
        <v>0</v>
      </c>
      <c r="Q174" s="11">
        <v>0</v>
      </c>
      <c r="R174" s="12" t="b">
        <f t="shared" si="0"/>
        <v>1</v>
      </c>
      <c r="S174" s="12">
        <v>0</v>
      </c>
      <c r="T174" s="12" t="e">
        <f t="array" aca="1" ref="T174" ca="1">_xludf.IFNA(LOOKUP(2,1/(C174:Q174&lt;&gt;""),COLUMN(C174:Q174))-2,0)</f>
        <v>#NAME?</v>
      </c>
      <c r="U174" s="12">
        <f t="shared" si="1"/>
        <v>15</v>
      </c>
      <c r="V174" s="12" t="e">
        <f t="shared" ca="1" si="2"/>
        <v>#NAME?</v>
      </c>
    </row>
    <row r="175" spans="1:22" ht="12.75">
      <c r="A175" s="9" t="str">
        <v>MATSCI</v>
      </c>
      <c r="B175" s="9" t="str">
        <v>MATSCI 214</v>
      </c>
      <c r="C175" s="10">
        <v>2020</v>
      </c>
      <c r="D175" s="10" t="str">
        <v>SPRING</v>
      </c>
      <c r="E175" s="10" t="str">
        <v>To become familiar with safe and efficient laboratory practice of inorganic</v>
      </c>
      <c r="F175" s="10" t="str">
        <v>To be able to enumerate several distinguishing properties for S and P block</v>
      </c>
      <c r="G175" s="10" t="str">
        <v>To gain familiarity with different applications of main group elements in daily life</v>
      </c>
      <c r="H175" s="10" t="str">
        <v>The course should provide the students with basic skills needed to design lab</v>
      </c>
      <c r="I175" s="10" t="str">
        <v>Gain familiarity and understand the basics of electrochemistry and related</v>
      </c>
      <c r="J175" s="10" t="str">
        <v>To be able to enumerate several examples of unique applications of</v>
      </c>
      <c r="K175" s="10" t="str">
        <v>To gain good understanding of the difference between main group elements and</v>
      </c>
      <c r="L175" s="11" t="str">
        <v>Ability to assess the composition of alloys and fertilizers based on lab</v>
      </c>
      <c r="M175" s="11">
        <v>0</v>
      </c>
      <c r="N175" s="11">
        <v>0</v>
      </c>
      <c r="O175" s="10">
        <v>0</v>
      </c>
      <c r="P175" s="11">
        <v>0</v>
      </c>
      <c r="Q175" s="11">
        <v>0</v>
      </c>
      <c r="R175" s="12" t="b">
        <f t="shared" si="0"/>
        <v>1</v>
      </c>
      <c r="S175" s="12"/>
      <c r="T175" s="12" t="e">
        <f t="array" aca="1" ref="T175" ca="1">_xludf.IFNA(LOOKUP(2,1/(C175:Q175&lt;&gt;""),COLUMN(C175:Q175))-2,0)</f>
        <v>#NAME?</v>
      </c>
      <c r="U175" s="12">
        <f t="shared" si="1"/>
        <v>15</v>
      </c>
      <c r="V175" s="12" t="e">
        <f t="shared" ca="1" si="2"/>
        <v>#NAME?</v>
      </c>
    </row>
    <row r="176" spans="1:22" ht="12.75">
      <c r="A176" s="9" t="str">
        <v>MATSCI</v>
      </c>
      <c r="B176" s="9" t="str">
        <v>MATSCI 255</v>
      </c>
      <c r="C176" s="10">
        <v>2020</v>
      </c>
      <c r="D176" s="10" t="str">
        <v>SPRING</v>
      </c>
      <c r="E176" s="10" t="str">
        <v>Name the nanoscience, nanotechnologies, nanoscale, intentionally and non-intentionally-made nanomaterials</v>
      </c>
      <c r="F176" s="10" t="str">
        <v>State the top down, bottom up and self assembly processes.</v>
      </c>
      <c r="G176" s="10" t="str">
        <v>Analyze biomimicry and biomimetic materials</v>
      </c>
      <c r="H176" s="10" t="str">
        <v>Interpret absorbance scanning and SEM results based on surface plasmon, particles size and shape</v>
      </c>
      <c r="I176" s="10" t="str">
        <v>Demonstrate nanoscience in nature including montmorillonite, natural colloids, Mineralised natural materials, spider silk and insect wings and opals</v>
      </c>
      <c r="J176" s="10" t="str">
        <v>Prepare nanomaterials and characterize them using zeta sizer and absorbance scanning</v>
      </c>
      <c r="K176" s="10" t="str">
        <v>Research methods of nano materials synthesis processes and applications</v>
      </c>
      <c r="L176" s="11">
        <v>0</v>
      </c>
      <c r="M176" s="11">
        <v>0</v>
      </c>
      <c r="N176" s="11">
        <v>0</v>
      </c>
      <c r="O176" s="10">
        <v>0</v>
      </c>
      <c r="P176" s="11">
        <v>0</v>
      </c>
      <c r="Q176" s="11">
        <v>0</v>
      </c>
      <c r="R176" s="12" t="b">
        <f t="shared" ca="1" si="0"/>
        <v>0</v>
      </c>
      <c r="S176" s="12"/>
      <c r="T176" s="12" t="e">
        <f t="array" aca="1" ref="T176" ca="1">_xludf.IFNA(LOOKUP(2,1/(C176:Q176&lt;&gt;""),COLUMN(C176:Q176))-2,0)</f>
        <v>#NAME?</v>
      </c>
      <c r="U176" s="12">
        <f t="shared" si="1"/>
        <v>15</v>
      </c>
      <c r="V176" s="12" t="e">
        <f t="shared" ca="1" si="2"/>
        <v>#NAME?</v>
      </c>
    </row>
    <row r="177" spans="1:22" ht="12.75">
      <c r="A177" s="9" t="str">
        <v>MATSCI</v>
      </c>
      <c r="B177" s="9" t="str">
        <v>MATSCI 301</v>
      </c>
      <c r="C177" s="17">
        <v>2020</v>
      </c>
      <c r="D177" s="17" t="str">
        <v>SPRING</v>
      </c>
      <c r="E177" s="17" t="str">
        <v>Ability to identify necessary aspects of catalyzed reactions.</v>
      </c>
      <c r="F177" s="17" t="str">
        <v>Ability to derive kinetic expressions for various reactions.</v>
      </c>
      <c r="G177" s="17" t="str">
        <v>Ability to identify fundamental interactions governing heterogeneous catalysis</v>
      </c>
      <c r="H177" s="10" t="str">
        <v>Ability to select optimal analytical and characterization techniques to probe certain materials for their catalytic performance</v>
      </c>
      <c r="I177" s="10" t="str">
        <v>Ability to develop skills of linking basic concepts of molecular interactions towards analyzing observed catalytic activity of certain catalysts</v>
      </c>
      <c r="J177" s="10">
        <v>0</v>
      </c>
      <c r="K177" s="10">
        <v>0</v>
      </c>
      <c r="L177" s="11">
        <v>0</v>
      </c>
      <c r="M177" s="11">
        <v>0</v>
      </c>
      <c r="N177" s="11">
        <v>0</v>
      </c>
      <c r="O177" s="10">
        <v>0</v>
      </c>
      <c r="P177" s="11">
        <v>0</v>
      </c>
      <c r="Q177" s="11">
        <v>0</v>
      </c>
      <c r="R177" s="12" t="b">
        <f t="shared" ca="1" si="0"/>
        <v>0</v>
      </c>
      <c r="S177" s="12"/>
      <c r="T177" s="12" t="e">
        <f t="array" aca="1" ref="T177" ca="1">_xludf.IFNA(LOOKUP(2,1/(C177:Q177&lt;&gt;""),COLUMN(C177:Q177))-2,0)</f>
        <v>#NAME?</v>
      </c>
      <c r="U177" s="12">
        <f t="shared" si="1"/>
        <v>15</v>
      </c>
      <c r="V177" s="12" t="e">
        <f t="shared" ca="1" si="2"/>
        <v>#NAME?</v>
      </c>
    </row>
    <row r="178" spans="1:22" ht="12.75">
      <c r="A178" s="9" t="str">
        <v>MATSCI</v>
      </c>
      <c r="B178" s="9" t="str">
        <v>MATSCI 302</v>
      </c>
      <c r="C178" s="10">
        <v>2020</v>
      </c>
      <c r="D178" s="10" t="str">
        <v>SPRING</v>
      </c>
      <c r="E178" s="10" t="str">
        <v>Students will learn the basics of heat capacity of solids and</v>
      </c>
      <c r="F178" s="10" t="str">
        <v>Students will become familiar with the Drude theory, the</v>
      </c>
      <c r="G178" s="10" t="str">
        <v>Students will learn the different types of bonds, materials,</v>
      </c>
      <c r="H178" s="10" t="str">
        <v>Students will develop understanding to the concept of band</v>
      </c>
      <c r="I178" s="10" t="str">
        <v>Students will be familiar with semiconductors, magnetic</v>
      </c>
      <c r="J178" s="10">
        <v>0</v>
      </c>
      <c r="K178" s="10">
        <v>0</v>
      </c>
      <c r="L178" s="11">
        <v>0</v>
      </c>
      <c r="M178" s="11">
        <v>0</v>
      </c>
      <c r="N178" s="11">
        <v>0</v>
      </c>
      <c r="O178" s="10">
        <v>0</v>
      </c>
      <c r="P178" s="11">
        <v>0</v>
      </c>
      <c r="Q178" s="11">
        <v>0</v>
      </c>
      <c r="R178" s="12" t="b">
        <f t="shared" ca="1" si="0"/>
        <v>0</v>
      </c>
      <c r="S178" s="12"/>
      <c r="T178" s="12" t="e">
        <f t="array" aca="1" ref="T178" ca="1">_xludf.IFNA(LOOKUP(2,1/(C178:Q178&lt;&gt;""),COLUMN(C178:Q178))-2,0)</f>
        <v>#NAME?</v>
      </c>
      <c r="U178" s="12">
        <f t="shared" si="1"/>
        <v>15</v>
      </c>
      <c r="V178" s="12" t="e">
        <f t="shared" ca="1" si="2"/>
        <v>#NAME?</v>
      </c>
    </row>
    <row r="179" spans="1:22" ht="12.75">
      <c r="A179" s="19" t="str">
        <v>MATSCI</v>
      </c>
      <c r="B179" s="9" t="str">
        <v>MATSCI 303</v>
      </c>
      <c r="C179" s="17">
        <v>2020</v>
      </c>
      <c r="D179" s="17" t="str">
        <v>SPRING</v>
      </c>
      <c r="E179" s="17" t="str">
        <v>Getting familiar with the macromolecule theory.</v>
      </c>
      <c r="F179" s="17" t="str">
        <v>Being able to differentiate between several types of macromolecules.</v>
      </c>
      <c r="G179" s="17" t="str">
        <v>Show ability to describe several pathways to construct and characterize macromolecules.</v>
      </c>
      <c r="H179" s="17" t="str">
        <v>Show ability to select proper technique to characterize certain macromolecules</v>
      </c>
      <c r="I179" s="10" t="str">
        <v>Demonstrate understanding of the basic concepts behind polymer property and how a rational approach can be outlined to improve certain properties of a polymer</v>
      </c>
      <c r="J179" s="10" t="str">
        <v>Gain familiarity with quantitative methods used in characterization of macromolecules</v>
      </c>
      <c r="K179" s="10">
        <v>0</v>
      </c>
      <c r="L179" s="11">
        <v>0</v>
      </c>
      <c r="M179" s="11">
        <v>0</v>
      </c>
      <c r="N179" s="11">
        <v>0</v>
      </c>
      <c r="O179" s="10">
        <v>0</v>
      </c>
      <c r="P179" s="11">
        <v>0</v>
      </c>
      <c r="Q179" s="11">
        <v>0</v>
      </c>
      <c r="R179" s="12" t="b">
        <f t="shared" si="0"/>
        <v>1</v>
      </c>
      <c r="S179" s="12"/>
      <c r="T179" s="12" t="e">
        <f t="array" aca="1" ref="T179" ca="1">_xludf.IFNA(LOOKUP(2,1/(C179:Q179&lt;&gt;""),COLUMN(C179:Q179))-2,0)</f>
        <v>#NAME?</v>
      </c>
      <c r="U179" s="12">
        <f t="shared" si="1"/>
        <v>15</v>
      </c>
      <c r="V179" s="12" t="e">
        <f t="shared" ca="1" si="2"/>
        <v>#NAME?</v>
      </c>
    </row>
    <row r="180" spans="1:22" ht="12.75">
      <c r="A180" s="9" t="str">
        <v>MATSCI</v>
      </c>
      <c r="B180" s="9" t="str">
        <v>MATSCI 318</v>
      </c>
      <c r="C180" s="17">
        <v>2020</v>
      </c>
      <c r="D180" s="17" t="str">
        <v>SPRING</v>
      </c>
      <c r="E180" s="17" t="str">
        <v>Ability to Work with the High-performance Computer facilities using Linux command.</v>
      </c>
      <c r="F180" s="17" t="str">
        <v>Ability to Modeling the chemical structures and performing single point energy calculations</v>
      </c>
      <c r="G180" s="17" t="str">
        <v>Ability to perform Ground state geometry optimization</v>
      </c>
      <c r="H180" s="17" t="str">
        <v>Ability to perform frequency calculations and visualize IR spectrum of organic molecules</v>
      </c>
      <c r="I180" s="17" t="str">
        <v>Ability to perform Transition states and reaction paths calculations.</v>
      </c>
      <c r="J180" s="10" t="str">
        <v>Ability to perform Conformational energy analysis</v>
      </c>
      <c r="K180" s="10" t="str">
        <v>Ability to calculate Electronic Band Structure and Density of States for systems.</v>
      </c>
      <c r="L180" s="11">
        <v>0</v>
      </c>
      <c r="M180" s="11">
        <v>0</v>
      </c>
      <c r="N180" s="11">
        <v>0</v>
      </c>
      <c r="O180" s="10">
        <v>0</v>
      </c>
      <c r="P180" s="11">
        <v>0</v>
      </c>
      <c r="Q180" s="11">
        <v>0</v>
      </c>
      <c r="R180" s="12" t="b">
        <f t="shared" si="0"/>
        <v>1</v>
      </c>
      <c r="S180" s="12"/>
      <c r="T180" s="12" t="e">
        <f t="array" aca="1" ref="T180" ca="1">_xludf.IFNA(LOOKUP(2,1/(C180:Q180&lt;&gt;""),COLUMN(C180:Q180))-2,0)</f>
        <v>#NAME?</v>
      </c>
      <c r="U180" s="12">
        <f t="shared" si="1"/>
        <v>15</v>
      </c>
      <c r="V180" s="12" t="e">
        <f t="shared" ca="1" si="2"/>
        <v>#NAME?</v>
      </c>
    </row>
    <row r="181" spans="1:22" ht="12.75">
      <c r="A181" s="9" t="str">
        <v>MATSCI</v>
      </c>
      <c r="B181" s="19" t="str">
        <v>MATSCI 405</v>
      </c>
      <c r="C181" s="17">
        <v>2020</v>
      </c>
      <c r="D181" s="17" t="str">
        <v>SPRING</v>
      </c>
      <c r="E181" s="17" t="str">
        <v>Identify different types of ligands</v>
      </c>
      <c r="F181" s="17" t="str">
        <v>Extract Symmetry Elements and predict the point group due to group therory</v>
      </c>
      <c r="G181" s="17" t="str">
        <v>Select the most stable coordinate compounds among others.</v>
      </c>
      <c r="H181" s="52" t="str">
        <v>Sketch the geometry of different coordination compounds.</v>
      </c>
      <c r="I181" s="10" t="str">
        <v>Verify the arrangement of transition elements according to size, acidic, basic and metallic character.</v>
      </c>
      <c r="J181" s="52" t="str">
        <v>Conclude the magnetic properties of a complex and classify to which group does it belongs</v>
      </c>
      <c r="K181" s="17">
        <v>0</v>
      </c>
      <c r="L181" s="17">
        <v>0</v>
      </c>
      <c r="M181" s="52">
        <v>0</v>
      </c>
      <c r="N181" s="11">
        <v>0</v>
      </c>
      <c r="O181" s="10">
        <v>0</v>
      </c>
      <c r="P181" s="11">
        <v>0</v>
      </c>
      <c r="Q181" s="11">
        <v>0</v>
      </c>
      <c r="R181" s="12" t="b">
        <f t="shared" si="0"/>
        <v>1</v>
      </c>
      <c r="S181" s="12"/>
      <c r="T181" s="12" t="e">
        <f t="array" aca="1" ref="T181" ca="1">_xludf.IFNA(LOOKUP(2,1/(C181:Q181&lt;&gt;""),COLUMN(C181:Q181))-2,0)</f>
        <v>#NAME?</v>
      </c>
      <c r="U181" s="12">
        <f t="shared" si="1"/>
        <v>15</v>
      </c>
      <c r="V181" s="12" t="e">
        <f t="shared" ca="1" si="2"/>
        <v>#NAME?</v>
      </c>
    </row>
    <row r="182" spans="1:22" ht="12.75">
      <c r="A182" s="9" t="str">
        <v>MATSCI</v>
      </c>
      <c r="B182" s="9" t="str">
        <v>MATSCI 411</v>
      </c>
      <c r="C182" s="10">
        <v>2020</v>
      </c>
      <c r="D182" s="10" t="str">
        <v>SPRING</v>
      </c>
      <c r="E182" s="10" t="str">
        <v>lattice vibrations.</v>
      </c>
      <c r="F182" s="11" t="str">
        <v>free-electron model of metals, the Fermi energy and</v>
      </c>
      <c r="G182" s="10" t="str">
        <v>crystal structures and wave scattering by crystals.</v>
      </c>
      <c r="H182" s="28" t="str">
        <v>theory and how to use it to classify different materials.</v>
      </c>
      <c r="I182" s="10" t="str">
        <v>materials, superconductors and their optical properties.</v>
      </c>
      <c r="J182" s="28" t="str">
        <v>Participate in class discussion and think critically</v>
      </c>
      <c r="K182" s="10" t="str">
        <v>Act responsibly and ethically in carrying out individual as well as group projects</v>
      </c>
      <c r="L182" s="11" t="str">
        <v>Seek learning opportunities outside the classroom environment</v>
      </c>
      <c r="M182" s="12">
        <v>0</v>
      </c>
      <c r="N182" s="11">
        <v>0</v>
      </c>
      <c r="O182" s="10">
        <v>0</v>
      </c>
      <c r="P182" s="11">
        <v>0</v>
      </c>
      <c r="Q182" s="11">
        <v>0</v>
      </c>
      <c r="R182" s="12" t="b">
        <f t="shared" si="0"/>
        <v>1</v>
      </c>
      <c r="S182" s="12"/>
      <c r="T182" s="12" t="e">
        <f t="array" aca="1" ref="T182" ca="1">_xludf.IFNA(LOOKUP(2,1/(C182:Q182&lt;&gt;""),COLUMN(C182:Q182))-2,0)</f>
        <v>#NAME?</v>
      </c>
      <c r="U182" s="12">
        <f t="shared" si="1"/>
        <v>15</v>
      </c>
      <c r="V182" s="12" t="e">
        <f t="shared" ca="1" si="2"/>
        <v>#NAME?</v>
      </c>
    </row>
    <row r="183" spans="1:22" ht="12.75">
      <c r="A183" s="9" t="str">
        <v>MATSCI</v>
      </c>
      <c r="B183" s="9" t="str">
        <v>MATSCI 463</v>
      </c>
      <c r="C183" s="17">
        <v>2020</v>
      </c>
      <c r="D183" s="10" t="str">
        <v>SPRING</v>
      </c>
      <c r="E183" s="10" t="str">
        <v>Ability to interpret scientific inquiry and follow logical reasoning in relation to polymer science and applications.</v>
      </c>
      <c r="F183" s="53" t="str">
        <v>describe the different types of polymer and the different reaction mechanisms of the polymerization process.</v>
      </c>
      <c r="G183" s="10" t="str">
        <v>recognize the various biomedical and pharmaceutical applications of polymers materials</v>
      </c>
      <c r="H183" s="10" t="str">
        <v>demonstrate and understanding of the role and mechanism of polymer materials for the wastewater treatment application (degradation of dyes and heavy metals removal).</v>
      </c>
      <c r="I183" s="10" t="str">
        <v>understand the role of polymer materials as stabilizer and reducing agent for the synthesis of various oxide and metals nanoparticles.</v>
      </c>
      <c r="J183" s="10">
        <v>0</v>
      </c>
      <c r="K183" s="10">
        <v>0</v>
      </c>
      <c r="L183" s="11">
        <v>0</v>
      </c>
      <c r="M183" s="11">
        <v>0</v>
      </c>
      <c r="N183" s="11">
        <v>0</v>
      </c>
      <c r="O183" s="10">
        <v>0</v>
      </c>
      <c r="P183" s="11">
        <v>0</v>
      </c>
      <c r="Q183" s="11">
        <v>0</v>
      </c>
      <c r="R183" s="12" t="b">
        <f t="shared" si="0"/>
        <v>1</v>
      </c>
      <c r="S183" s="12"/>
      <c r="T183" s="12" t="e">
        <f t="array" aca="1" ref="T183" ca="1">_xludf.IFNA(LOOKUP(2,1/(C183:Q183&lt;&gt;""),COLUMN(C183:Q183))-2,0)</f>
        <v>#NAME?</v>
      </c>
      <c r="U183" s="12">
        <f t="shared" si="1"/>
        <v>15</v>
      </c>
      <c r="V183" s="12" t="e">
        <f t="shared" ca="1" si="2"/>
        <v>#NAME?</v>
      </c>
    </row>
    <row r="184" spans="1:22" ht="12.75">
      <c r="A184" s="9" t="str">
        <v>MATSCI</v>
      </c>
      <c r="B184" s="9" t="str">
        <v>MATSCI 465</v>
      </c>
      <c r="C184" s="10">
        <v>2020</v>
      </c>
      <c r="D184" s="10" t="str">
        <v>SPRING</v>
      </c>
      <c r="E184" s="10" t="str">
        <v>Describe fundamentals of electrochemistry</v>
      </c>
      <c r="F184" s="10" t="str">
        <v>Sommerfeld expansion.</v>
      </c>
      <c r="G184" s="10" t="str">
        <v>Demonstrate the corrosion rate including activation and concentration polarization</v>
      </c>
      <c r="H184" s="10" t="str">
        <v>Diagram the mixed potential</v>
      </c>
      <c r="I184" s="10" t="str">
        <v>Interpret the passivation behavior and Pourbaix diagram</v>
      </c>
      <c r="J184" s="10" t="str">
        <v>Illustrate the corrosion forms and control</v>
      </c>
      <c r="K184" s="10" t="str">
        <v>Compare ferrous and nonferrous alloys</v>
      </c>
      <c r="L184" s="11">
        <v>0</v>
      </c>
      <c r="M184" s="11">
        <v>0</v>
      </c>
      <c r="N184" s="11">
        <v>0</v>
      </c>
      <c r="O184" s="10">
        <v>0</v>
      </c>
      <c r="P184" s="11">
        <v>0</v>
      </c>
      <c r="Q184" s="11">
        <v>0</v>
      </c>
      <c r="R184" s="12" t="b">
        <f t="shared" ca="1" si="0"/>
        <v>0</v>
      </c>
      <c r="S184" s="12"/>
      <c r="T184" s="12" t="e">
        <f t="array" aca="1" ref="T184" ca="1">_xludf.IFNA(LOOKUP(2,1/(C184:Q184&lt;&gt;""),COLUMN(C184:Q184))-2,0)</f>
        <v>#NAME?</v>
      </c>
      <c r="U184" s="12">
        <f t="shared" si="1"/>
        <v>15</v>
      </c>
      <c r="V184" s="12" t="e">
        <f t="shared" ca="1" si="2"/>
        <v>#NAME?</v>
      </c>
    </row>
    <row r="185" spans="1:22" ht="12.75">
      <c r="A185" s="9" t="str">
        <v>MATSCI</v>
      </c>
      <c r="B185" s="9" t="str">
        <v>MATSCI 480</v>
      </c>
      <c r="C185" s="10">
        <v>2020</v>
      </c>
      <c r="D185" s="10" t="str">
        <v>SPRING</v>
      </c>
      <c r="E185" s="10" t="str">
        <v>Demonstrate understanding of the principles of molecular self-assembly in general.</v>
      </c>
      <c r="F185" s="10" t="str">
        <v>Identify fundamental interactions governing molecular interactions.</v>
      </c>
      <c r="G185" s="10" t="str">
        <v>Select optimal analytical and characterization techniques to probe self-assembled systems.</v>
      </c>
      <c r="H185" s="33" t="str">
        <v>Develop skills of linking basic concepts of molecular interactions towards analyzing observed packing patterns in self-assembled molecules.</v>
      </c>
      <c r="I185" s="10" t="str">
        <v>Enumerate and assess relative significance of different intermolecular forces governing self-assembled systems.</v>
      </c>
      <c r="J185" s="10" t="str">
        <v>understand the role of polymer materials as stabilizer and reducing agent for the synthesis of various oxide and metals nanoparticles.</v>
      </c>
      <c r="K185" s="10">
        <v>0</v>
      </c>
      <c r="L185" s="11">
        <v>0</v>
      </c>
      <c r="M185" s="11">
        <v>0</v>
      </c>
      <c r="N185" s="11">
        <v>0</v>
      </c>
      <c r="O185" s="10">
        <v>0</v>
      </c>
      <c r="P185" s="11">
        <v>0</v>
      </c>
      <c r="Q185" s="11">
        <v>0</v>
      </c>
      <c r="R185" s="12" t="b">
        <f t="shared" si="0"/>
        <v>1</v>
      </c>
      <c r="S185" s="12"/>
      <c r="T185" s="12" t="e">
        <f t="array" aca="1" ref="T185" ca="1">_xludf.IFNA(LOOKUP(2,1/(C185:Q185&lt;&gt;""),COLUMN(C185:Q185))-2,0)</f>
        <v>#NAME?</v>
      </c>
      <c r="U185" s="12">
        <f t="shared" si="1"/>
        <v>15</v>
      </c>
      <c r="V185" s="12" t="e">
        <f t="shared" ca="1" si="2"/>
        <v>#NAME?</v>
      </c>
    </row>
    <row r="186" spans="1:22" ht="12.75">
      <c r="A186" s="9" t="str">
        <v>MATSCI</v>
      </c>
      <c r="B186" s="9" t="str">
        <v>MATSCI 481</v>
      </c>
      <c r="C186" s="10">
        <v>2020</v>
      </c>
      <c r="D186" s="10" t="str">
        <v>SPRING</v>
      </c>
      <c r="E186" s="10" t="str">
        <v>Define nanoscience and nanotechnologies</v>
      </c>
      <c r="F186" s="10" t="str">
        <v>Recognize nanoscience in nature</v>
      </c>
      <c r="G186" s="10" t="str">
        <v>Explain effect of nano-scale on mechanical, physical and chemical properties of materials</v>
      </c>
      <c r="H186" s="10" t="str">
        <v>characterize nanomaterials</v>
      </c>
      <c r="I186" s="10" t="str">
        <v>Demonstrate and interpret tested nanomaterials</v>
      </c>
      <c r="J186" s="10" t="str">
        <v>summerize nanomaterials synthesis processes</v>
      </c>
      <c r="K186" s="10" t="str">
        <v>research nanocomposites applications</v>
      </c>
      <c r="L186" s="11">
        <v>0</v>
      </c>
      <c r="M186" s="11">
        <v>0</v>
      </c>
      <c r="N186" s="11">
        <v>0</v>
      </c>
      <c r="O186" s="10">
        <v>0</v>
      </c>
      <c r="P186" s="11">
        <v>0</v>
      </c>
      <c r="Q186" s="11">
        <v>0</v>
      </c>
      <c r="R186" s="12" t="b">
        <f t="shared" ca="1" si="0"/>
        <v>0</v>
      </c>
      <c r="S186" s="12"/>
      <c r="T186" s="12" t="e">
        <f t="array" aca="1" ref="T186" ca="1">_xludf.IFNA(LOOKUP(2,1/(C186:Q186&lt;&gt;""),COLUMN(C186:Q186))-2,0)</f>
        <v>#NAME?</v>
      </c>
      <c r="U186" s="12">
        <f t="shared" si="1"/>
        <v>15</v>
      </c>
      <c r="V186" s="12" t="e">
        <f t="shared" ca="1" si="2"/>
        <v>#NAME?</v>
      </c>
    </row>
    <row r="187" spans="1:22" ht="12.75">
      <c r="A187" s="9" t="str">
        <v>MATSCI</v>
      </c>
      <c r="B187" s="9" t="str">
        <v>MATSCI 490</v>
      </c>
      <c r="C187" s="10">
        <v>2020</v>
      </c>
      <c r="D187" s="10" t="str">
        <v>SPRING</v>
      </c>
      <c r="E187" s="10" t="str">
        <v>Being able to differentiate between several types of polymerization pathways.</v>
      </c>
      <c r="F187" s="10" t="str">
        <v>Gain familiarity with techniques used for determination of molecular weight of polymers.</v>
      </c>
      <c r="G187" s="10" t="str">
        <v>Show ability to select proper technique to characterize different properties of polymers.</v>
      </c>
      <c r="H187" s="10" t="str">
        <v>Demonstrate understanding of the basic concepts behind mechanical properties and reactions of polymers</v>
      </c>
      <c r="I187" s="10" t="str">
        <v>Gain familiarity with different applications of polymers</v>
      </c>
      <c r="J187" s="10">
        <v>0</v>
      </c>
      <c r="K187" s="10">
        <v>0</v>
      </c>
      <c r="L187" s="11">
        <v>0</v>
      </c>
      <c r="M187" s="11">
        <v>0</v>
      </c>
      <c r="N187" s="11">
        <v>0</v>
      </c>
      <c r="O187" s="10">
        <v>0</v>
      </c>
      <c r="P187" s="11">
        <v>0</v>
      </c>
      <c r="Q187" s="11">
        <v>0</v>
      </c>
      <c r="R187" s="12" t="b">
        <f t="shared" ca="1" si="0"/>
        <v>0</v>
      </c>
      <c r="S187" s="12"/>
      <c r="T187" s="12" t="e">
        <f t="array" aca="1" ref="T187" ca="1">_xludf.IFNA(LOOKUP(2,1/(C187:Q187&lt;&gt;""),COLUMN(C187:Q187))-2,0)</f>
        <v>#NAME?</v>
      </c>
      <c r="U187" s="12">
        <f t="shared" si="1"/>
        <v>15</v>
      </c>
      <c r="V187" s="12" t="e">
        <f t="shared" ca="1" si="2"/>
        <v>#NAME?</v>
      </c>
    </row>
    <row r="188" spans="1:22" ht="12.75">
      <c r="A188" s="9" t="str">
        <v>MATSCI</v>
      </c>
      <c r="B188" s="9" t="str">
        <v>MATSCI 494</v>
      </c>
      <c r="C188" s="10">
        <v>2020</v>
      </c>
      <c r="D188" s="10" t="str">
        <v>SPRING</v>
      </c>
      <c r="E188" s="10" t="str">
        <v>Define mechanical and physical properties of polymers</v>
      </c>
      <c r="F188" s="10" t="str">
        <v>Recognize the basic processing of plastics including thermoplastics and thermosets.</v>
      </c>
      <c r="G188" s="10" t="str">
        <v>Work and communicate effectively in a team for a project (oral and writing).</v>
      </c>
      <c r="H188" s="10" t="str">
        <v>Analyze polymer composites to meet specific product properties.</v>
      </c>
      <c r="I188" s="10">
        <v>0</v>
      </c>
      <c r="J188" s="10">
        <v>0</v>
      </c>
      <c r="K188" s="10">
        <v>0</v>
      </c>
      <c r="L188" s="11">
        <v>0</v>
      </c>
      <c r="M188" s="11">
        <v>0</v>
      </c>
      <c r="N188" s="11">
        <v>0</v>
      </c>
      <c r="O188" s="10">
        <v>0</v>
      </c>
      <c r="P188" s="11">
        <v>0</v>
      </c>
      <c r="Q188" s="11">
        <v>0</v>
      </c>
      <c r="R188" s="12" t="b">
        <f t="shared" si="0"/>
        <v>1</v>
      </c>
      <c r="S188" s="12"/>
      <c r="T188" s="12" t="e">
        <f t="array" aca="1" ref="T188" ca="1">_xludf.IFNA(LOOKUP(2,1/(C188:Q188&lt;&gt;""),COLUMN(C188:Q188))-2,0)</f>
        <v>#NAME?</v>
      </c>
      <c r="U188" s="12">
        <f t="shared" si="1"/>
        <v>15</v>
      </c>
      <c r="V188" s="12" t="e">
        <f t="shared" ca="1" si="2"/>
        <v>#NAME?</v>
      </c>
    </row>
    <row r="189" spans="1:22" ht="14.25">
      <c r="A189" s="9" t="str">
        <v>MATSCI</v>
      </c>
      <c r="B189" s="9" t="str">
        <v>MATSCI 499</v>
      </c>
      <c r="C189" s="54">
        <v>2020</v>
      </c>
      <c r="D189" t="str">
        <v>SPRING</v>
      </c>
      <c r="E189" t="str">
        <v>An ability to design and conduct experiments, as well as to analyze and interpret data</v>
      </c>
      <c r="F189" t="str">
        <v>an ability to design a system, component, or process to meet desired needs within realistic constraints such as economic, environmental, social, political, ethical, health and safety, manufacturability and sustainability</v>
      </c>
      <c r="G189" t="str">
        <v>an understanding of professional and ethical responsibility</v>
      </c>
      <c r="H189" t="str">
        <v>an ability to communicate effectively</v>
      </c>
      <c r="I189" s="10" t="str">
        <v>a recognition of the need for, and an ability to engage in life-long learning</v>
      </c>
      <c r="J189" s="10" t="str">
        <v>a knowledge of contemporary issues</v>
      </c>
      <c r="K189" s="10">
        <v>0</v>
      </c>
      <c r="L189" s="11">
        <v>0</v>
      </c>
      <c r="M189" s="11">
        <v>0</v>
      </c>
      <c r="N189" s="11">
        <v>0</v>
      </c>
      <c r="O189" s="10">
        <v>0</v>
      </c>
      <c r="P189" s="11">
        <v>0</v>
      </c>
      <c r="Q189" s="11">
        <v>0</v>
      </c>
      <c r="R189" s="12" t="b">
        <f t="shared" si="0"/>
        <v>1</v>
      </c>
      <c r="S189" s="12"/>
      <c r="T189" s="12" t="e">
        <f t="array" aca="1" ref="T189" ca="1">_xludf.IFNA(LOOKUP(2,1/(C189:Q189&lt;&gt;""),COLUMN(C189:Q189))-2,0)</f>
        <v>#NAME?</v>
      </c>
      <c r="U189" s="12">
        <f t="shared" si="1"/>
        <v>15</v>
      </c>
      <c r="V189" s="12" t="e">
        <f t="shared" ca="1" si="2"/>
        <v>#NAME?</v>
      </c>
    </row>
    <row r="190" spans="1:22" ht="12.75">
      <c r="A190" s="9" t="str">
        <v>NANENG</v>
      </c>
      <c r="B190" s="9" t="str">
        <v>ENGR 347N</v>
      </c>
      <c r="C190" s="10">
        <v>2020</v>
      </c>
      <c r="D190" s="10" t="str">
        <v>SPRING</v>
      </c>
      <c r="E190" s="10">
        <v>0</v>
      </c>
      <c r="F190" s="10">
        <v>0</v>
      </c>
      <c r="G190" s="10">
        <v>0</v>
      </c>
      <c r="H190" s="10">
        <v>0</v>
      </c>
      <c r="I190" s="10">
        <v>0</v>
      </c>
      <c r="J190" s="10">
        <v>0</v>
      </c>
      <c r="K190" s="10">
        <v>0</v>
      </c>
      <c r="L190" s="11">
        <v>0</v>
      </c>
      <c r="M190" s="11">
        <v>0</v>
      </c>
      <c r="N190" s="11">
        <v>0</v>
      </c>
      <c r="O190" s="10">
        <v>0</v>
      </c>
      <c r="P190" s="11">
        <v>0</v>
      </c>
      <c r="Q190" s="11">
        <v>0</v>
      </c>
      <c r="R190" s="12" t="b">
        <f t="shared" ca="1" si="0"/>
        <v>0</v>
      </c>
      <c r="S190" s="12"/>
      <c r="T190" s="12" t="e">
        <f t="array" aca="1" ref="T190" ca="1">_xludf.IFNA(LOOKUP(2,1/(C190:Q190&lt;&gt;""),COLUMN(C190:Q190))-2,0)</f>
        <v>#NAME?</v>
      </c>
      <c r="U190" s="12">
        <f t="shared" si="1"/>
        <v>15</v>
      </c>
      <c r="V190" s="12" t="e">
        <f t="shared" ca="1" si="2"/>
        <v>#NAME?</v>
      </c>
    </row>
    <row r="191" spans="1:22" ht="12.75">
      <c r="A191" s="9" t="str">
        <v>NANENG</v>
      </c>
      <c r="B191" s="9" t="str">
        <v>NANENG 203</v>
      </c>
      <c r="C191" s="10">
        <v>2020</v>
      </c>
      <c r="D191" s="10" t="str">
        <v>SPRING</v>
      </c>
      <c r="E191" s="10">
        <v>0</v>
      </c>
      <c r="F191" s="10">
        <v>0</v>
      </c>
      <c r="G191" s="10">
        <v>0</v>
      </c>
      <c r="H191" s="10">
        <v>0</v>
      </c>
      <c r="I191" s="10">
        <v>0</v>
      </c>
      <c r="J191" s="10">
        <v>0</v>
      </c>
      <c r="K191" s="10">
        <v>0</v>
      </c>
      <c r="L191" s="11">
        <v>0</v>
      </c>
      <c r="M191" s="11">
        <v>0</v>
      </c>
      <c r="N191" s="11">
        <v>0</v>
      </c>
      <c r="O191" s="10">
        <v>0</v>
      </c>
      <c r="P191" s="11">
        <v>0</v>
      </c>
      <c r="Q191" s="11">
        <v>0</v>
      </c>
      <c r="R191" s="12" t="b">
        <f t="shared" ca="1" si="0"/>
        <v>0</v>
      </c>
      <c r="S191" s="12"/>
      <c r="T191" s="12" t="e">
        <f t="array" aca="1" ref="T191" ca="1">_xludf.IFNA(LOOKUP(2,1/(C191:Q191&lt;&gt;""),COLUMN(C191:Q191))-2,0)</f>
        <v>#NAME?</v>
      </c>
      <c r="U191" s="12">
        <f t="shared" si="1"/>
        <v>15</v>
      </c>
      <c r="V191" s="12" t="e">
        <f t="shared" ca="1" si="2"/>
        <v>#NAME?</v>
      </c>
    </row>
    <row r="192" spans="1:22" ht="15">
      <c r="A192" s="9" t="str">
        <v>NANENG</v>
      </c>
      <c r="B192" s="9" t="str">
        <v>NANENG 204</v>
      </c>
      <c r="C192" s="55">
        <v>2020</v>
      </c>
      <c r="D192" s="55" t="str">
        <v>SPRING</v>
      </c>
      <c r="E192" s="55" t="str">
        <v>Able to perform the conversion among different number systems; Familiar with baisc logic gates -- AND, OR &amp; NOT, XOR, XNOR; Independently or work in team to build simple logic circuits using basic. (LEC, Lab)</v>
      </c>
      <c r="F192" s="55" t="str">
        <v>Understand Boolean algebra and basic properties of Boolean algebra; able to simplify simple Boolean functions by using the basic Boolean properties. (LEC, Lab)</v>
      </c>
      <c r="G192" s="55" t="str">
        <v>Able to design simple combinational logics using basic gates. Able to optimize simple logic using Karnaugh maps, understand "don't care". (LEC, Lab)</v>
      </c>
      <c r="H192" s="55" t="str">
        <v>Familiar with basic sequential logic components: SR Latch, D Flip-Flop and their usage and able to analyze sequential logic circuits. (LEC, Lab)</v>
      </c>
      <c r="I192" s="55" t="str">
        <v>Understand finite state machines (FSM) concepte and work in team to do sequence circuit design based FSM and state table using D-FFs. (LEC, Lab)</v>
      </c>
      <c r="J192" s="55" t="str">
        <v>Familiar with basic combinational and sequential components used in the typical datapath designs: Register, Adders, Shifters, Comparators; Counters, Multiplier, Arithmetic-Logic Units (ALUs), RAM. Able to do simple register-transfer level (RTL) design. (LEC, Lab)</v>
      </c>
      <c r="K192" s="10" t="str">
        <v>Able to understand and use Veriliog to design combinational or sequential circuits. (lab, project)</v>
      </c>
      <c r="L192" s="11" t="str">
        <v>Understand that the design process for today's billion-transistor digital systems becomes a more programming based process than before and programming skills are important. (Lec, Project)</v>
      </c>
      <c r="M192" s="11">
        <v>0</v>
      </c>
      <c r="N192" s="11">
        <v>0</v>
      </c>
      <c r="O192" s="10">
        <v>0</v>
      </c>
      <c r="P192" s="11">
        <v>0</v>
      </c>
      <c r="Q192" s="11">
        <v>0</v>
      </c>
      <c r="R192" s="12" t="b">
        <f t="shared" si="0"/>
        <v>1</v>
      </c>
      <c r="S192" s="12"/>
      <c r="T192" s="12" t="e">
        <f t="array" aca="1" ref="T192" ca="1">_xludf.IFNA(LOOKUP(2,1/(C192:Q192&lt;&gt;""),COLUMN(C192:Q192))-2,0)</f>
        <v>#NAME?</v>
      </c>
      <c r="U192" s="12">
        <f t="shared" si="1"/>
        <v>15</v>
      </c>
      <c r="V192" s="12" t="e">
        <f t="shared" ca="1" si="2"/>
        <v>#NAME?</v>
      </c>
    </row>
    <row r="193" spans="1:22" ht="12.75">
      <c r="A193" s="9" t="str">
        <v>NANENG</v>
      </c>
      <c r="B193" s="9" t="str">
        <v>NANENG 301</v>
      </c>
      <c r="C193" s="10">
        <v>2020</v>
      </c>
      <c r="D193" s="10" t="str">
        <v>SPRING</v>
      </c>
      <c r="E193" s="10">
        <v>0</v>
      </c>
      <c r="F193" s="10">
        <v>0</v>
      </c>
      <c r="G193" s="10">
        <v>0</v>
      </c>
      <c r="H193" s="10">
        <v>0</v>
      </c>
      <c r="I193" s="10">
        <v>0</v>
      </c>
      <c r="J193" s="10">
        <v>0</v>
      </c>
      <c r="K193" s="10">
        <v>0</v>
      </c>
      <c r="L193" s="11">
        <v>0</v>
      </c>
      <c r="M193" s="11">
        <v>0</v>
      </c>
      <c r="N193" s="11">
        <v>0</v>
      </c>
      <c r="O193" s="10">
        <v>0</v>
      </c>
      <c r="P193" s="11">
        <v>0</v>
      </c>
      <c r="Q193" s="11">
        <v>0</v>
      </c>
      <c r="R193" s="12" t="b">
        <f t="shared" ca="1" si="0"/>
        <v>0</v>
      </c>
      <c r="S193" s="12"/>
      <c r="T193" s="12" t="e">
        <f t="array" aca="1" ref="T193" ca="1">_xludf.IFNA(LOOKUP(2,1/(C193:Q193&lt;&gt;""),COLUMN(C193:Q193))-2,0)</f>
        <v>#NAME?</v>
      </c>
      <c r="U193" s="12">
        <f t="shared" si="1"/>
        <v>15</v>
      </c>
      <c r="V193" s="12" t="e">
        <f t="shared" ca="1" si="2"/>
        <v>#NAME?</v>
      </c>
    </row>
    <row r="194" spans="1:22" ht="12.75">
      <c r="A194" s="9" t="str">
        <v>NANENG</v>
      </c>
      <c r="B194" s="9" t="str">
        <v>NANENG 302L</v>
      </c>
      <c r="C194" s="10">
        <v>2020</v>
      </c>
      <c r="D194" s="10" t="str">
        <v>SPRING</v>
      </c>
      <c r="E194" s="10">
        <v>0</v>
      </c>
      <c r="F194" s="10">
        <v>0</v>
      </c>
      <c r="G194" s="10">
        <v>0</v>
      </c>
      <c r="H194" s="10">
        <v>0</v>
      </c>
      <c r="I194" s="10">
        <v>0</v>
      </c>
      <c r="J194" s="10">
        <v>0</v>
      </c>
      <c r="K194" s="10">
        <v>0</v>
      </c>
      <c r="L194" s="11">
        <v>0</v>
      </c>
      <c r="M194" s="11">
        <v>0</v>
      </c>
      <c r="N194" s="11">
        <v>0</v>
      </c>
      <c r="O194" s="10">
        <v>0</v>
      </c>
      <c r="P194" s="11">
        <v>0</v>
      </c>
      <c r="Q194" s="11">
        <v>0</v>
      </c>
      <c r="R194" s="12" t="b">
        <f t="shared" ca="1" si="0"/>
        <v>0</v>
      </c>
      <c r="S194" s="12"/>
      <c r="T194" s="12" t="e">
        <f t="array" aca="1" ref="T194" ca="1">_xludf.IFNA(LOOKUP(2,1/(C194:Q194&lt;&gt;""),COLUMN(C194:Q194))-2,0)</f>
        <v>#NAME?</v>
      </c>
      <c r="U194" s="12">
        <f t="shared" si="1"/>
        <v>15</v>
      </c>
      <c r="V194" s="12" t="e">
        <f t="shared" ca="1" si="2"/>
        <v>#NAME?</v>
      </c>
    </row>
    <row r="195" spans="1:22" ht="15">
      <c r="A195" s="9" t="str">
        <v>NANENG</v>
      </c>
      <c r="B195" s="9" t="str">
        <v>NANENG 305</v>
      </c>
      <c r="C195">
        <v>2020</v>
      </c>
      <c r="D195" s="17" t="str">
        <v>SPRING</v>
      </c>
      <c r="E195" s="17" t="str">
        <v>Describe the different solid-state crystal structures and space lattices, find different crystal planes and miller indices, calculate the density of atoms and density of mass per unit volume or unit area in crystal structure.</v>
      </c>
      <c r="F195" s="55" t="str">
        <v>State the basics of quantum mechanics concepts and define the Schrodinger’s wave Equation. Apply Schrodinger’s wave equation for electron in free space, infinite potential well, potential step function, and potential barrier and tunneling.</v>
      </c>
      <c r="G195" s="17" t="str">
        <v>Define the concepts of band theory and forbidden energy bands, derive the Kronig–Penney model, explain the electrical conduction in semiconductor and calculate the effective mass of electrons and holes from E-K diagrams. Describe and state the Fermi–Dirac Probability Function</v>
      </c>
      <c r="H195" s="17" t="str">
        <v>Calculate carrier concentrations for intrinsic and doped semiconductor and positions of Fermi level in intrinsic and extrinsic semiconductors</v>
      </c>
      <c r="I195" s="10" t="str">
        <v>Define the Drift-Diffusion carrier transport concepts and calculate Mobility, Conductivity, Velocity Saturation, and drift/diffusion current density in semiconductors (under different temperatures and doping).</v>
      </c>
      <c r="J195" s="10" t="str">
        <v>Describe generation-recombination of excess carriers, continuity equation, and time-dependent diffusion equations. Derive and apply ambipolar transport equation. Calculate minority lifetime in ideal (trap –free) and non-ideal semiconductors</v>
      </c>
      <c r="K195" s="10">
        <v>0</v>
      </c>
      <c r="L195" s="11">
        <v>0</v>
      </c>
      <c r="M195" s="11">
        <v>0</v>
      </c>
      <c r="N195" s="11">
        <v>0</v>
      </c>
      <c r="O195" s="10">
        <v>0</v>
      </c>
      <c r="P195" s="11">
        <v>0</v>
      </c>
      <c r="Q195" s="11">
        <v>0</v>
      </c>
      <c r="R195" s="12" t="b">
        <f t="shared" si="0"/>
        <v>1</v>
      </c>
      <c r="S195" s="12"/>
      <c r="T195" s="12" t="e">
        <f t="array" aca="1" ref="T195" ca="1">_xludf.IFNA(LOOKUP(2,1/(C195:Q195&lt;&gt;""),COLUMN(C195:Q195))-2,0)</f>
        <v>#NAME?</v>
      </c>
      <c r="U195" s="12">
        <f t="shared" si="1"/>
        <v>15</v>
      </c>
      <c r="V195" s="12" t="e">
        <f t="shared" ca="1" si="2"/>
        <v>#NAME?</v>
      </c>
    </row>
    <row r="196" spans="1:22" ht="12.75">
      <c r="A196" s="9" t="str">
        <v>NANENG</v>
      </c>
      <c r="B196" s="9" t="str">
        <v>NANENG 307</v>
      </c>
      <c r="C196" s="10">
        <v>2020</v>
      </c>
      <c r="D196" s="10" t="str">
        <v>SPRING</v>
      </c>
      <c r="E196" s="10" t="str">
        <v>To account for the Electrical conduction in different types of solids in term of Classical Drude Theory</v>
      </c>
      <c r="F196" s="10" t="str">
        <v>To describe the temperature dependence of resistivity for different materials</v>
      </c>
      <c r="G196" s="10" t="str">
        <v>To describe the electrical conductivity of non-metals and thin film solids.</v>
      </c>
      <c r="H196" s="10" t="str">
        <v>To explain the electrical and impedance spectroscopic properties of the material</v>
      </c>
      <c r="I196" s="10" t="str">
        <v>I understand the Hydrogen Atom Model and the Multi Electron System based on Quantum Mechanics.</v>
      </c>
      <c r="J196" s="10" t="str">
        <v>Describe the phonon mechanisms.</v>
      </c>
      <c r="K196" s="10" t="str">
        <v>To explain the concepts of Dielectric and dipole moments, polarization mechanisms</v>
      </c>
      <c r="L196" s="11" t="str">
        <v>To understand how to design an Efficient Capacitors and Super capacitors</v>
      </c>
      <c r="M196" s="11" t="str">
        <v>To distinguish between Piezoelectric ferroelectric, and pyroelectric materials</v>
      </c>
      <c r="N196" s="11" t="str">
        <v>To be able to distinguish between different Magnetic Material such as Diamagnetic, Paramagnetic, Ferromagnetic and antiferromagnetic</v>
      </c>
      <c r="O196" s="10" t="str">
        <v>To understand the principal of Superconductivity</v>
      </c>
      <c r="P196" s="11">
        <v>0</v>
      </c>
      <c r="Q196" s="11">
        <v>0</v>
      </c>
      <c r="R196" s="12" t="b">
        <f t="shared" ca="1" si="0"/>
        <v>0</v>
      </c>
      <c r="S196" s="12"/>
      <c r="T196" s="12" t="e">
        <f t="array" aca="1" ref="T196" ca="1">_xludf.IFNA(LOOKUP(2,1/(C196:Q196&lt;&gt;""),COLUMN(C196:Q196))-2,0)</f>
        <v>#NAME?</v>
      </c>
      <c r="U196" s="12">
        <f t="shared" si="1"/>
        <v>15</v>
      </c>
      <c r="V196" s="12" t="e">
        <f t="shared" ca="1" si="2"/>
        <v>#NAME?</v>
      </c>
    </row>
    <row r="197" spans="1:22" ht="12.75">
      <c r="A197" s="9" t="str">
        <v>NANENG</v>
      </c>
      <c r="B197" s="9" t="str">
        <v>NANENG 308</v>
      </c>
      <c r="C197" s="10">
        <v>2020</v>
      </c>
      <c r="D197" s="10" t="str">
        <v>SPRING</v>
      </c>
      <c r="E197" s="10">
        <v>0</v>
      </c>
      <c r="F197" s="10">
        <v>0</v>
      </c>
      <c r="G197" s="10">
        <v>0</v>
      </c>
      <c r="H197" s="10">
        <v>0</v>
      </c>
      <c r="I197" s="10">
        <v>0</v>
      </c>
      <c r="J197" s="10">
        <v>0</v>
      </c>
      <c r="K197" s="10">
        <v>0</v>
      </c>
      <c r="L197" s="11">
        <v>0</v>
      </c>
      <c r="M197" s="11">
        <v>0</v>
      </c>
      <c r="N197" s="11">
        <v>0</v>
      </c>
      <c r="O197" s="10">
        <v>0</v>
      </c>
      <c r="P197" s="11">
        <v>0</v>
      </c>
      <c r="Q197" s="11">
        <v>0</v>
      </c>
      <c r="R197" s="12" t="b">
        <f t="shared" ca="1" si="0"/>
        <v>0</v>
      </c>
      <c r="S197" s="12"/>
      <c r="T197" s="12" t="e">
        <f t="array" aca="1" ref="T197" ca="1">_xludf.IFNA(LOOKUP(2,1/(C197:Q197&lt;&gt;""),COLUMN(C197:Q197))-2,0)</f>
        <v>#NAME?</v>
      </c>
      <c r="U197" s="12">
        <f t="shared" si="1"/>
        <v>15</v>
      </c>
      <c r="V197" s="12" t="e">
        <f t="shared" ca="1" si="2"/>
        <v>#NAME?</v>
      </c>
    </row>
    <row r="198" spans="1:22" ht="15">
      <c r="A198" s="9" t="str">
        <v>NANENG</v>
      </c>
      <c r="B198" s="9" t="str">
        <v>NANENG 312</v>
      </c>
      <c r="C198" s="55">
        <v>2020</v>
      </c>
      <c r="D198" s="55" t="str">
        <v>SPRING</v>
      </c>
      <c r="E198" s="55" t="str">
        <v>Have the ability to Program rapidly using structured programming C++ concepts</v>
      </c>
      <c r="F198" s="55" t="str">
        <v>Display theoretical knowledge of both structured programming and Object Oriented C++ concepts</v>
      </c>
      <c r="G198" s="10" t="str">
        <v>Can discuss standard coding conventions --- indentation, naming conventions, etc.</v>
      </c>
      <c r="H198" s="55" t="str">
        <v>Can make balanced programming and policy decisions</v>
      </c>
      <c r="I198" s="55" t="str">
        <v>Possess practical programming in C++</v>
      </c>
      <c r="J198" s="55" t="str">
        <v>Can design basic algorithms for solving real problems</v>
      </c>
      <c r="K198" s="10" t="str">
        <v>intelligently present technical solutions in both written and verbal formats</v>
      </c>
      <c r="L198" s="11" t="str">
        <v>The ability to design projects in an object-oriented language in a teamwork environment</v>
      </c>
      <c r="M198" s="11">
        <v>0</v>
      </c>
      <c r="N198" s="11">
        <v>0</v>
      </c>
      <c r="O198" s="10">
        <v>0</v>
      </c>
      <c r="P198" s="11">
        <v>0</v>
      </c>
      <c r="Q198" s="11">
        <v>0</v>
      </c>
      <c r="R198" s="12" t="b">
        <f t="shared" si="0"/>
        <v>1</v>
      </c>
      <c r="S198" s="12"/>
      <c r="T198" s="12" t="e">
        <f t="array" aca="1" ref="T198" ca="1">_xludf.IFNA(LOOKUP(2,1/(C198:Q198&lt;&gt;""),COLUMN(C198:Q198))-2,0)</f>
        <v>#NAME?</v>
      </c>
      <c r="U198" s="12">
        <f t="shared" si="1"/>
        <v>15</v>
      </c>
      <c r="V198" s="12" t="e">
        <f t="shared" ca="1" si="2"/>
        <v>#NAME?</v>
      </c>
    </row>
    <row r="199" spans="1:22" ht="12.75">
      <c r="A199" s="9" t="str">
        <v>NANENG</v>
      </c>
      <c r="B199" s="9" t="str">
        <v>NANENG 322</v>
      </c>
      <c r="C199" s="10">
        <v>2020</v>
      </c>
      <c r="D199" s="10" t="str">
        <v>SPRING</v>
      </c>
      <c r="E199" s="10" t="str">
        <v>acquire basic knowledge of electronic circuits including semiconductor devices</v>
      </c>
      <c r="F199" s="10" t="str">
        <v>become familiar with different electronic circuit techniques and design of electronic circuits with nonlinear elements such as transistors</v>
      </c>
      <c r="G199" s="10" t="str">
        <v>learn the basic techniques to solve electronic circuit problems</v>
      </c>
      <c r="H199" s="10" t="str">
        <v>improve the students’ solving skills by practicing different electronic circuit problems</v>
      </c>
      <c r="I199" s="10" t="str">
        <v>be able to handle the solution of multi-stage amplifiers by inspection</v>
      </c>
      <c r="J199" s="10" t="str">
        <v>understand the frequency selective filters, types, transfer function, and parameters.</v>
      </c>
      <c r="K199" s="10" t="str">
        <v>develop formulas for the high frequency parameters of transistor-based amplifiers.</v>
      </c>
      <c r="L199" s="11" t="str">
        <v>analyze and design basic electronic circuits, particularly with application to diodes, MOS field-effect transistors, bipolar junction transistors</v>
      </c>
      <c r="M199" s="11" t="str">
        <v>become proficient with computer skills (e.g., CADENCE) for the analysis and design of circuits</v>
      </c>
      <c r="N199" s="11" t="str">
        <v>develop technical writing skills important for effective communication</v>
      </c>
      <c r="O199" s="10" t="str">
        <v>acquire teamwork skills for working effectively in groups</v>
      </c>
      <c r="P199" s="11">
        <v>0</v>
      </c>
      <c r="Q199" s="11">
        <v>0</v>
      </c>
      <c r="R199" s="12" t="b">
        <f t="shared" si="0"/>
        <v>1</v>
      </c>
      <c r="S199" s="12"/>
      <c r="T199" s="12" t="e">
        <f t="array" aca="1" ref="T199" ca="1">_xludf.IFNA(LOOKUP(2,1/(C199:Q199&lt;&gt;""),COLUMN(C199:Q199))-2,0)</f>
        <v>#NAME?</v>
      </c>
      <c r="U199" s="12">
        <f t="shared" si="1"/>
        <v>15</v>
      </c>
      <c r="V199" s="12" t="e">
        <f t="shared" ca="1" si="2"/>
        <v>#NAME?</v>
      </c>
    </row>
    <row r="200" spans="1:22" ht="12.75">
      <c r="A200" s="9" t="str">
        <v>NANENG</v>
      </c>
      <c r="B200" s="9" t="str">
        <v>NANENG 331</v>
      </c>
      <c r="C200" s="10">
        <v>2020</v>
      </c>
      <c r="D200" s="10" t="str">
        <v>SPRING</v>
      </c>
      <c r="E200" s="10" t="str">
        <v>Recall the basics of vector analysis.</v>
      </c>
      <c r="F200" s="10" t="str">
        <v>Identify the basic concepts of electric and magnetic fields.</v>
      </c>
      <c r="G200" s="10" t="str">
        <v>Calculate electric and magnetic fields from stationary and dynamic charge and current distributions</v>
      </c>
      <c r="H200" s="10" t="str">
        <v>Apply theoretical models to solve simple electrostatic boundary problems.</v>
      </c>
      <c r="I200" s="10" t="str">
        <v>Solve electromagnetic problems analytically and numerically</v>
      </c>
      <c r="J200" s="10" t="str">
        <v>Understand the time varying electric and magnetic fields.</v>
      </c>
      <c r="K200" s="10" t="str">
        <v>Define the relationship between electric and magnetic fields through Maxwell equations</v>
      </c>
      <c r="L200" s="11" t="str">
        <v>Relate the previous background to the modern electromagnetics’ applications.</v>
      </c>
      <c r="M200" s="11">
        <v>0</v>
      </c>
      <c r="N200" s="11">
        <v>0</v>
      </c>
      <c r="O200" s="10">
        <v>0</v>
      </c>
      <c r="P200" s="11">
        <v>0</v>
      </c>
      <c r="Q200" s="11">
        <v>0</v>
      </c>
      <c r="R200" s="12" t="b">
        <f t="shared" si="0"/>
        <v>1</v>
      </c>
      <c r="S200" s="12"/>
      <c r="T200" s="12" t="e">
        <f t="array" aca="1" ref="T200" ca="1">_xludf.IFNA(LOOKUP(2,1/(C200:Q200&lt;&gt;""),COLUMN(C200:Q200))-2,0)</f>
        <v>#NAME?</v>
      </c>
      <c r="U200" s="12">
        <f t="shared" si="1"/>
        <v>15</v>
      </c>
      <c r="V200" s="12" t="e">
        <f t="shared" ca="1" si="2"/>
        <v>#NAME?</v>
      </c>
    </row>
    <row r="201" spans="1:22" ht="12.75">
      <c r="A201" s="9" t="str">
        <v>NANENG</v>
      </c>
      <c r="B201" s="9" t="str">
        <v>NANENG 335</v>
      </c>
      <c r="C201" s="10">
        <v>2020</v>
      </c>
      <c r="D201" s="10" t="str">
        <v>SPRING</v>
      </c>
      <c r="E201" s="10" t="str">
        <v>Recall the basic electromagnetic interaction with matter</v>
      </c>
      <c r="F201" s="10" t="str">
        <v>Apply theoretical models to calculate the transmission and reflection coefficients at different interfaces between media.</v>
      </c>
      <c r="G201" s="10" t="str">
        <v>Distinguish the basic construction and working mechanisms of important optical waveguides</v>
      </c>
      <c r="H201" s="10" t="str">
        <v>Identify different types of dispersion in optical waveguides</v>
      </c>
      <c r="I201" s="10" t="str">
        <v>Distinguish between the different types of polarization and its based applications</v>
      </c>
      <c r="J201" s="10" t="str">
        <v>Apply different techniques for light polarization control</v>
      </c>
      <c r="K201" s="10" t="str">
        <v>Relate the previous background to the modern photonics’ applications</v>
      </c>
      <c r="L201" s="11" t="str">
        <v>Understand a related scientific topic, in which they combine their basic understanding and the feasibility for photonics related resear</v>
      </c>
      <c r="M201" s="11">
        <v>0</v>
      </c>
      <c r="N201" s="11">
        <v>0</v>
      </c>
      <c r="O201" s="10">
        <v>0</v>
      </c>
      <c r="P201" s="11">
        <v>0</v>
      </c>
      <c r="Q201" s="11">
        <v>0</v>
      </c>
      <c r="R201" s="12" t="b">
        <f t="shared" ca="1" si="0"/>
        <v>0</v>
      </c>
      <c r="S201" s="12"/>
      <c r="T201" s="12" t="e">
        <f t="array" aca="1" ref="T201" ca="1">_xludf.IFNA(LOOKUP(2,1/(C201:Q201&lt;&gt;""),COLUMN(C201:Q201))-2,0)</f>
        <v>#NAME?</v>
      </c>
      <c r="U201" s="12">
        <f t="shared" si="1"/>
        <v>15</v>
      </c>
      <c r="V201" s="12" t="e">
        <f t="shared" ca="1" si="2"/>
        <v>#NAME?</v>
      </c>
    </row>
    <row r="202" spans="1:22" ht="12.75">
      <c r="A202" s="9" t="str">
        <v>NANENG</v>
      </c>
      <c r="B202" s="9" t="str">
        <v>NANENG 401</v>
      </c>
      <c r="C202" s="10">
        <v>2020</v>
      </c>
      <c r="D202" s="10" t="str">
        <v>SPRING</v>
      </c>
      <c r="E202" s="10" t="str">
        <v>Be familiar with the silicon-based MEMS processes and devices</v>
      </c>
      <c r="F202" s="10" t="str">
        <v>Ability to design electrostatic actuators and sensors</v>
      </c>
      <c r="G202" s="10" t="str">
        <v>Ability to design thermal actuators and sensors</v>
      </c>
      <c r="H202" s="10" t="str">
        <v>Ability to design piezoresistive sensors</v>
      </c>
      <c r="I202" s="10" t="str">
        <v>Ability to design piezoelectric actuators and sensors</v>
      </c>
      <c r="J202" s="10" t="str">
        <v>Ability to design micro-magnetic actuators</v>
      </c>
      <c r="K202" s="10" t="str">
        <v>Ability to use FEM packages for designing MEMS</v>
      </c>
      <c r="L202" s="11" t="str">
        <v>Ability to work in teamwork to solve real life problems relatted to MEMS</v>
      </c>
      <c r="M202" s="11">
        <v>0</v>
      </c>
      <c r="N202" s="11">
        <v>0</v>
      </c>
      <c r="O202" s="10">
        <v>0</v>
      </c>
      <c r="P202" s="11">
        <v>0</v>
      </c>
      <c r="Q202" s="11">
        <v>0</v>
      </c>
      <c r="R202" s="12" t="b">
        <f t="shared" si="0"/>
        <v>1</v>
      </c>
      <c r="S202" s="12"/>
      <c r="T202" s="12" t="e">
        <f t="array" aca="1" ref="T202" ca="1">_xludf.IFNA(LOOKUP(2,1/(C202:Q202&lt;&gt;""),COLUMN(C202:Q202))-2,0)</f>
        <v>#NAME?</v>
      </c>
      <c r="U202" s="12">
        <f t="shared" si="1"/>
        <v>15</v>
      </c>
      <c r="V202" s="12" t="e">
        <f t="shared" ca="1" si="2"/>
        <v>#NAME?</v>
      </c>
    </row>
    <row r="203" spans="1:22" ht="12.75">
      <c r="A203" s="9" t="str">
        <v>NANENG</v>
      </c>
      <c r="B203" s="9" t="str">
        <v>NANENG 401L</v>
      </c>
      <c r="C203" s="17">
        <v>2020</v>
      </c>
      <c r="D203" s="17" t="str">
        <v>SPRING</v>
      </c>
      <c r="E203" s="17" t="str">
        <v>Be familiar of the silicon-based MEMS processes and devices</v>
      </c>
      <c r="F203" s="10" t="str">
        <v>Be familiar with the entire developing cycle of MEMS devices</v>
      </c>
      <c r="G203" s="10" t="str">
        <v>Ability to design mask layouts for MEMS devices</v>
      </c>
      <c r="H203" s="10" t="str">
        <v>Ability to characterize MEMS devices</v>
      </c>
      <c r="I203" s="10" t="str">
        <v>Ability to work in teamwork to solve real life problems</v>
      </c>
      <c r="J203" s="10">
        <v>0</v>
      </c>
      <c r="K203" s="10">
        <v>0</v>
      </c>
      <c r="L203" s="11">
        <v>0</v>
      </c>
      <c r="M203" s="11">
        <v>0</v>
      </c>
      <c r="N203" s="11">
        <v>0</v>
      </c>
      <c r="O203" s="10">
        <v>0</v>
      </c>
      <c r="P203" s="11">
        <v>0</v>
      </c>
      <c r="Q203" s="11">
        <v>0</v>
      </c>
      <c r="R203" s="12" t="b">
        <f t="shared" ca="1" si="0"/>
        <v>0</v>
      </c>
      <c r="S203" s="12"/>
      <c r="T203" s="12" t="e">
        <f t="array" aca="1" ref="T203" ca="1">_xludf.IFNA(LOOKUP(2,1/(C203:Q203&lt;&gt;""),COLUMN(C203:Q203))-2,0)</f>
        <v>#NAME?</v>
      </c>
      <c r="U203" s="12">
        <f t="shared" si="1"/>
        <v>15</v>
      </c>
      <c r="V203" s="12" t="e">
        <f t="shared" ca="1" si="2"/>
        <v>#NAME?</v>
      </c>
    </row>
    <row r="204" spans="1:22" ht="12.75">
      <c r="A204" s="9" t="str">
        <v>NANENG</v>
      </c>
      <c r="B204" s="9" t="str">
        <v>NANENG 404</v>
      </c>
      <c r="C204" s="10">
        <v>2020</v>
      </c>
      <c r="D204" s="10" t="str">
        <v>SPRING</v>
      </c>
      <c r="E204" s="10" t="str">
        <v>Provide a thorough introduction to the principles and practice of studies techniques.</v>
      </c>
      <c r="F204" s="10" t="str">
        <v>Provide practical experience in laboratory methods and reporting.</v>
      </c>
      <c r="G204" s="10" t="str">
        <v>Provide basic descriptions of a range of common characterization methods for the determination of the structure and composition of solids.</v>
      </c>
      <c r="H204" s="10" t="str">
        <v>Discuss the relative advantages and disadvantages for the techniques covered in class</v>
      </c>
      <c r="I204" s="10" t="str">
        <v>Be able to identify and justify the selection of at least one techniques to evaluate a particular sample</v>
      </c>
      <c r="J204" s="10" t="str">
        <v>Be given an unknown sample (or have one from own research) and collect a targeted dataset on it using an instrument available on campus</v>
      </c>
      <c r="K204" s="10">
        <v>0</v>
      </c>
      <c r="L204" s="11">
        <v>0</v>
      </c>
      <c r="M204" s="11">
        <v>0</v>
      </c>
      <c r="N204" s="11">
        <v>0</v>
      </c>
      <c r="O204" s="10">
        <v>0</v>
      </c>
      <c r="P204" s="11">
        <v>0</v>
      </c>
      <c r="Q204" s="11">
        <v>0</v>
      </c>
      <c r="R204" s="12" t="b">
        <f t="shared" si="0"/>
        <v>1</v>
      </c>
      <c r="S204" s="12"/>
      <c r="T204" s="12" t="e">
        <f t="array" aca="1" ref="T204" ca="1">_xludf.IFNA(LOOKUP(2,1/(C204:Q204&lt;&gt;""),COLUMN(C204:Q204))-2,0)</f>
        <v>#NAME?</v>
      </c>
      <c r="U204" s="12">
        <f t="shared" si="1"/>
        <v>15</v>
      </c>
      <c r="V204" s="12" t="e">
        <f t="shared" ca="1" si="2"/>
        <v>#NAME?</v>
      </c>
    </row>
    <row r="205" spans="1:22" ht="12.75">
      <c r="A205" s="9" t="str">
        <v>NANENG</v>
      </c>
      <c r="B205" s="9" t="str">
        <v>NANENG 410</v>
      </c>
      <c r="C205" s="17">
        <v>2020</v>
      </c>
      <c r="D205" s="17" t="str">
        <v>SPRING</v>
      </c>
      <c r="E205" s="17" t="str">
        <v> To explain design challenges,  hardware software co-design issues and different hardware platforms available in embedded systems</v>
      </c>
      <c r="F205" s="17" t="str">
        <v>To analyze communication protocols  and demonstrate use of peripheral devices like interrupts, timers, sensors, actuators and converters</v>
      </c>
      <c r="G205" s="17" t="str">
        <v>To examine role of software components like libraries, device drivers and real time operating systems (RTOS) in embedded system design</v>
      </c>
      <c r="H205" s="17" t="str">
        <v>To develop schedules for concurrent process execution using preemptive and non-preemptive scheduling algorithms </v>
      </c>
      <c r="I205" s="17" t="str">
        <v>To describe microcontroller architecture and I/O operations</v>
      </c>
      <c r="J205" s="17" t="str">
        <v>To describe hardware timing and conduct real time programming.</v>
      </c>
      <c r="K205" s="17" t="str">
        <v>To describe and implement operating systems development cycle.</v>
      </c>
      <c r="L205" s="17" t="str">
        <v>To design and implement embedded systems.</v>
      </c>
      <c r="M205" s="17" t="str">
        <v>To implement project development cycle: analysis, specification definition, implementation, testing, and requirements verification.</v>
      </c>
      <c r="N205" s="11" t="str">
        <v>To function in a team and communicate with others.</v>
      </c>
      <c r="O205" s="10" t="str">
        <v>To search through internet to collect data.</v>
      </c>
      <c r="P205" s="11">
        <v>0</v>
      </c>
      <c r="Q205" s="11">
        <v>0</v>
      </c>
      <c r="R205" s="12" t="b">
        <f t="shared" ca="1" si="0"/>
        <v>0</v>
      </c>
      <c r="S205" s="12"/>
      <c r="T205" s="12" t="e">
        <f t="array" aca="1" ref="T205" ca="1">_xludf.IFNA(LOOKUP(2,1/(C205:Q205&lt;&gt;""),COLUMN(C205:Q205))-2,0)</f>
        <v>#NAME?</v>
      </c>
      <c r="U205" s="12">
        <f t="shared" si="1"/>
        <v>15</v>
      </c>
      <c r="V205" s="12" t="e">
        <f t="shared" ca="1" si="2"/>
        <v>#NAME?</v>
      </c>
    </row>
    <row r="206" spans="1:22" ht="12.75">
      <c r="A206" s="9" t="str">
        <v>NANENG</v>
      </c>
      <c r="B206" s="9" t="str">
        <v>NANENG 421</v>
      </c>
      <c r="C206" s="10">
        <v>2020</v>
      </c>
      <c r="D206" s="10" t="str">
        <v>SPRING</v>
      </c>
      <c r="E206" s="10" t="str">
        <v>Understand MOSFET modes of operations</v>
      </c>
      <c r="F206" s="10" t="str">
        <v>Analyze and design current mirror circuits</v>
      </c>
      <c r="G206" s="10" t="str">
        <v>Analyze and design differential amplifier circuits</v>
      </c>
      <c r="H206" s="10" t="str">
        <v>Analyze and design multistage amplifier circuits</v>
      </c>
      <c r="I206" s="10" t="str">
        <v>Analyze the frequency response of different analog circuits</v>
      </c>
      <c r="J206" s="10" t="str">
        <v>Understand the concept of feedback in analog circuits</v>
      </c>
      <c r="K206" s="10" t="str">
        <v>Analyze, design and build oscillators</v>
      </c>
      <c r="L206" s="11" t="str">
        <v>Simulate and verify commonly used analog circuits.</v>
      </c>
      <c r="M206" s="11">
        <v>0</v>
      </c>
      <c r="N206" s="11">
        <v>0</v>
      </c>
      <c r="O206" s="10">
        <v>0</v>
      </c>
      <c r="P206" s="11">
        <v>0</v>
      </c>
      <c r="Q206" s="11">
        <v>0</v>
      </c>
      <c r="R206" s="12" t="b">
        <f t="shared" si="0"/>
        <v>1</v>
      </c>
      <c r="S206" s="12"/>
      <c r="T206" s="12" t="e">
        <f t="array" aca="1" ref="T206" ca="1">_xludf.IFNA(LOOKUP(2,1/(C206:Q206&lt;&gt;""),COLUMN(C206:Q206))-2,0)</f>
        <v>#NAME?</v>
      </c>
      <c r="U206" s="12">
        <f t="shared" si="1"/>
        <v>15</v>
      </c>
      <c r="V206" s="12" t="e">
        <f t="shared" ca="1" si="2"/>
        <v>#NAME?</v>
      </c>
    </row>
    <row r="207" spans="1:22" ht="12.75">
      <c r="A207" s="9" t="str">
        <v>NANENG</v>
      </c>
      <c r="B207" s="9" t="str">
        <v>NANENG 422</v>
      </c>
      <c r="C207" s="10">
        <v>2020</v>
      </c>
      <c r="D207" s="10" t="str">
        <v>SPRING</v>
      </c>
      <c r="E207" s="10">
        <v>0</v>
      </c>
      <c r="F207" s="10">
        <v>0</v>
      </c>
      <c r="G207" s="10">
        <v>0</v>
      </c>
      <c r="H207" s="10">
        <v>0</v>
      </c>
      <c r="I207" s="10">
        <v>0</v>
      </c>
      <c r="J207" s="10">
        <v>0</v>
      </c>
      <c r="K207" s="10">
        <v>0</v>
      </c>
      <c r="L207" s="11">
        <v>0</v>
      </c>
      <c r="M207" s="11">
        <v>0</v>
      </c>
      <c r="N207" s="11">
        <v>0</v>
      </c>
      <c r="O207" s="10">
        <v>0</v>
      </c>
      <c r="P207" s="11">
        <v>0</v>
      </c>
      <c r="Q207" s="11">
        <v>0</v>
      </c>
      <c r="R207" s="12" t="b">
        <f t="shared" ca="1" si="0"/>
        <v>0</v>
      </c>
      <c r="S207" s="12"/>
      <c r="T207" s="12" t="e">
        <f t="array" aca="1" ref="T207" ca="1">_xludf.IFNA(LOOKUP(2,1/(C207:Q207&lt;&gt;""),COLUMN(C207:Q207))-2,0)</f>
        <v>#NAME?</v>
      </c>
      <c r="U207" s="12">
        <f t="shared" si="1"/>
        <v>15</v>
      </c>
      <c r="V207" s="12" t="e">
        <f t="shared" ca="1" si="2"/>
        <v>#NAME?</v>
      </c>
    </row>
    <row r="208" spans="1:22" ht="12.75">
      <c r="A208" s="9" t="str">
        <v>NANENG</v>
      </c>
      <c r="B208" s="9" t="str">
        <v>NANENG 424</v>
      </c>
      <c r="C208" s="10">
        <v>2020</v>
      </c>
      <c r="D208" s="10" t="str">
        <v>SPRING</v>
      </c>
      <c r="E208" s="10" t="str">
        <v>Understand different kinds of semiconductor materials used in photonic devices</v>
      </c>
      <c r="F208" s="10" t="str">
        <v>To be able to understand the mechanisms of light absorption and emission in p-n junctions</v>
      </c>
      <c r="G208" s="10" t="str">
        <v>Understand the operation principal of photovoltaic device with there different generation, device building concepts and parameters limiting the efficiencies</v>
      </c>
      <c r="H208" s="10" t="str">
        <v>Understand the basic operation of light emitting diodes, describe the basic and double heterojunction device, output light characteristics and different efficiencies and efficacy parameters</v>
      </c>
      <c r="I208" s="10" t="str">
        <v>Understand the most common specifications of photodiodes, LEDs, and laser diodes and their basic designs, application and condition to get light amplification and lasing.</v>
      </c>
      <c r="J208" s="10" t="str">
        <v>to be be able to use the Lumerical software tool to model different photonic devices</v>
      </c>
      <c r="K208" s="10">
        <v>0</v>
      </c>
      <c r="L208" s="11">
        <v>0</v>
      </c>
      <c r="M208" s="11">
        <v>0</v>
      </c>
      <c r="N208" s="11">
        <v>0</v>
      </c>
      <c r="O208" s="10">
        <v>0</v>
      </c>
      <c r="P208" s="11">
        <v>0</v>
      </c>
      <c r="Q208" s="11">
        <v>0</v>
      </c>
      <c r="R208" s="12" t="b">
        <f t="shared" si="0"/>
        <v>1</v>
      </c>
      <c r="S208" s="12"/>
      <c r="T208" s="12" t="e">
        <f t="array" aca="1" ref="T208" ca="1">_xludf.IFNA(LOOKUP(2,1/(C208:Q208&lt;&gt;""),COLUMN(C208:Q208))-2,0)</f>
        <v>#NAME?</v>
      </c>
      <c r="U208" s="12">
        <f t="shared" si="1"/>
        <v>15</v>
      </c>
      <c r="V208" s="12" t="e">
        <f t="shared" ca="1" si="2"/>
        <v>#NAME?</v>
      </c>
    </row>
    <row r="209" spans="1:22" ht="12.75">
      <c r="A209" s="9" t="str">
        <v>NANENG</v>
      </c>
      <c r="B209" s="9" t="str">
        <v>NANENG 430</v>
      </c>
      <c r="C209" s="10">
        <v>2020</v>
      </c>
      <c r="D209" s="10" t="str">
        <v>SPRING</v>
      </c>
      <c r="E209" s="10" t="str">
        <v>To gain an appreciation of the microwave engineering field</v>
      </c>
      <c r="F209" s="10" t="str">
        <v>To understand the wave equation and basic plane wave solutions in different media</v>
      </c>
      <c r="G209" s="10" t="str">
        <v>To solve Maxwell’s equations in uniform waveguides to determine the mode structure in uniform waveguides and to model uniform waveguides using transmission line equations. Specific application will be to find the cutoff frequency of TE and TM modes in rectangular waveguides</v>
      </c>
      <c r="H209" s="10" t="str">
        <v>To describe transmission line theory using distributed element model</v>
      </c>
      <c r="I209" s="10" t="str">
        <v>To use frequency domain transmission line theory and the Smith Chart to solve waveguide problems</v>
      </c>
      <c r="J209" s="10" t="str">
        <v>To use scattering parameters to analyze and predict the behavior of linear microwave passive networks</v>
      </c>
      <c r="K209" s="10" t="str">
        <v>To implement matching techniques for microwave components and devices using quarter wave transformers and single stub tuning networks</v>
      </c>
      <c r="L209" s="11">
        <v>0</v>
      </c>
      <c r="M209" s="11">
        <v>0</v>
      </c>
      <c r="N209" s="11">
        <v>0</v>
      </c>
      <c r="O209" s="10">
        <v>0</v>
      </c>
      <c r="P209" s="11">
        <v>0</v>
      </c>
      <c r="Q209" s="11">
        <v>0</v>
      </c>
      <c r="R209" s="12" t="b">
        <f t="shared" ca="1" si="0"/>
        <v>0</v>
      </c>
      <c r="S209" s="12"/>
      <c r="T209" s="12" t="e">
        <f t="array" aca="1" ref="T209" ca="1">_xludf.IFNA(LOOKUP(2,1/(C209:Q209&lt;&gt;""),COLUMN(C209:Q209))-2,0)</f>
        <v>#NAME?</v>
      </c>
      <c r="U209" s="12">
        <f t="shared" si="1"/>
        <v>15</v>
      </c>
      <c r="V209" s="12" t="e">
        <f t="shared" ca="1" si="2"/>
        <v>#NAME?</v>
      </c>
    </row>
    <row r="210" spans="1:22" ht="15">
      <c r="A210" s="9" t="str">
        <v>NANENG</v>
      </c>
      <c r="B210" s="9" t="str">
        <v>NANENG 433</v>
      </c>
      <c r="C210" s="55">
        <v>2020</v>
      </c>
      <c r="D210" s="55" t="str">
        <v>SPRING</v>
      </c>
      <c r="E210" s="55" t="str">
        <v>Describe designs using a hardware description language.</v>
      </c>
      <c r="F210" s="17" t="str">
        <v>Perform performance evaluation for different microprocessors.</v>
      </c>
      <c r="G210" s="55" t="str">
        <v>Write Assembly code based on the ARM processor instruction set.</v>
      </c>
      <c r="H210" s="55" t="str">
        <v>Ability to use Arm Processors in designed architectures.</v>
      </c>
      <c r="I210" s="10" t="str">
        <v>Design a simple microprocessor.</v>
      </c>
      <c r="J210" s="10" t="str">
        <v>Verify the correct functionality of digital circuits using simulation.</v>
      </c>
      <c r="K210" s="10">
        <v>0</v>
      </c>
      <c r="L210" s="11">
        <v>0</v>
      </c>
      <c r="M210" s="11">
        <v>0</v>
      </c>
      <c r="N210" s="11">
        <v>0</v>
      </c>
      <c r="O210" s="10">
        <v>0</v>
      </c>
      <c r="P210" s="11">
        <v>0</v>
      </c>
      <c r="Q210" s="11">
        <v>0</v>
      </c>
      <c r="R210" s="12" t="b">
        <f t="shared" si="0"/>
        <v>1</v>
      </c>
      <c r="S210" s="12"/>
      <c r="T210" s="12" t="e">
        <f t="array" aca="1" ref="T210" ca="1">_xludf.IFNA(LOOKUP(2,1/(C210:Q210&lt;&gt;""),COLUMN(C210:Q210))-2,0)</f>
        <v>#NAME?</v>
      </c>
      <c r="U210" s="12">
        <f t="shared" si="1"/>
        <v>15</v>
      </c>
      <c r="V210" s="12" t="e">
        <f t="shared" ca="1" si="2"/>
        <v>#NAME?</v>
      </c>
    </row>
    <row r="211" spans="1:22" ht="15">
      <c r="A211" s="9" t="str">
        <v>NANENG</v>
      </c>
      <c r="B211" s="9" t="str">
        <v>NANENG 500</v>
      </c>
      <c r="C211" s="17">
        <v>2020</v>
      </c>
      <c r="D211" s="17" t="str">
        <v>SPRING</v>
      </c>
      <c r="E211" s="10" t="str">
        <v>To design different digital applications using the HDL language (Verilog and VHDL) and to know the main differences between both languages</v>
      </c>
      <c r="F211" s="10" t="str">
        <v>To use ModelSim to simulate the HDL codes and make behavioral verifications.</v>
      </c>
      <c r="G211" s="10" t="str">
        <v>to write synthesizable HDL code and compare it with high level programming languages such as Matlab &lt;bit-bit comparison&gt;</v>
      </c>
      <c r="H211" s="10" t="str">
        <v>to program an FPGA (Xilinx) using ISE and Vivado and do all the required hardware setups</v>
      </c>
      <c r="I211" s="10" t="str">
        <v>to practice the ASIC design flow steps from HDL to chip tape-out</v>
      </c>
      <c r="J211" s="55" t="str">
        <v>to examine the main differences between the FPGA and the ASIC flows for different practical digital applications such as WiFi processing and security algorithms.</v>
      </c>
      <c r="K211" s="55" t="str">
        <v>to be able to design a complete digital project and program the FPGA with it to verify the functionality and also perform the ASIC steps till the tape-out final step</v>
      </c>
      <c r="L211" s="11" t="str">
        <v>Optimize digital circuits using pipelines.</v>
      </c>
      <c r="M211" s="11" t="str">
        <v>Work in teams to solve real life problems.</v>
      </c>
      <c r="N211" s="11">
        <v>0</v>
      </c>
      <c r="O211" s="10">
        <v>0</v>
      </c>
      <c r="P211" s="11">
        <v>0</v>
      </c>
      <c r="Q211" s="11">
        <v>0</v>
      </c>
      <c r="R211" s="12" t="b">
        <f t="shared" si="0"/>
        <v>1</v>
      </c>
      <c r="S211" s="12"/>
      <c r="T211" s="12" t="e">
        <f t="array" aca="1" ref="T211" ca="1">_xludf.IFNA(LOOKUP(2,1/(C211:Q211&lt;&gt;""),COLUMN(C211:Q211))-2,0)</f>
        <v>#NAME?</v>
      </c>
      <c r="U211" s="12">
        <f t="shared" si="1"/>
        <v>15</v>
      </c>
      <c r="V211" s="12" t="e">
        <f t="shared" ca="1" si="2"/>
        <v>#NAME?</v>
      </c>
    </row>
    <row r="212" spans="1:22" ht="15">
      <c r="A212" s="9" t="str">
        <v>NANENG</v>
      </c>
      <c r="B212" s="9" t="str">
        <v>NANENG 503</v>
      </c>
      <c r="C212" s="55">
        <v>2020</v>
      </c>
      <c r="D212" s="55" t="str">
        <v>SPRING</v>
      </c>
      <c r="E212" s="55" t="str">
        <v>Have a general knowledge about VLSI design cycle, physical design cycle, design styles and packaging styles.</v>
      </c>
      <c r="F212" s="55" t="str">
        <v>Have a good knowledge of algorithms, complexity and graph theory terminology</v>
      </c>
      <c r="G212" s="55" t="str">
        <v>Discuss chip partitioning including netlist partitioning, problem formulations, classic algorithms for balanced graph and hypergraph partitioning.</v>
      </c>
      <c r="H212" s="55" t="str">
        <v>Know more about floorplanning, power/ground planning and I/O assignment.</v>
      </c>
      <c r="I212" s="10" t="str">
        <v>To be able to distinguish between global and detailed placement, and other several algorithmic frameworks.</v>
      </c>
      <c r="J212" s="55" t="str">
        <v>Discuss global and detailed routing.</v>
      </c>
      <c r="K212" s="10" t="str">
        <v>representing layout with graph models</v>
      </c>
      <c r="L212" s="11" t="str">
        <v>Investigate the timing closure, and to get comprehensive coverage of timing analysis and relevant optimizations in placement, routing and netlist restructuring</v>
      </c>
      <c r="M212" s="11" t="str">
        <v>investigate state of the art global routers and yield optimizations performed in detailed routing.</v>
      </c>
      <c r="N212" s="11">
        <v>0</v>
      </c>
      <c r="O212" s="10">
        <v>0</v>
      </c>
      <c r="P212" s="11">
        <v>0</v>
      </c>
      <c r="Q212" s="11">
        <v>0</v>
      </c>
      <c r="R212" s="12" t="b">
        <f t="shared" si="0"/>
        <v>1</v>
      </c>
      <c r="S212" s="12"/>
      <c r="T212" s="12" t="e">
        <f t="array" aca="1" ref="T212" ca="1">_xludf.IFNA(LOOKUP(2,1/(C212:Q212&lt;&gt;""),COLUMN(C212:Q212))-2,0)</f>
        <v>#NAME?</v>
      </c>
      <c r="U212" s="12">
        <f t="shared" si="1"/>
        <v>15</v>
      </c>
      <c r="V212" s="12" t="e">
        <f t="shared" ca="1" si="2"/>
        <v>#NAME?</v>
      </c>
    </row>
    <row r="213" spans="1:22" ht="12.75">
      <c r="A213" s="9" t="str">
        <v>NANENG</v>
      </c>
      <c r="B213" s="9" t="str">
        <v>NANENG 511</v>
      </c>
      <c r="C213" s="10">
        <v>2020</v>
      </c>
      <c r="D213" s="10" t="str">
        <v>SPRING</v>
      </c>
      <c r="E213" s="10" t="str">
        <v>Analyze and calculate the modes and other related properties of dielectric TE/TM slab, ridge, and rib waveguides.</v>
      </c>
      <c r="F213" s="10" t="str">
        <v>Analyze two coupled dielectric slab waveguides and calculate the coupling ratio and the coupling length.</v>
      </c>
      <c r="G213" s="10" t="str">
        <v>Design some coupled mode devices such as multimode interference coupler, lined up filter and dielectric coupler switch.</v>
      </c>
      <c r="H213" s="10" t="str">
        <v>Describe the polarization in polar/nonpolar bulky materials using Debye, Lorentz and Drude models</v>
      </c>
      <c r="I213" s="10" t="str">
        <v>Identify the physical electromagnetics (EM) properties (dielectric constants, refractive index, conductivity reflection and absorption) of bulky metals and dielectrics.</v>
      </c>
      <c r="J213" s="10" t="str">
        <v>Analyze the EM wave propagation in isotropic and anisotropic materials</v>
      </c>
      <c r="K213" s="10" t="str">
        <v>Derive the field distributions and transmission spectra for 1D array of dielectric materials (Grating)</v>
      </c>
      <c r="L213" s="11" t="str">
        <v>Identify different types of nonlinear materials and grating structure (sub-wavelength, diffraction, Bragg) and their applications.</v>
      </c>
      <c r="M213" s="11" t="str">
        <v>Derive mathematically the recurrent formulas for 1D linearly polarized FDTD based Maxwell's equations.</v>
      </c>
      <c r="N213" s="11" t="str">
        <v>Identify the properties of photonic crystal structures.</v>
      </c>
      <c r="O213" s="10" t="str">
        <v>Understand the properties of plasmonic structures and different related applications.</v>
      </c>
      <c r="P213" s="11">
        <v>0</v>
      </c>
      <c r="Q213" s="11">
        <v>0</v>
      </c>
      <c r="R213" s="12" t="b">
        <f t="shared" si="0"/>
        <v>1</v>
      </c>
      <c r="S213" s="12"/>
      <c r="T213" s="12" t="e">
        <f t="array" aca="1" ref="T213" ca="1">_xludf.IFNA(LOOKUP(2,1/(C213:Q213&lt;&gt;""),COLUMN(C213:Q213))-2,0)</f>
        <v>#NAME?</v>
      </c>
      <c r="U213" s="12">
        <f t="shared" si="1"/>
        <v>15</v>
      </c>
      <c r="V213" s="12" t="e">
        <f t="shared" ca="1" si="2"/>
        <v>#NAME?</v>
      </c>
    </row>
    <row r="214" spans="1:22" ht="15">
      <c r="A214" s="9" t="str">
        <v>NANENG</v>
      </c>
      <c r="B214" s="9" t="str">
        <v>NANENG 512</v>
      </c>
      <c r="C214" s="20">
        <v>2020</v>
      </c>
      <c r="D214" s="20" t="str">
        <v>SPRING</v>
      </c>
      <c r="E214" s="32" t="str">
        <v>Describe designs using a hardware description language. (LEC, Lab)</v>
      </c>
      <c r="F214" s="20" t="str">
        <v>Perform performance evaluation for different microprocessors. (LEC, Lab)</v>
      </c>
      <c r="G214" s="32" t="str">
        <v>Write Assembly code based on the ARM processor instruction set. (LEC, Lab)</v>
      </c>
      <c r="H214" s="32" t="str">
        <v>Ability to use Arm Processors in designed architectures. (LEC, Lab)</v>
      </c>
      <c r="I214" s="32" t="str">
        <v>Design a simple microprocessor. (LEC, Lab, Project)</v>
      </c>
      <c r="J214" s="32" t="str">
        <v>Verify the correct functionality of digital circuits using simulation. (LEC, Lab, Project)</v>
      </c>
      <c r="K214" s="10" t="str">
        <v>Optimize digital circuits using pipelines. (LEC, Project)</v>
      </c>
      <c r="L214" s="11" t="str">
        <v>Work in teams to solve real life problems. (Project)</v>
      </c>
      <c r="M214" s="11">
        <v>0</v>
      </c>
      <c r="N214" s="11">
        <v>0</v>
      </c>
      <c r="O214" s="10">
        <v>0</v>
      </c>
      <c r="P214" s="11">
        <v>0</v>
      </c>
      <c r="Q214" s="11">
        <v>0</v>
      </c>
      <c r="R214" s="12" t="b">
        <f t="shared" si="0"/>
        <v>1</v>
      </c>
      <c r="S214" s="12"/>
      <c r="T214" s="12" t="e">
        <f t="array" aca="1" ref="T214" ca="1">_xludf.IFNA(LOOKUP(2,1/(C214:Q214&lt;&gt;""),COLUMN(C214:Q214))-2,0)</f>
        <v>#NAME?</v>
      </c>
      <c r="U214" s="12">
        <f t="shared" si="1"/>
        <v>15</v>
      </c>
      <c r="V214" s="12" t="e">
        <f t="shared" ca="1" si="2"/>
        <v>#NAME?</v>
      </c>
    </row>
    <row r="215" spans="1:22" ht="12.75">
      <c r="A215" s="9" t="str">
        <v>NANENG</v>
      </c>
      <c r="B215" s="9" t="str">
        <v>NANENG 513</v>
      </c>
      <c r="C215" s="10">
        <v>2020</v>
      </c>
      <c r="D215" s="10" t="str">
        <v>SPRING</v>
      </c>
      <c r="E215" s="10" t="str">
        <v>Ability to analyze modern FinFET process integration steps with High-k/Metal gates</v>
      </c>
      <c r="F215" s="10" t="str">
        <v>Apply TCAD tools in nanofabrication to model processing steps, and link them to device electrical properties</v>
      </c>
      <c r="G215" s="10" t="str">
        <v>Ability to understand the basics of Atomic Layer Deposition concepts, and its use in nanoelectronics.</v>
      </c>
      <c r="H215" s="10" t="str">
        <v>Ability to analyze the factors affecting optical lithography resolution, and methods to improve it, and make first order calculations for resolution in proximity and projection systems.</v>
      </c>
      <c r="I215" s="10" t="str">
        <v>Ability to calculate ion density, ion currents in the cathode sheets, and understand basic concepts of combining RF/Microwave electrical &amp; magnetic fields to get high density plasmas.</v>
      </c>
      <c r="J215" s="10" t="str">
        <v>Understand the use of Chemical Mechanical Planarization (CMP) in modern device processing, including damascene metallization and patterning.</v>
      </c>
      <c r="K215" s="10" t="str">
        <v>Understand the basics of vacuum pumps and gas systems</v>
      </c>
      <c r="L215" s="11">
        <v>0</v>
      </c>
      <c r="M215" s="11">
        <v>0</v>
      </c>
      <c r="N215" s="11">
        <v>0</v>
      </c>
      <c r="O215" s="10">
        <v>0</v>
      </c>
      <c r="P215" s="11">
        <v>0</v>
      </c>
      <c r="Q215" s="11">
        <v>0</v>
      </c>
      <c r="R215" s="12" t="b">
        <f t="shared" ca="1" si="0"/>
        <v>0</v>
      </c>
      <c r="S215" s="12"/>
      <c r="T215" s="12" t="e">
        <f t="array" aca="1" ref="T215" ca="1">_xludf.IFNA(LOOKUP(2,1/(C215:Q215&lt;&gt;""),COLUMN(C215:Q215))-2,0)</f>
        <v>#NAME?</v>
      </c>
      <c r="U215" s="12">
        <f t="shared" si="1"/>
        <v>15</v>
      </c>
      <c r="V215" s="12" t="e">
        <f t="shared" ca="1" si="2"/>
        <v>#NAME?</v>
      </c>
    </row>
    <row r="216" spans="1:22" ht="12.75">
      <c r="A216" s="9" t="str">
        <v>NANENG</v>
      </c>
      <c r="B216" s="9" t="str">
        <v>NANENG 514</v>
      </c>
      <c r="C216" s="10">
        <v>2020</v>
      </c>
      <c r="D216" s="10" t="str">
        <v>SPRING</v>
      </c>
      <c r="E216" s="10" t="str">
        <v>To understand the origin of conductivity in organic material, the advantage of these technologies over inorganic based technology.</v>
      </c>
      <c r="F216" s="10" t="str">
        <v>To understand the steps associated with charge generation in organic photovoltaic devices and Justify why organic solar cells are excitonic in nature and how this is different than typical inorganic solar cells.</v>
      </c>
      <c r="G216" s="10" t="str">
        <v>To be able to explain why certain optoelectronic properties are desired for materials used as electrode-modifying layers and the design requirements needed to make effective electron transporting and hole-transporting layers</v>
      </c>
      <c r="H216" s="10" t="str">
        <v>To distinguish between the “inverted” and “regular” architecture of the organic solar cells and understand the potential advantages of using inverted structure</v>
      </c>
      <c r="I216" s="10" t="str">
        <v>To understand the concept of the tandem or multi-junction solar cell and why these solar cells have very high power conversion efficiencies</v>
      </c>
      <c r="J216" s="10" t="str">
        <v>To understand the operating mechanism and design structure of the OLEDs and why it should be designed with the response to the human eye</v>
      </c>
      <c r="K216" s="10" t="str">
        <v>Understand the design consideration of OLED and why the introduction of heavy metal atoms to the molecular structure of organic materials increases OLED device performance</v>
      </c>
      <c r="L216" s="11" t="str">
        <v>To understand the operating mechanism, different device configuration of the organic field-effect transistor during p-type and n-type transport testing</v>
      </c>
      <c r="M216" s="11">
        <v>0</v>
      </c>
      <c r="N216" s="11">
        <v>0</v>
      </c>
      <c r="O216" s="10">
        <v>0</v>
      </c>
      <c r="P216" s="11">
        <v>0</v>
      </c>
      <c r="Q216" s="11">
        <v>0</v>
      </c>
      <c r="R216" s="12" t="b">
        <f t="shared" ca="1" si="0"/>
        <v>0</v>
      </c>
      <c r="S216" s="12"/>
      <c r="T216" s="12" t="e">
        <f t="array" aca="1" ref="T216" ca="1">_xludf.IFNA(LOOKUP(2,1/(C216:Q216&lt;&gt;""),COLUMN(C216:Q216))-2,0)</f>
        <v>#NAME?</v>
      </c>
      <c r="U216" s="12">
        <f t="shared" si="1"/>
        <v>15</v>
      </c>
      <c r="V216" s="12" t="e">
        <f t="shared" ca="1" si="2"/>
        <v>#NAME?</v>
      </c>
    </row>
    <row r="217" spans="1:22" ht="12.75">
      <c r="A217" s="9" t="str">
        <v>NANENG</v>
      </c>
      <c r="B217" s="9" t="str">
        <v>NANENG 515</v>
      </c>
      <c r="C217" s="10">
        <v>2020</v>
      </c>
      <c r="D217" s="10" t="str">
        <v>SPRING</v>
      </c>
      <c r="E217" s="10" t="str">
        <v>Ability to apply the micro/nano fabrication techniques for developing MEMS systems on-chip</v>
      </c>
      <c r="F217" s="10" t="str">
        <v>Ability to use FEM packages for designing MEMS devices</v>
      </c>
      <c r="G217" s="10" t="str">
        <v>Ability to develop the proper fabrication masks</v>
      </c>
      <c r="H217" s="10" t="str">
        <v>Ability to design pressure sensors with various mechanisms</v>
      </c>
      <c r="I217" s="10" t="str">
        <v>Ability to design infra red imaging sensors</v>
      </c>
      <c r="J217" s="10" t="str">
        <v>Ability to design inirtial sensors</v>
      </c>
      <c r="K217" s="10" t="str">
        <v>Ability to design microfluidic devices</v>
      </c>
      <c r="L217" s="11" t="str">
        <v>Ability to work in teamwork to solve real life problems relatted to MEMS</v>
      </c>
      <c r="M217" s="11">
        <v>0</v>
      </c>
      <c r="N217" s="11">
        <v>0</v>
      </c>
      <c r="O217" s="10">
        <v>0</v>
      </c>
      <c r="P217" s="11">
        <v>0</v>
      </c>
      <c r="Q217" s="11">
        <v>0</v>
      </c>
      <c r="R217" s="12" t="b">
        <f t="shared" si="0"/>
        <v>1</v>
      </c>
      <c r="S217" s="12"/>
      <c r="T217" s="12" t="e">
        <f t="array" aca="1" ref="T217" ca="1">_xludf.IFNA(LOOKUP(2,1/(C217:Q217&lt;&gt;""),COLUMN(C217:Q217))-2,0)</f>
        <v>#NAME?</v>
      </c>
      <c r="U217" s="12">
        <f t="shared" si="1"/>
        <v>15</v>
      </c>
      <c r="V217" s="12" t="e">
        <f t="shared" ca="1" si="2"/>
        <v>#NAME?</v>
      </c>
    </row>
    <row r="218" spans="1:22" ht="12.75">
      <c r="A218" s="9" t="str">
        <v>NANENG</v>
      </c>
      <c r="B218" s="9" t="str">
        <v>NANENG 520</v>
      </c>
      <c r="C218" s="17">
        <v>2020</v>
      </c>
      <c r="D218" s="17" t="str">
        <v>SPRING</v>
      </c>
      <c r="E218" s="17" t="str">
        <v>Become familiar with bulk MOSFET limitations (such as Short Channel Effects)</v>
      </c>
      <c r="F218" s="17" t="str">
        <v>Ability to analyze the classical physics for SOI and Multi-gate MOSFET devices.</v>
      </c>
      <c r="G218" s="17" t="str">
        <v>Apply quantum mechanics to analyze nm-scale device physics, and calculate energy levels and electron charge.</v>
      </c>
      <c r="H218" s="17" t="str">
        <v>Ability to understand electron transport in novel devices such nanowires and tunnel FETs, as well as ballistic transport basics.</v>
      </c>
      <c r="I218" s="17" t="str">
        <v>Develop compact models using Verilog-A for nm-scale Multi-gate MOSFET devices, and implement into SPICE simulations.</v>
      </c>
      <c r="J218" s="10" t="str">
        <v>Apply TCAD device modeling tools (Synopsys Sentaurus Sdevice) in order to simulate advanced device structures</v>
      </c>
      <c r="K218" s="10" t="str">
        <v>Analyze and extract the physical device parameters of compact models from the TCAD physical models.</v>
      </c>
      <c r="L218" s="11">
        <v>0</v>
      </c>
      <c r="M218" s="11">
        <v>0</v>
      </c>
      <c r="N218" s="11">
        <v>0</v>
      </c>
      <c r="O218" s="10">
        <v>0</v>
      </c>
      <c r="P218" s="11">
        <v>0</v>
      </c>
      <c r="Q218" s="11">
        <v>0</v>
      </c>
      <c r="R218" s="12" t="b">
        <f t="shared" si="0"/>
        <v>1</v>
      </c>
      <c r="S218" s="12"/>
      <c r="T218" s="12" t="e">
        <f t="array" aca="1" ref="T218" ca="1">_xludf.IFNA(LOOKUP(2,1/(C218:Q218&lt;&gt;""),COLUMN(C218:Q218))-2,0)</f>
        <v>#NAME?</v>
      </c>
      <c r="U218" s="12">
        <f t="shared" si="1"/>
        <v>15</v>
      </c>
      <c r="V218" s="12" t="e">
        <f t="shared" ca="1" si="2"/>
        <v>#NAME?</v>
      </c>
    </row>
    <row r="219" spans="1:22" ht="12.75">
      <c r="A219" s="9" t="str">
        <v>NANENG</v>
      </c>
      <c r="B219" s="9" t="str">
        <v>NANENG 522</v>
      </c>
      <c r="C219" s="10">
        <v>2020</v>
      </c>
      <c r="D219" s="10" t="str">
        <v>SPRING</v>
      </c>
      <c r="E219" s="10">
        <v>0</v>
      </c>
      <c r="F219" s="10">
        <v>0</v>
      </c>
      <c r="G219" s="10">
        <v>0</v>
      </c>
      <c r="H219" s="10">
        <v>0</v>
      </c>
      <c r="I219" s="10">
        <v>0</v>
      </c>
      <c r="J219" s="10">
        <v>0</v>
      </c>
      <c r="K219" s="10">
        <v>0</v>
      </c>
      <c r="L219" s="11">
        <v>0</v>
      </c>
      <c r="M219" s="11">
        <v>0</v>
      </c>
      <c r="N219" s="11">
        <v>0</v>
      </c>
      <c r="O219" s="10">
        <v>0</v>
      </c>
      <c r="P219" s="11">
        <v>0</v>
      </c>
      <c r="Q219" s="11">
        <v>0</v>
      </c>
      <c r="R219" s="12" t="b">
        <f t="shared" ca="1" si="0"/>
        <v>0</v>
      </c>
      <c r="S219" s="12"/>
      <c r="T219" s="12" t="e">
        <f t="array" aca="1" ref="T219" ca="1">_xludf.IFNA(LOOKUP(2,1/(C219:Q219&lt;&gt;""),COLUMN(C219:Q219))-2,0)</f>
        <v>#NAME?</v>
      </c>
      <c r="U219" s="12">
        <f t="shared" si="1"/>
        <v>15</v>
      </c>
      <c r="V219" s="12" t="e">
        <f t="shared" ca="1" si="2"/>
        <v>#NAME?</v>
      </c>
    </row>
    <row r="220" spans="1:22" ht="12.75">
      <c r="A220" s="9" t="str">
        <v>NANENG</v>
      </c>
      <c r="B220" s="9" t="str">
        <v>NANENG 524</v>
      </c>
      <c r="C220" s="10">
        <v>2020</v>
      </c>
      <c r="D220" s="10" t="str">
        <v>SPRING</v>
      </c>
      <c r="E220" s="10">
        <v>0</v>
      </c>
      <c r="F220" s="10">
        <v>0</v>
      </c>
      <c r="G220" s="10">
        <v>0</v>
      </c>
      <c r="H220" s="10">
        <v>0</v>
      </c>
      <c r="I220" s="10">
        <v>0</v>
      </c>
      <c r="J220" s="10">
        <v>0</v>
      </c>
      <c r="K220" s="10">
        <v>0</v>
      </c>
      <c r="L220" s="11">
        <v>0</v>
      </c>
      <c r="M220" s="11">
        <v>0</v>
      </c>
      <c r="N220" s="11">
        <v>0</v>
      </c>
      <c r="O220" s="10">
        <v>0</v>
      </c>
      <c r="P220" s="11">
        <v>0</v>
      </c>
      <c r="Q220" s="11">
        <v>0</v>
      </c>
      <c r="R220" s="12" t="b">
        <f t="shared" ca="1" si="0"/>
        <v>0</v>
      </c>
      <c r="S220" s="12"/>
      <c r="T220" s="12" t="e">
        <f t="array" aca="1" ref="T220" ca="1">_xludf.IFNA(LOOKUP(2,1/(C220:Q220&lt;&gt;""),COLUMN(C220:Q220))-2,0)</f>
        <v>#NAME?</v>
      </c>
      <c r="U220" s="12">
        <f t="shared" si="1"/>
        <v>15</v>
      </c>
      <c r="V220" s="12" t="e">
        <f t="shared" ca="1" si="2"/>
        <v>#NAME?</v>
      </c>
    </row>
    <row r="221" spans="1:22" ht="12.75">
      <c r="A221" s="9" t="str">
        <v>NANENG</v>
      </c>
      <c r="B221" s="9" t="str">
        <v>NANENG 530</v>
      </c>
      <c r="C221" s="10">
        <v>2020</v>
      </c>
      <c r="D221" s="10" t="str">
        <v>SPRING</v>
      </c>
      <c r="E221" s="10">
        <v>0</v>
      </c>
      <c r="F221" s="10">
        <v>0</v>
      </c>
      <c r="G221" s="10">
        <v>0</v>
      </c>
      <c r="H221" s="10">
        <v>0</v>
      </c>
      <c r="I221" s="10">
        <v>0</v>
      </c>
      <c r="J221" s="10">
        <v>0</v>
      </c>
      <c r="K221" s="10">
        <v>0</v>
      </c>
      <c r="L221" s="11">
        <v>0</v>
      </c>
      <c r="M221" s="11">
        <v>0</v>
      </c>
      <c r="N221" s="11">
        <v>0</v>
      </c>
      <c r="O221" s="10">
        <v>0</v>
      </c>
      <c r="P221" s="11">
        <v>0</v>
      </c>
      <c r="Q221" s="11">
        <v>0</v>
      </c>
      <c r="R221" s="12" t="b">
        <f t="shared" ca="1" si="0"/>
        <v>0</v>
      </c>
      <c r="S221" s="12"/>
      <c r="T221" s="12" t="e">
        <f t="array" aca="1" ref="T221" ca="1">_xludf.IFNA(LOOKUP(2,1/(C221:Q221&lt;&gt;""),COLUMN(C221:Q221))-2,0)</f>
        <v>#NAME?</v>
      </c>
      <c r="U221" s="12">
        <f t="shared" si="1"/>
        <v>15</v>
      </c>
      <c r="V221" s="12" t="e">
        <f t="shared" ca="1" si="2"/>
        <v>#NAME?</v>
      </c>
    </row>
    <row r="222" spans="1:22" ht="12.75">
      <c r="A222" s="9" t="str">
        <v>NANENG</v>
      </c>
      <c r="B222" s="9" t="str">
        <v>NANENG 598</v>
      </c>
      <c r="C222" s="10">
        <v>2020</v>
      </c>
      <c r="D222" s="10" t="str">
        <v>SPRING</v>
      </c>
      <c r="E222" s="10">
        <v>0</v>
      </c>
      <c r="F222" s="10">
        <v>0</v>
      </c>
      <c r="G222" s="10">
        <v>0</v>
      </c>
      <c r="H222" s="10">
        <v>0</v>
      </c>
      <c r="I222" s="10">
        <v>0</v>
      </c>
      <c r="J222" s="10">
        <v>0</v>
      </c>
      <c r="K222" s="10">
        <v>0</v>
      </c>
      <c r="L222" s="11">
        <v>0</v>
      </c>
      <c r="M222" s="11">
        <v>0</v>
      </c>
      <c r="N222" s="11">
        <v>0</v>
      </c>
      <c r="O222" s="10">
        <v>0</v>
      </c>
      <c r="P222" s="11">
        <v>0</v>
      </c>
      <c r="Q222" s="11">
        <v>0</v>
      </c>
      <c r="R222" s="12" t="b">
        <f t="shared" ca="1" si="0"/>
        <v>0</v>
      </c>
      <c r="S222" s="12"/>
      <c r="T222" s="12" t="e">
        <f t="array" aca="1" ref="T222" ca="1">_xludf.IFNA(LOOKUP(2,1/(C222:Q222&lt;&gt;""),COLUMN(C222:Q222))-2,0)</f>
        <v>#NAME?</v>
      </c>
      <c r="U222" s="12">
        <f t="shared" si="1"/>
        <v>15</v>
      </c>
      <c r="V222" s="12" t="e">
        <f t="shared" ca="1" si="2"/>
        <v>#NAME?</v>
      </c>
    </row>
    <row r="223" spans="1:22" ht="12.75">
      <c r="A223" s="9" t="str">
        <v>NANOSC</v>
      </c>
      <c r="B223" s="9" t="str">
        <v>CHEM 101</v>
      </c>
      <c r="C223" s="10">
        <v>2020</v>
      </c>
      <c r="D223" s="10" t="str">
        <v>SPRING</v>
      </c>
      <c r="E223" s="10" t="str">
        <v>Ability to interpret scientific inquiry and follow logical reasoning in relation to general chemistry</v>
      </c>
      <c r="F223" s="10" t="str">
        <v>Ability to recognize the basic and structure of the matter and relations of structure to function</v>
      </c>
      <c r="G223" s="10" t="str">
        <v>Ability to demonstrate an understanding of fundamental chemical concepts and the ability to apply these concepts to everyday life.</v>
      </c>
      <c r="H223" s="10" t="str">
        <v>Ability to explain how stoichiometric calculations, Chemical Formulas and Equations be determined.</v>
      </c>
      <c r="I223" s="10" t="str">
        <v>Ability to understand the  electronic structure of atoms  and the periodic properties of the Elements</v>
      </c>
      <c r="J223" s="10" t="str">
        <v>Ability to describe the different Concepts of Chemical Bonding and the Molecular Geometry and Bonding Theories</v>
      </c>
      <c r="K223" s="10">
        <v>0</v>
      </c>
      <c r="L223" s="11">
        <v>0</v>
      </c>
      <c r="M223" s="11">
        <v>0</v>
      </c>
      <c r="N223" s="11">
        <v>0</v>
      </c>
      <c r="O223" s="10">
        <v>0</v>
      </c>
      <c r="P223" s="11">
        <v>0</v>
      </c>
      <c r="Q223" s="11">
        <v>0</v>
      </c>
      <c r="R223" s="12" t="b">
        <f t="shared" si="0"/>
        <v>1</v>
      </c>
      <c r="S223" s="12"/>
      <c r="T223" s="12" t="e">
        <f t="array" aca="1" ref="T223" ca="1">_xludf.IFNA(LOOKUP(2,1/(C223:Q223&lt;&gt;""),COLUMN(C223:Q223))-2,0)</f>
        <v>#NAME?</v>
      </c>
      <c r="U223" s="12">
        <f t="shared" si="1"/>
        <v>15</v>
      </c>
      <c r="V223" s="12" t="e">
        <f t="shared" ca="1" si="2"/>
        <v>#NAME?</v>
      </c>
    </row>
    <row r="224" spans="1:22" ht="12.75">
      <c r="A224" s="9" t="str">
        <v>NANOSC</v>
      </c>
      <c r="B224" s="9" t="str">
        <v>CHEM 102</v>
      </c>
      <c r="C224" s="10">
        <v>2020</v>
      </c>
      <c r="D224" s="10" t="str">
        <v>SPRING</v>
      </c>
      <c r="E224" s="10" t="str">
        <v>Ability to describe the relationship between solute concentration and the physical properties of a solution.</v>
      </c>
      <c r="F224" s="10" t="str">
        <v>Ability to understand how to determine reaction rates and to consider the factors that control these rates.</v>
      </c>
      <c r="G224" s="10" t="str">
        <v>Ability to demonstrate the dynamic equilibria in chemical reactions.</v>
      </c>
      <c r="H224" s="10" t="str">
        <v>The ability to understand and manage the environmental chemistry in a beneficial way.</v>
      </c>
      <c r="I224" s="10" t="str">
        <v>The ability to learn the rate of chemical reactions that are controlled by a factor related the activation energy of the reaction.</v>
      </c>
      <c r="J224" s="10" t="str">
        <v>Ability to understand redox reactions that are involved in the operation of batteries as well as in a wide variety of important natural processes.</v>
      </c>
      <c r="K224" s="10">
        <v>0</v>
      </c>
      <c r="L224" s="11">
        <v>0</v>
      </c>
      <c r="M224" s="11">
        <v>0</v>
      </c>
      <c r="N224" s="11">
        <v>0</v>
      </c>
      <c r="O224" s="10">
        <v>0</v>
      </c>
      <c r="P224" s="11">
        <v>0</v>
      </c>
      <c r="Q224" s="11">
        <v>0</v>
      </c>
      <c r="R224" s="12" t="b">
        <f t="shared" si="0"/>
        <v>1</v>
      </c>
      <c r="S224" s="12"/>
      <c r="T224" s="12" t="e">
        <f t="array" aca="1" ref="T224" ca="1">_xludf.IFNA(LOOKUP(2,1/(C224:Q224&lt;&gt;""),COLUMN(C224:Q224))-2,0)</f>
        <v>#NAME?</v>
      </c>
      <c r="U224" s="12">
        <f t="shared" si="1"/>
        <v>15</v>
      </c>
      <c r="V224" s="12" t="e">
        <f t="shared" ca="1" si="2"/>
        <v>#NAME?</v>
      </c>
    </row>
    <row r="225" spans="1:22" ht="12.75">
      <c r="A225" s="9" t="str">
        <v>NANOSC</v>
      </c>
      <c r="B225" s="9" t="str">
        <v>CHEM 111</v>
      </c>
      <c r="C225" s="10">
        <v>2020</v>
      </c>
      <c r="D225" s="10" t="str">
        <v>SPRING</v>
      </c>
      <c r="E225" s="10" t="str">
        <v>practice safety rules at all times</v>
      </c>
      <c r="F225" s="10" t="str">
        <v>use of an analytical balance and top loading balance for mass measurement. And a pipette and burette for volume measurement</v>
      </c>
      <c r="G225" s="10" t="str">
        <v>draw Lewis structures, build three-dimensional models of some covalent molecules, and construct models of molecules using a computer program</v>
      </c>
      <c r="H225" s="10" t="str">
        <v>determine the concentration of acid or base using volume analysis technique</v>
      </c>
      <c r="I225" s="10" t="str">
        <v>use oxidation-reduction technique to determine the concentration of an unknown oxalate solution</v>
      </c>
      <c r="J225" s="10" t="str">
        <v>determine the concentration of acetic acid in a commercial vinegar sample</v>
      </c>
      <c r="K225" s="10" t="str">
        <v>determine the concentration of vitamin c in fruit juice and in vitamin c tablets</v>
      </c>
      <c r="L225" s="11" t="str">
        <v>determine the specific heat of a metal and the enthalpy of fusion of ice</v>
      </c>
      <c r="M225" s="11" t="str">
        <v>measure the universal gas constant experimentally</v>
      </c>
      <c r="N225" s="11" t="str">
        <v>perform simple and fractional distillation and separate one liquid from a liquid mixture</v>
      </c>
      <c r="O225" s="10" t="str">
        <v>prepare aspirin experimentally</v>
      </c>
      <c r="P225" s="11" t="str">
        <v>isolate an essential oil from natural source by using steam distillation</v>
      </c>
      <c r="Q225" s="11" t="str">
        <v>use laboratory notebooks to record all data and observations during the lab session</v>
      </c>
      <c r="R225" s="12" t="b">
        <f t="shared" si="0"/>
        <v>1</v>
      </c>
      <c r="S225" s="12"/>
      <c r="T225" s="12" t="e">
        <f t="array" aca="1" ref="T225" ca="1">_xludf.IFNA(LOOKUP(2,1/(C225:Q225&lt;&gt;""),COLUMN(C225:Q225))-2,0)</f>
        <v>#NAME?</v>
      </c>
      <c r="U225" s="12">
        <f t="shared" si="1"/>
        <v>15</v>
      </c>
      <c r="V225" s="12" t="e">
        <f t="shared" ca="1" si="2"/>
        <v>#NAME?</v>
      </c>
    </row>
    <row r="226" spans="1:22" ht="12.75">
      <c r="A226" s="9" t="str">
        <v>NANOSC</v>
      </c>
      <c r="B226" s="9" t="str">
        <v>CHEM 112</v>
      </c>
      <c r="C226" s="10">
        <v>2020</v>
      </c>
      <c r="D226" s="10" t="str">
        <v>SPRING</v>
      </c>
      <c r="E226" s="10" t="str">
        <v>practice safety rules at all times</v>
      </c>
      <c r="F226" s="10" t="str">
        <v>use of an analytical balance and top loading balance for mass measurement. And a pipette and burette for volume measurement</v>
      </c>
      <c r="G226" s="10" t="str">
        <v>identify of the presence or absence of a number of anions in a solution</v>
      </c>
      <c r="H226" s="10" t="str">
        <v>use paper chromatography technique to separate and / or identify of specific metal ions</v>
      </c>
      <c r="I226" s="10" t="str">
        <v>determine factors affecting reaction rates such as surface area, concentration, temperature and catalyst</v>
      </c>
      <c r="J226" s="10" t="str">
        <v>determine the solubility product of slightly soluble salt and the Ka value of a weak acid</v>
      </c>
      <c r="K226" s="10" t="str">
        <v>purify potable water and monitor the water quality</v>
      </c>
      <c r="L226" s="11" t="str">
        <v>determine an equilibrium constant for a specific reaction</v>
      </c>
      <c r="M226" s="11" t="str">
        <v>isolate of caffeine from beverages</v>
      </c>
      <c r="N226" s="11" t="str">
        <v>qualitative analysis of carbohydrates</v>
      </c>
      <c r="O226" s="10" t="str">
        <v>use laboratory notebooks to record all data and observations during the lab session</v>
      </c>
      <c r="P226" s="11" t="str">
        <v>interpret experimental results and write reasonable conclusions</v>
      </c>
      <c r="Q226" s="11">
        <v>0</v>
      </c>
      <c r="R226" s="12" t="b">
        <f t="shared" si="0"/>
        <v>1</v>
      </c>
      <c r="S226" s="12"/>
      <c r="T226" s="12" t="e">
        <f t="array" aca="1" ref="T226" ca="1">_xludf.IFNA(LOOKUP(2,1/(C226:Q226&lt;&gt;""),COLUMN(C226:Q226))-2,0)</f>
        <v>#NAME?</v>
      </c>
      <c r="U226" s="12">
        <f t="shared" si="1"/>
        <v>15</v>
      </c>
      <c r="V226" s="12" t="e">
        <f t="shared" ca="1" si="2"/>
        <v>#NAME?</v>
      </c>
    </row>
    <row r="227" spans="1:22" ht="12.75">
      <c r="A227" s="9" t="str">
        <v>NANOSC</v>
      </c>
      <c r="B227" s="9" t="str">
        <v>CHEM 201</v>
      </c>
      <c r="C227" s="10">
        <v>2020</v>
      </c>
      <c r="D227" s="10" t="str">
        <v>SPRING</v>
      </c>
      <c r="E227" s="10" t="str">
        <v>Understand the principles of Organic Chemistry.</v>
      </c>
      <c r="F227" s="10" t="str">
        <v>Demonstrate an understanding of fundamental concepts of Organic Chemistry and the ability to apply these concepts to everyday life.</v>
      </c>
      <c r="G227" s="10" t="str">
        <v>Understand basic concepts and integrating their knowledge in various disciplines of chemistry.</v>
      </c>
      <c r="H227" s="10" t="str">
        <v>Develop positive attitudes towards seeking facts and scientific research.</v>
      </c>
      <c r="I227" s="10" t="str">
        <v>Develop learning skills using experimental tools in Organic chemistry lab.</v>
      </c>
      <c r="J227" s="10" t="str">
        <v>Gain familiarity with scientific &amp;amp; quantitative methods of thinking</v>
      </c>
      <c r="K227" s="10">
        <v>0</v>
      </c>
      <c r="L227" s="11">
        <v>0</v>
      </c>
      <c r="M227" s="11">
        <v>0</v>
      </c>
      <c r="N227" s="11">
        <v>0</v>
      </c>
      <c r="O227" s="10">
        <v>0</v>
      </c>
      <c r="P227" s="11">
        <v>0</v>
      </c>
      <c r="Q227" s="11">
        <v>0</v>
      </c>
      <c r="R227" s="12" t="b">
        <f t="shared" si="0"/>
        <v>1</v>
      </c>
      <c r="S227" s="12"/>
      <c r="T227" s="12" t="e">
        <f t="array" aca="1" ref="T227" ca="1">_xludf.IFNA(LOOKUP(2,1/(C227:Q227&lt;&gt;""),COLUMN(C227:Q227))-2,0)</f>
        <v>#NAME?</v>
      </c>
      <c r="U227" s="12">
        <f t="shared" si="1"/>
        <v>15</v>
      </c>
      <c r="V227" s="12" t="e">
        <f t="shared" ca="1" si="2"/>
        <v>#NAME?</v>
      </c>
    </row>
    <row r="228" spans="1:22" ht="12.75">
      <c r="A228" s="9" t="str">
        <v>NANOSC</v>
      </c>
      <c r="B228" s="9" t="str">
        <v>CHEM 203</v>
      </c>
      <c r="C228" s="10">
        <v>2020</v>
      </c>
      <c r="D228" s="10" t="str">
        <v>SPRING</v>
      </c>
      <c r="E228" s="10" t="str">
        <v>Nomenclate organic compounds systematically</v>
      </c>
      <c r="F228" s="10" t="str">
        <v>Understand different types of organic reactions</v>
      </c>
      <c r="G228" s="10" t="str">
        <v>Understand the concepts of function groups conversions</v>
      </c>
      <c r="H228" s="10" t="str">
        <v>Deduce stepwise reaction of mechanism of chemical conversions</v>
      </c>
      <c r="I228" s="10" t="str">
        <v>Apply stereochemical concepts in chemical reaction</v>
      </c>
      <c r="J228" s="10" t="str">
        <v>Differentiate between thermodynamic and thermokinetic products</v>
      </c>
      <c r="K228" s="10" t="str">
        <v>Predict basic physical properties for organic compounds</v>
      </c>
      <c r="L228" s="11">
        <v>0</v>
      </c>
      <c r="M228" s="11">
        <v>0</v>
      </c>
      <c r="N228" s="11">
        <v>0</v>
      </c>
      <c r="O228" s="10">
        <v>0</v>
      </c>
      <c r="P228" s="11">
        <v>0</v>
      </c>
      <c r="Q228" s="11">
        <v>0</v>
      </c>
      <c r="R228" s="12" t="b">
        <f t="shared" si="0"/>
        <v>1</v>
      </c>
      <c r="S228" s="12"/>
      <c r="T228" s="12" t="e">
        <f t="array" aca="1" ref="T228" ca="1">_xludf.IFNA(LOOKUP(2,1/(C228:Q228&lt;&gt;""),COLUMN(C228:Q228))-2,0)</f>
        <v>#NAME?</v>
      </c>
      <c r="U228" s="12">
        <f t="shared" si="1"/>
        <v>15</v>
      </c>
      <c r="V228" s="12" t="e">
        <f t="shared" ca="1" si="2"/>
        <v>#NAME?</v>
      </c>
    </row>
    <row r="229" spans="1:22" ht="12.75">
      <c r="A229" s="9" t="str">
        <v>NANOSC</v>
      </c>
      <c r="B229" s="9" t="str">
        <v>CHEM 211</v>
      </c>
      <c r="C229" s="10">
        <v>2020</v>
      </c>
      <c r="D229" s="10" t="str">
        <v>SPRING</v>
      </c>
      <c r="E229" s="10" t="str">
        <v>Work safely in chemistry laboratory</v>
      </c>
      <c r="F229" s="10" t="str">
        <v>Set chemical reactions under different reaction conditions</v>
      </c>
      <c r="G229" s="10" t="str">
        <v>Monitor the progress of chemical reactions</v>
      </c>
      <c r="H229" s="10" t="str">
        <v>Purify the desired product using chromatographic tools</v>
      </c>
      <c r="I229" s="10" t="str">
        <v>Identify chemical compounds using different characterization techniques</v>
      </c>
      <c r="J229" s="10" t="str">
        <v>Write a technical report</v>
      </c>
      <c r="K229" s="10" t="str">
        <v>Understand the basic concepts underneath chemical experiments</v>
      </c>
      <c r="L229" s="11">
        <v>0</v>
      </c>
      <c r="M229" s="11">
        <v>0</v>
      </c>
      <c r="N229" s="11">
        <v>0</v>
      </c>
      <c r="O229" s="10">
        <v>0</v>
      </c>
      <c r="P229" s="11">
        <v>0</v>
      </c>
      <c r="Q229" s="11">
        <v>0</v>
      </c>
      <c r="R229" s="12" t="b">
        <f t="shared" si="0"/>
        <v>1</v>
      </c>
      <c r="S229" s="12"/>
      <c r="T229" s="12" t="e">
        <f t="array" aca="1" ref="T229" ca="1">_xludf.IFNA(LOOKUP(2,1/(C229:Q229&lt;&gt;""),COLUMN(C229:Q229))-2,0)</f>
        <v>#NAME?</v>
      </c>
      <c r="U229" s="12">
        <f t="shared" si="1"/>
        <v>15</v>
      </c>
      <c r="V229" s="12" t="e">
        <f t="shared" ca="1" si="2"/>
        <v>#NAME?</v>
      </c>
    </row>
    <row r="230" spans="1:22" ht="12.75">
      <c r="A230" s="9" t="str">
        <v>NANOSC</v>
      </c>
      <c r="B230" s="9" t="str">
        <v>NANOSC 301</v>
      </c>
      <c r="C230" s="10">
        <v>2020</v>
      </c>
      <c r="D230" s="10" t="str">
        <v>SPRING</v>
      </c>
      <c r="E230" s="10" t="str">
        <v>Ability to identify necessary aspects of catalyzed reactions.</v>
      </c>
      <c r="F230" s="10" t="str">
        <v>Ability to derive kinetic expressions for various reactions.</v>
      </c>
      <c r="G230" s="10" t="str">
        <v>Ability to identify fundamental interactions governing</v>
      </c>
      <c r="H230" s="10" t="str">
        <v>Ability to select optimal analytical and characterization</v>
      </c>
      <c r="I230" s="10" t="str">
        <v>Ability to develop skills of linking basic concepts of</v>
      </c>
      <c r="J230" s="10">
        <v>0</v>
      </c>
      <c r="K230" s="10">
        <v>0</v>
      </c>
      <c r="L230" s="11">
        <v>0</v>
      </c>
      <c r="M230" s="11">
        <v>0</v>
      </c>
      <c r="N230" s="11">
        <v>0</v>
      </c>
      <c r="O230" s="10">
        <v>0</v>
      </c>
      <c r="P230" s="11">
        <v>0</v>
      </c>
      <c r="Q230" s="11">
        <v>0</v>
      </c>
      <c r="R230" s="12" t="b">
        <f t="shared" ca="1" si="0"/>
        <v>0</v>
      </c>
      <c r="S230" s="12"/>
      <c r="T230" s="12" t="e">
        <f t="array" aca="1" ref="T230" ca="1">_xludf.IFNA(LOOKUP(2,1/(C230:Q230&lt;&gt;""),COLUMN(C230:Q230))-2,0)</f>
        <v>#NAME?</v>
      </c>
      <c r="U230" s="12">
        <f t="shared" si="1"/>
        <v>15</v>
      </c>
      <c r="V230" s="12" t="e">
        <f t="shared" ca="1" si="2"/>
        <v>#NAME?</v>
      </c>
    </row>
    <row r="231" spans="1:22" ht="12.75">
      <c r="A231" s="9" t="str">
        <v>NANOSC</v>
      </c>
      <c r="B231" s="9" t="str">
        <v>NANOSC 302</v>
      </c>
      <c r="C231" s="10">
        <v>2020</v>
      </c>
      <c r="D231" s="10" t="str">
        <v>SPRING</v>
      </c>
      <c r="E231" s="10" t="str">
        <v>To introduce basic techniques for materials characterization</v>
      </c>
      <c r="F231" s="10" t="str">
        <v>To introduce the working principles and instrumentation of main techniques (such as AFM, TEM, SEM, and XRD).</v>
      </c>
      <c r="G231" s="10" t="str">
        <v>To demonstrate the readout of characterization techniques (Data interpretation).</v>
      </c>
      <c r="H231" s="10" t="str">
        <v>To practice microscopic images examinations.</v>
      </c>
      <c r="I231" s="10" t="str">
        <v>To study operations of characterization equipment.</v>
      </c>
      <c r="J231" s="10">
        <v>0</v>
      </c>
      <c r="K231" s="11">
        <v>0</v>
      </c>
      <c r="L231" s="11">
        <v>0</v>
      </c>
      <c r="M231" s="11">
        <v>0</v>
      </c>
      <c r="N231" s="10">
        <v>0</v>
      </c>
      <c r="O231" s="11">
        <v>0</v>
      </c>
      <c r="P231" s="11">
        <v>0</v>
      </c>
      <c r="Q231" s="12">
        <v>0</v>
      </c>
      <c r="R231" s="12"/>
      <c r="S231" s="12" t="e">
        <f t="array" aca="1" ref="S231" ca="1">_xludf.IFNA(LOOKUP(2,1/(C231:P231&lt;&gt;""),COLUMN(C231:P231))-2,0)</f>
        <v>#NAME?</v>
      </c>
      <c r="T231" s="12">
        <f>COUNTA(C231:P231)</f>
        <v>14</v>
      </c>
      <c r="U231" s="12" t="e">
        <f ca="1">NOT(OR(S231=0,S231=T231))</f>
        <v>#NAME?</v>
      </c>
    </row>
    <row r="232" spans="1:22" ht="12.75">
      <c r="A232" s="9" t="str">
        <v>NANOSC</v>
      </c>
      <c r="B232" s="9" t="str">
        <v>NANOSC 303</v>
      </c>
      <c r="C232" s="10">
        <v>2020</v>
      </c>
      <c r="D232" s="10" t="str">
        <v>SPRING</v>
      </c>
      <c r="E232" s="10" t="str">
        <v>Formulate and explain fundamental concepts of quantum mechanics; such as Schrodinger equation, the wave function and its statistical interpretation, the uncertainty principle, stationary and non-stationary states</v>
      </c>
      <c r="F232" s="10" t="str">
        <v>Calculate and describe the propagation of a particle in a one dimensional potential</v>
      </c>
      <c r="G232" s="10" t="str">
        <v>Solve Schrodinger`s equation to obtain eigenvectors and energies in one and three dimensions</v>
      </c>
      <c r="H232" s="10" t="str">
        <v>Explain the energy spectrum of both infinite and finite well, the harmonic oscillator, and the Hydrogen atom and know the form of the associated wave function</v>
      </c>
      <c r="I232" s="10" t="str">
        <v>Use the Schrodinger `s equation solutions to calculate associated probabilities, expectation values, and uncertainties, as well as give concise physical interpretations and reasoning underlying the mathematical results</v>
      </c>
      <c r="J232" s="10" t="str">
        <v>Understand how band structure emerges in one-dimensional periodic potentials</v>
      </c>
      <c r="K232" s="10" t="str">
        <v>Solve some quantum-mechanical problems using time independent perturbation theory</v>
      </c>
      <c r="L232" s="11" t="str">
        <v>Appreciate that quantum mechanics is not a collection of postulates and mathematical tricks, but it is actually is a physical theory of great mathematical beauty</v>
      </c>
      <c r="M232" s="11" t="str">
        <v>The student gains general experience with non-relativistic quantum mechanics that is useful for further studies in nanotechnology</v>
      </c>
      <c r="N232" s="11">
        <v>0</v>
      </c>
      <c r="O232" s="10">
        <v>0</v>
      </c>
      <c r="P232" s="11">
        <v>0</v>
      </c>
      <c r="Q232" s="11">
        <v>0</v>
      </c>
      <c r="R232" s="12" t="b">
        <f t="shared" ref="R232:R311" si="3">NOT(ISNA(VLOOKUP(B232,S:S,1,0)))</f>
        <v>1</v>
      </c>
      <c r="S232" s="12"/>
      <c r="T232" s="12" t="e">
        <f t="array" aca="1" ref="T232" ca="1">_xludf.IFNA(LOOKUP(2,1/(C232:Q232&lt;&gt;""),COLUMN(C232:Q232))-2,0)</f>
        <v>#NAME?</v>
      </c>
      <c r="U232" s="12">
        <f t="shared" ref="U232:U311" si="4">COUNTA(C232:Q232)</f>
        <v>15</v>
      </c>
      <c r="V232" s="12" t="e">
        <f t="shared" ref="V232:V311" ca="1" si="5">NOT(OR(T232=0,T232=U232))</f>
        <v>#NAME?</v>
      </c>
    </row>
    <row r="233" spans="1:22" ht="12.75">
      <c r="A233" s="9" t="str">
        <v>NANOSC</v>
      </c>
      <c r="B233" s="9" t="str">
        <v>NANOSC 305</v>
      </c>
      <c r="C233" s="10">
        <v>2020</v>
      </c>
      <c r="D233" s="10" t="str">
        <v>SPRING</v>
      </c>
      <c r="E233" s="10" t="str">
        <v>Understand the principles of Synthesis &amp; Fabrication of Nanomaterials</v>
      </c>
      <c r="F233" s="10" t="str">
        <v>Demonstrate an understanding of fundamental concepts of nanomaterials and the ability to apply these concepts to everyday life</v>
      </c>
      <c r="G233" s="10" t="str">
        <v>Understand basic concepts and integrating their knowledge in various disciplines of nanomaterials.</v>
      </c>
      <c r="H233" s="10" t="str">
        <v>Develop positive attitudes towards seeking facts and scientific research.</v>
      </c>
      <c r="I233" s="10" t="str">
        <v>Develop learning skills using experimental tools in Synthesis &amp; Fabrication of Nanomaterials lab</v>
      </c>
      <c r="J233" s="10" t="str">
        <v>Gain familiarity with scientific &amp; quantitative methods of thinking</v>
      </c>
      <c r="K233" s="10">
        <v>0</v>
      </c>
      <c r="L233" s="11">
        <v>0</v>
      </c>
      <c r="M233" s="11">
        <v>0</v>
      </c>
      <c r="N233" s="11">
        <v>0</v>
      </c>
      <c r="O233" s="10">
        <v>0</v>
      </c>
      <c r="P233" s="11">
        <v>0</v>
      </c>
      <c r="Q233" s="11">
        <v>0</v>
      </c>
      <c r="R233" s="12" t="b">
        <f t="shared" si="3"/>
        <v>1</v>
      </c>
      <c r="S233" s="12"/>
      <c r="T233" s="12" t="e">
        <f t="array" aca="1" ref="T233" ca="1">_xludf.IFNA(LOOKUP(2,1/(C233:Q233&lt;&gt;""),COLUMN(C233:Q233))-2,0)</f>
        <v>#NAME?</v>
      </c>
      <c r="U233" s="12">
        <f t="shared" si="4"/>
        <v>15</v>
      </c>
      <c r="V233" s="12" t="e">
        <f t="shared" ca="1" si="5"/>
        <v>#NAME?</v>
      </c>
    </row>
    <row r="234" spans="1:22" ht="12.75">
      <c r="A234" s="9" t="str">
        <v>NANOSC</v>
      </c>
      <c r="B234" s="9" t="str">
        <v>NANOSC 306</v>
      </c>
      <c r="C234" s="10">
        <v>2020</v>
      </c>
      <c r="D234" s="10" t="str">
        <v>SPRING</v>
      </c>
      <c r="E234" s="10" t="str">
        <v>Define and discuss the concepts of microstate and macrostate of a model system</v>
      </c>
      <c r="F234" s="10" t="str">
        <v>Define and discuss the concepts and roles of entropy and free energy from the view point of statistical mechanics</v>
      </c>
      <c r="G234" s="10" t="str">
        <v>Derive and define the Boltzmann distribution and the role of partition function</v>
      </c>
      <c r="H234" s="10" t="str">
        <v>Apply the machinery of statistical mechanics to the calculation of macroscopic properties resulting from microscopic properties models of magnetic and crystalline systems</v>
      </c>
      <c r="I234" s="10" t="str">
        <v>Explain the concept and role of indistinguishability in the theory of gases</v>
      </c>
      <c r="J234" s="10" t="str">
        <v>Derive and discuss the Fermi-Dirac and Bose-Einstein distributions, state when they are applicable and when they reduce to the Boltzmann distribution</v>
      </c>
      <c r="K234" s="10" t="str">
        <v>Apply the Fermi-Dirac distribution to the calculation of thermal properties of electrons in metals</v>
      </c>
      <c r="L234" s="11" t="str">
        <v>Apply the Bose-Einstein distribution to the calculation of properties of black body radiation</v>
      </c>
      <c r="M234" s="11" t="str">
        <v>Use knowledge from probability theory and quantum mechanics to calculate the relevant partition function for a given system model</v>
      </c>
      <c r="N234" s="11" t="str">
        <v>Calculate the contribution of free electrons in metals to the bulk modulus and to the heat capacity</v>
      </c>
      <c r="O234" s="10" t="str">
        <v>Understand the strength and limitations of the models used</v>
      </c>
      <c r="P234" s="11">
        <v>0</v>
      </c>
      <c r="Q234" s="11">
        <v>0</v>
      </c>
      <c r="R234" s="12" t="b">
        <f t="shared" si="3"/>
        <v>1</v>
      </c>
      <c r="S234" s="12"/>
      <c r="T234" s="12" t="e">
        <f t="array" aca="1" ref="T234" ca="1">_xludf.IFNA(LOOKUP(2,1/(C234:Q234&lt;&gt;""),COLUMN(C234:Q234))-2,0)</f>
        <v>#NAME?</v>
      </c>
      <c r="U234" s="12">
        <f t="shared" si="4"/>
        <v>15</v>
      </c>
      <c r="V234" s="12" t="e">
        <f t="shared" ca="1" si="5"/>
        <v>#NAME?</v>
      </c>
    </row>
    <row r="235" spans="1:22" ht="12.75">
      <c r="A235" s="9" t="str">
        <v>NANOSC</v>
      </c>
      <c r="B235" s="9" t="str">
        <v>NANOSC 307</v>
      </c>
      <c r="C235" s="10">
        <v>2020</v>
      </c>
      <c r="D235" s="10" t="str">
        <v>SPRING</v>
      </c>
      <c r="E235" s="10" t="str">
        <v>To identify the core research facilities in Nano science field and the other research centers in Zewail city</v>
      </c>
      <c r="F235" s="10" t="str">
        <v>To understand the integration of science and the collaboration between different research fields in the same project.</v>
      </c>
      <c r="G235" s="10" t="str">
        <v>Having comprehensive tutorials in the core devices and main research protocol in each research center in zewail city.</v>
      </c>
      <c r="H235" s="10" t="str">
        <v>Learning how to link between research and industry by performing and observing certain experiments in the lab.</v>
      </c>
      <c r="I235" s="10" t="str">
        <v>Earning a team work skill.</v>
      </c>
      <c r="J235" s="10" t="str">
        <v>Interacting positively in the course by performing a final presentation and submitting a final report.</v>
      </c>
      <c r="K235" s="10">
        <v>0</v>
      </c>
      <c r="L235" s="11">
        <v>0</v>
      </c>
      <c r="M235" s="11">
        <v>0</v>
      </c>
      <c r="N235" s="11">
        <v>0</v>
      </c>
      <c r="O235" s="10">
        <v>0</v>
      </c>
      <c r="P235" s="11">
        <v>0</v>
      </c>
      <c r="Q235" s="11">
        <v>0</v>
      </c>
      <c r="R235" s="12" t="b">
        <f t="shared" ca="1" si="3"/>
        <v>0</v>
      </c>
      <c r="S235" s="12"/>
      <c r="T235" s="12" t="e">
        <f t="array" aca="1" ref="T235" ca="1">_xludf.IFNA(LOOKUP(2,1/(C235:Q235&lt;&gt;""),COLUMN(C235:Q235))-2,0)</f>
        <v>#NAME?</v>
      </c>
      <c r="U235" s="12">
        <f t="shared" si="4"/>
        <v>15</v>
      </c>
      <c r="V235" s="12" t="e">
        <f t="shared" ca="1" si="5"/>
        <v>#NAME?</v>
      </c>
    </row>
    <row r="236" spans="1:22" ht="12.75">
      <c r="A236" s="9" t="str">
        <v>NANOSC</v>
      </c>
      <c r="B236" s="9" t="str">
        <v>NANOSC 308</v>
      </c>
      <c r="C236" s="10">
        <v>2020</v>
      </c>
      <c r="D236" s="10" t="str">
        <v>SPRING</v>
      </c>
      <c r="E236" s="10" t="str">
        <v>Not offered this semester</v>
      </c>
      <c r="F236" s="10">
        <v>0</v>
      </c>
      <c r="G236" s="10">
        <v>0</v>
      </c>
      <c r="H236" s="10">
        <v>0</v>
      </c>
      <c r="I236" s="10">
        <v>0</v>
      </c>
      <c r="J236" s="10">
        <v>0</v>
      </c>
      <c r="K236" s="10">
        <v>0</v>
      </c>
      <c r="L236" s="11">
        <v>0</v>
      </c>
      <c r="M236" s="11">
        <v>0</v>
      </c>
      <c r="N236" s="11">
        <v>0</v>
      </c>
      <c r="O236" s="10">
        <v>0</v>
      </c>
      <c r="P236" s="11">
        <v>0</v>
      </c>
      <c r="Q236" s="11">
        <v>0</v>
      </c>
      <c r="R236" s="12" t="b">
        <f t="shared" ca="1" si="3"/>
        <v>0</v>
      </c>
      <c r="S236" s="12"/>
      <c r="T236" s="12" t="e">
        <f t="array" aca="1" ref="T236" ca="1">_xludf.IFNA(LOOKUP(2,1/(C236:Q236&lt;&gt;""),COLUMN(C236:Q236))-2,0)</f>
        <v>#NAME?</v>
      </c>
      <c r="U236" s="12">
        <f t="shared" si="4"/>
        <v>15</v>
      </c>
      <c r="V236" s="12" t="e">
        <f t="shared" ca="1" si="5"/>
        <v>#NAME?</v>
      </c>
    </row>
    <row r="237" spans="1:22" ht="12.75">
      <c r="A237" s="9" t="str">
        <v>NANOSC</v>
      </c>
      <c r="B237" s="9" t="str">
        <v>NANOSC 312</v>
      </c>
      <c r="C237" s="17">
        <v>2020</v>
      </c>
      <c r="D237" s="17" t="str">
        <v>SPRING</v>
      </c>
      <c r="E237" s="17" t="str">
        <v>To practice the working principles and instrumentation of main techniques (such as AFM, TEM, SEM, and XRD).</v>
      </c>
      <c r="F237" s="17" t="str">
        <v>To introduce the interpretation of the characterization technique outputs (Data interpretation)</v>
      </c>
      <c r="G237" s="10" t="str">
        <v>To practice the electron microscopic images examinations</v>
      </c>
      <c r="H237" s="10" t="str">
        <v>To study operations of electrochemical characterization equipments</v>
      </c>
      <c r="I237" s="10">
        <v>0</v>
      </c>
      <c r="J237" s="10">
        <v>0</v>
      </c>
      <c r="K237" s="10">
        <v>0</v>
      </c>
      <c r="L237" s="11">
        <v>0</v>
      </c>
      <c r="M237" s="11">
        <v>0</v>
      </c>
      <c r="N237" s="11">
        <v>0</v>
      </c>
      <c r="O237" s="10">
        <v>0</v>
      </c>
      <c r="P237" s="11">
        <v>0</v>
      </c>
      <c r="Q237" s="11">
        <v>0</v>
      </c>
      <c r="R237" s="12" t="b">
        <f t="shared" si="3"/>
        <v>1</v>
      </c>
      <c r="S237" s="12"/>
      <c r="T237" s="12" t="e">
        <f t="array" aca="1" ref="T237" ca="1">_xludf.IFNA(LOOKUP(2,1/(C237:Q237&lt;&gt;""),COLUMN(C237:Q237))-2,0)</f>
        <v>#NAME?</v>
      </c>
      <c r="U237" s="12">
        <f t="shared" si="4"/>
        <v>15</v>
      </c>
      <c r="V237" s="12" t="e">
        <f t="shared" ca="1" si="5"/>
        <v>#NAME?</v>
      </c>
    </row>
    <row r="238" spans="1:22" ht="12.75">
      <c r="A238" s="9" t="str">
        <v>NANOSC</v>
      </c>
      <c r="B238" s="9" t="str">
        <v>NANOSC 315</v>
      </c>
      <c r="C238" s="17">
        <v>2020</v>
      </c>
      <c r="D238" s="17" t="str">
        <v>SPRING</v>
      </c>
      <c r="E238" s="17" t="str">
        <v>Gain the skills required for Synthesis &amp; Fabrication of Nanomaterials.</v>
      </c>
      <c r="F238" s="17" t="str">
        <v>Understand the basic concepts of nanomaterials fabrication.</v>
      </c>
      <c r="G238" s="17" t="str">
        <v>Understand basic concepts and integrating their knowledge in various disciplines of nanomaterials.</v>
      </c>
      <c r="H238" s="17" t="str">
        <v>Develop positive attitudes towards seeking facts and scientific research.</v>
      </c>
      <c r="I238" s="10" t="str">
        <v>Develop learning skills using experimental tools in Synthesis &amp; Fabrication of Nanomaterials lab</v>
      </c>
      <c r="J238" s="10" t="str">
        <v>Gain familiarity with scientific &amp; quantitative methods of thinking</v>
      </c>
      <c r="K238" s="10">
        <v>0</v>
      </c>
      <c r="L238" s="11">
        <v>0</v>
      </c>
      <c r="M238" s="11">
        <v>0</v>
      </c>
      <c r="N238" s="11">
        <v>0</v>
      </c>
      <c r="O238" s="10">
        <v>0</v>
      </c>
      <c r="P238" s="11">
        <v>0</v>
      </c>
      <c r="Q238" s="11">
        <v>0</v>
      </c>
      <c r="R238" s="12" t="b">
        <f t="shared" si="3"/>
        <v>1</v>
      </c>
      <c r="S238" s="12"/>
      <c r="T238" s="12" t="e">
        <f t="array" aca="1" ref="T238" ca="1">_xludf.IFNA(LOOKUP(2,1/(C238:Q238&lt;&gt;""),COLUMN(C238:Q238))-2,0)</f>
        <v>#NAME?</v>
      </c>
      <c r="U238" s="12">
        <f t="shared" si="4"/>
        <v>15</v>
      </c>
      <c r="V238" s="12" t="e">
        <f t="shared" ca="1" si="5"/>
        <v>#NAME?</v>
      </c>
    </row>
    <row r="239" spans="1:22" ht="12.75">
      <c r="A239" s="9" t="str">
        <v>NANOSC</v>
      </c>
      <c r="B239" s="9" t="str">
        <v>NANOSC 401</v>
      </c>
      <c r="C239" s="10">
        <v>2020</v>
      </c>
      <c r="D239" s="10" t="str">
        <v>SPRING</v>
      </c>
      <c r="E239" s="10">
        <v>0</v>
      </c>
      <c r="F239" s="10">
        <v>0</v>
      </c>
      <c r="G239" s="10">
        <v>0</v>
      </c>
      <c r="H239" s="10">
        <v>0</v>
      </c>
      <c r="I239" s="10">
        <v>0</v>
      </c>
      <c r="J239" s="10">
        <v>0</v>
      </c>
      <c r="K239" s="10">
        <v>0</v>
      </c>
      <c r="L239" s="11">
        <v>0</v>
      </c>
      <c r="M239" s="11">
        <v>0</v>
      </c>
      <c r="N239" s="11">
        <v>0</v>
      </c>
      <c r="O239" s="10">
        <v>0</v>
      </c>
      <c r="P239" s="11">
        <v>0</v>
      </c>
      <c r="Q239" s="11">
        <v>0</v>
      </c>
      <c r="R239" s="12" t="b">
        <f t="shared" si="3"/>
        <v>1</v>
      </c>
      <c r="S239" s="12"/>
      <c r="T239" s="12" t="e">
        <f t="array" aca="1" ref="T239" ca="1">_xludf.IFNA(LOOKUP(2,1/(C239:Q239&lt;&gt;""),COLUMN(C239:Q239))-2,0)</f>
        <v>#NAME?</v>
      </c>
      <c r="U239" s="12">
        <f t="shared" si="4"/>
        <v>15</v>
      </c>
      <c r="V239" s="12" t="e">
        <f t="shared" ca="1" si="5"/>
        <v>#NAME?</v>
      </c>
    </row>
    <row r="240" spans="1:22" ht="12.75">
      <c r="A240" s="9" t="str">
        <v>NANOSC</v>
      </c>
      <c r="B240" s="9" t="str">
        <v>NANOSC 403</v>
      </c>
      <c r="C240" s="10">
        <v>2020</v>
      </c>
      <c r="D240" s="10" t="str">
        <v>SPRING</v>
      </c>
      <c r="E240" s="10" t="str">
        <v>Understand the principles of Nanomedicine and the importance of nanomaterials in biomedical applications</v>
      </c>
      <c r="F240" s="10" t="str">
        <v>Demonstrate an understanding of fundamental concepts of nanomaterials and the ability to apply these concepts to everyday life</v>
      </c>
      <c r="G240" s="10" t="str">
        <v>Understand basic concepts and integrating their knowledge in various disciplines of nanomedicine</v>
      </c>
      <c r="H240" s="10" t="str">
        <v>Develop positive attitudes towards seeking facts and scientific research</v>
      </c>
      <c r="I240" s="10" t="str">
        <v>Gain familiarity with scientific &amp; quantitative methods of thinking</v>
      </c>
      <c r="J240" s="10">
        <v>0</v>
      </c>
      <c r="K240" s="10">
        <v>0</v>
      </c>
      <c r="L240" s="11">
        <v>0</v>
      </c>
      <c r="M240" s="11">
        <v>0</v>
      </c>
      <c r="N240" s="11">
        <v>0</v>
      </c>
      <c r="O240" s="10">
        <v>0</v>
      </c>
      <c r="P240" s="11">
        <v>0</v>
      </c>
      <c r="Q240" s="11">
        <v>0</v>
      </c>
      <c r="R240" s="12" t="b">
        <f t="shared" si="3"/>
        <v>1</v>
      </c>
      <c r="S240" s="12"/>
      <c r="T240" s="12" t="e">
        <f t="array" aca="1" ref="T240" ca="1">_xludf.IFNA(LOOKUP(2,1/(C240:Q240&lt;&gt;""),COLUMN(C240:Q240))-2,0)</f>
        <v>#NAME?</v>
      </c>
      <c r="U240" s="12">
        <f t="shared" si="4"/>
        <v>15</v>
      </c>
      <c r="V240" s="12" t="e">
        <f t="shared" ca="1" si="5"/>
        <v>#NAME?</v>
      </c>
    </row>
    <row r="241" spans="1:22" ht="12.75">
      <c r="A241" s="9" t="str">
        <v>NANOSC</v>
      </c>
      <c r="B241" s="9" t="str">
        <v>NANOSC 405</v>
      </c>
      <c r="C241" s="10">
        <v>2020</v>
      </c>
      <c r="D241" s="10" t="str">
        <v>SPRING</v>
      </c>
      <c r="E241" s="10" t="str">
        <v>Define the interactions between the nanoproduct and internal environment of the body</v>
      </c>
      <c r="F241" s="10" t="str">
        <v>Define nanoproduct characteristics, such as the physicochemical parameters and polydispersity of nanoproducts, their disposition within the body, and the penetration barriers set up by the body itself</v>
      </c>
      <c r="G241" s="10" t="str">
        <v>Differentiate between administration and disposition of nanoproducts within the body in comparison to conventional products in terms of kinetic phases (liberation, absorption distribution, metabolism, and excretion) and param¬eters (bioavailability, volume of distribution, and elimination)</v>
      </c>
      <c r="H241" s="10" t="str">
        <v>Discover and Analyze the practical application, disposition, and toxicology of nanoproducts absorbed via the respiratory and olfactory routes</v>
      </c>
      <c r="I241" s="10" t="str">
        <v>Discover and Analyze the practical application, disposition, and tox¬icology of nanoproducts (i.e., nanomedicines, nanofoods, nanonutriceuticals, and nanodevices employed for food packaging) that are administered via the buccal route and by ingestion</v>
      </c>
      <c r="J241" s="10" t="str">
        <v>Discover and Analyze the practical application, disposition, and toxicology of organic and inorganic nanomaterials, nano¬cosmetics, and nanomedicines that are exposed to the body via the integu¬mentary system and the ocular route</v>
      </c>
      <c r="K241" s="10" t="str">
        <v>Discover and Analyze the administration and dis¬tribution of nanoproducts, especially nanomedicines, via the systemic route</v>
      </c>
      <c r="L241" s="11" t="str">
        <v>Define the toxicology of nanotechnology-based products in terms of a specific “nano-unique” concept that encompasses toxicology principles on the nanoscale and descriptive toxicity testing of nanoproducts</v>
      </c>
      <c r="M241" s="11" t="str">
        <v>Be able to Design an effective nanoproduct for different applications</v>
      </c>
      <c r="N241" s="11">
        <v>0</v>
      </c>
      <c r="O241" s="10">
        <v>0</v>
      </c>
      <c r="P241" s="11">
        <v>0</v>
      </c>
      <c r="Q241" s="11">
        <v>0</v>
      </c>
      <c r="R241" s="12" t="b">
        <f t="shared" si="3"/>
        <v>1</v>
      </c>
      <c r="S241" s="12"/>
      <c r="T241" s="12" t="e">
        <f t="array" aca="1" ref="T241" ca="1">_xludf.IFNA(LOOKUP(2,1/(C241:Q241&lt;&gt;""),COLUMN(C241:Q241))-2,0)</f>
        <v>#NAME?</v>
      </c>
      <c r="U241" s="12">
        <f t="shared" si="4"/>
        <v>15</v>
      </c>
      <c r="V241" s="12" t="e">
        <f t="shared" ca="1" si="5"/>
        <v>#NAME?</v>
      </c>
    </row>
    <row r="242" spans="1:22" ht="12.75">
      <c r="A242" s="9" t="str">
        <v>NANOSC</v>
      </c>
      <c r="B242" s="9" t="str">
        <v>NANOSC 406</v>
      </c>
      <c r="C242" s="10">
        <v>2020</v>
      </c>
      <c r="D242" s="10" t="str">
        <v>SPRING</v>
      </c>
      <c r="E242" s="10">
        <v>0</v>
      </c>
      <c r="F242" s="10">
        <v>0</v>
      </c>
      <c r="G242" s="10">
        <v>0</v>
      </c>
      <c r="H242" s="10">
        <v>0</v>
      </c>
      <c r="I242" s="10">
        <v>0</v>
      </c>
      <c r="J242" s="10">
        <v>0</v>
      </c>
      <c r="K242" s="10">
        <v>0</v>
      </c>
      <c r="L242" s="11">
        <v>0</v>
      </c>
      <c r="M242" s="11">
        <v>0</v>
      </c>
      <c r="N242" s="11">
        <v>0</v>
      </c>
      <c r="O242" s="10">
        <v>0</v>
      </c>
      <c r="P242" s="11">
        <v>0</v>
      </c>
      <c r="Q242" s="11">
        <v>0</v>
      </c>
      <c r="R242" s="12" t="b">
        <f t="shared" ca="1" si="3"/>
        <v>0</v>
      </c>
      <c r="S242" s="12"/>
      <c r="T242" s="12" t="e">
        <f t="array" aca="1" ref="T242" ca="1">_xludf.IFNA(LOOKUP(2,1/(C242:Q242&lt;&gt;""),COLUMN(C242:Q242))-2,0)</f>
        <v>#NAME?</v>
      </c>
      <c r="U242" s="12">
        <f t="shared" si="4"/>
        <v>15</v>
      </c>
      <c r="V242" s="12" t="e">
        <f t="shared" ca="1" si="5"/>
        <v>#NAME?</v>
      </c>
    </row>
    <row r="243" spans="1:22" ht="12.75">
      <c r="A243" s="9" t="str">
        <v>NANOSC</v>
      </c>
      <c r="B243" s="9" t="str">
        <v>NANOSC 413</v>
      </c>
      <c r="C243" s="10">
        <v>2020</v>
      </c>
      <c r="D243" s="10" t="str">
        <v>SPRING</v>
      </c>
      <c r="E243" s="10">
        <v>0</v>
      </c>
      <c r="F243" s="10">
        <v>0</v>
      </c>
      <c r="G243" s="10">
        <v>0</v>
      </c>
      <c r="H243" s="10">
        <v>0</v>
      </c>
      <c r="I243" s="10">
        <v>0</v>
      </c>
      <c r="J243" s="10">
        <v>0</v>
      </c>
      <c r="K243" s="10">
        <v>0</v>
      </c>
      <c r="L243" s="11">
        <v>0</v>
      </c>
      <c r="M243" s="11">
        <v>0</v>
      </c>
      <c r="N243" s="11">
        <v>0</v>
      </c>
      <c r="O243" s="10">
        <v>0</v>
      </c>
      <c r="P243" s="11">
        <v>0</v>
      </c>
      <c r="Q243" s="11">
        <v>0</v>
      </c>
      <c r="R243" s="12" t="b">
        <f t="shared" si="3"/>
        <v>1</v>
      </c>
      <c r="S243" s="12"/>
      <c r="T243" s="12" t="e">
        <f t="array" aca="1" ref="T243" ca="1">_xludf.IFNA(LOOKUP(2,1/(C243:Q243&lt;&gt;""),COLUMN(C243:Q243))-2,0)</f>
        <v>#NAME?</v>
      </c>
      <c r="U243" s="12">
        <f t="shared" si="4"/>
        <v>15</v>
      </c>
      <c r="V243" s="12" t="e">
        <f t="shared" ca="1" si="5"/>
        <v>#NAME?</v>
      </c>
    </row>
    <row r="244" spans="1:22" ht="12.75">
      <c r="A244" s="9" t="str">
        <v>NANOSC</v>
      </c>
      <c r="B244" s="9" t="str">
        <v>NANOSC 415</v>
      </c>
      <c r="C244" s="10">
        <v>2020</v>
      </c>
      <c r="D244" s="10" t="str">
        <v>SPRING</v>
      </c>
      <c r="E244" s="10" t="str">
        <v>Recall the basic models to describe the band structure of solids.</v>
      </c>
      <c r="F244" s="10" t="str">
        <v>Classify the different magnetic properties of solids.</v>
      </c>
      <c r="G244" s="10" t="str">
        <v>Apply new theoretical models to evaluate the band structure of Nanomaterials.</v>
      </c>
      <c r="H244" s="10" t="str">
        <v>Distinguish the differences between the various types of Nanomaterials with respect to their confined dimensions.</v>
      </c>
      <c r="I244" s="10" t="str">
        <v>Discuss the role of tunneling and charging phenomena in Nanomaterials.</v>
      </c>
      <c r="J244" s="10" t="str">
        <v>Distinguish the spin transport and spin polarized currents from the normal electronic currents and their possible applications therefor.</v>
      </c>
      <c r="K244" s="10" t="str">
        <v>Determine the role of the Nanomaterials unique properties to the modern research and technology.</v>
      </c>
      <c r="L244" s="11" t="str">
        <v>Write and Present a selected new scientific topic related to the course and defends it using their understanding of the course subjects.</v>
      </c>
      <c r="M244" s="11">
        <v>0</v>
      </c>
      <c r="N244" s="11">
        <v>0</v>
      </c>
      <c r="O244" s="10">
        <v>0</v>
      </c>
      <c r="P244" s="11">
        <v>0</v>
      </c>
      <c r="Q244" s="11">
        <v>0</v>
      </c>
      <c r="R244" s="12" t="b">
        <f t="shared" si="3"/>
        <v>1</v>
      </c>
      <c r="S244" s="12"/>
      <c r="T244" s="12" t="e">
        <f t="array" aca="1" ref="T244" ca="1">_xludf.IFNA(LOOKUP(2,1/(C244:Q244&lt;&gt;""),COLUMN(C244:Q244))-2,0)</f>
        <v>#NAME?</v>
      </c>
      <c r="U244" s="12">
        <f t="shared" si="4"/>
        <v>15</v>
      </c>
      <c r="V244" s="12" t="e">
        <f t="shared" ca="1" si="5"/>
        <v>#NAME?</v>
      </c>
    </row>
    <row r="245" spans="1:22" ht="12.75">
      <c r="A245" s="9" t="str">
        <v>NANOSC</v>
      </c>
      <c r="B245" s="9" t="str">
        <v>NANOSC 416</v>
      </c>
      <c r="C245" s="10">
        <v>2020</v>
      </c>
      <c r="D245" s="10" t="str">
        <v>SPRING</v>
      </c>
      <c r="E245" s="10">
        <v>0</v>
      </c>
      <c r="F245" s="10">
        <v>0</v>
      </c>
      <c r="G245" s="10">
        <v>0</v>
      </c>
      <c r="H245" s="10">
        <v>0</v>
      </c>
      <c r="I245" s="10">
        <v>0</v>
      </c>
      <c r="J245" s="10">
        <v>0</v>
      </c>
      <c r="K245" s="10">
        <v>0</v>
      </c>
      <c r="L245" s="11">
        <v>0</v>
      </c>
      <c r="M245" s="11">
        <v>0</v>
      </c>
      <c r="N245" s="11">
        <v>0</v>
      </c>
      <c r="O245" s="10">
        <v>0</v>
      </c>
      <c r="P245" s="11">
        <v>0</v>
      </c>
      <c r="Q245" s="11">
        <v>0</v>
      </c>
      <c r="R245" s="12" t="b">
        <f t="shared" ca="1" si="3"/>
        <v>0</v>
      </c>
      <c r="S245" s="12"/>
      <c r="T245" s="12" t="e">
        <f t="array" aca="1" ref="T245" ca="1">_xludf.IFNA(LOOKUP(2,1/(C245:Q245&lt;&gt;""),COLUMN(C245:Q245))-2,0)</f>
        <v>#NAME?</v>
      </c>
      <c r="U245" s="12">
        <f t="shared" si="4"/>
        <v>15</v>
      </c>
      <c r="V245" s="12" t="e">
        <f t="shared" ca="1" si="5"/>
        <v>#NAME?</v>
      </c>
    </row>
    <row r="246" spans="1:22" ht="12.75">
      <c r="A246" s="9" t="str">
        <v>NANOSC</v>
      </c>
      <c r="B246" s="9" t="str">
        <v>NANOSC 417</v>
      </c>
      <c r="C246" s="10">
        <v>2020</v>
      </c>
      <c r="D246" s="10" t="str">
        <v>SPRING</v>
      </c>
      <c r="E246" s="10">
        <v>0</v>
      </c>
      <c r="F246" s="10">
        <v>0</v>
      </c>
      <c r="G246" s="10">
        <v>0</v>
      </c>
      <c r="H246" s="10">
        <v>0</v>
      </c>
      <c r="I246" s="10">
        <v>0</v>
      </c>
      <c r="J246" s="10">
        <v>0</v>
      </c>
      <c r="K246" s="10">
        <v>0</v>
      </c>
      <c r="L246" s="11">
        <v>0</v>
      </c>
      <c r="M246" s="11">
        <v>0</v>
      </c>
      <c r="N246" s="11">
        <v>0</v>
      </c>
      <c r="O246" s="10">
        <v>0</v>
      </c>
      <c r="P246" s="11">
        <v>0</v>
      </c>
      <c r="Q246" s="11">
        <v>0</v>
      </c>
      <c r="R246" s="12" t="b">
        <f t="shared" si="3"/>
        <v>1</v>
      </c>
      <c r="S246" s="12"/>
      <c r="T246" s="12" t="e">
        <f t="array" aca="1" ref="T246" ca="1">_xludf.IFNA(LOOKUP(2,1/(C246:Q246&lt;&gt;""),COLUMN(C246:Q246))-2,0)</f>
        <v>#NAME?</v>
      </c>
      <c r="U246" s="12">
        <f t="shared" si="4"/>
        <v>15</v>
      </c>
      <c r="V246" s="12" t="e">
        <f t="shared" ca="1" si="5"/>
        <v>#NAME?</v>
      </c>
    </row>
    <row r="247" spans="1:22" ht="12.75">
      <c r="A247" s="9" t="str">
        <v>NANOSC</v>
      </c>
      <c r="B247" s="9" t="str">
        <v>NANOSC 499</v>
      </c>
      <c r="C247" s="10">
        <v>2020</v>
      </c>
      <c r="D247" s="10" t="str">
        <v>SPRING</v>
      </c>
      <c r="E247" s="10" t="str">
        <v>Learning how to search for specific research problem, making a literature survey.</v>
      </c>
      <c r="F247" s="10" t="str">
        <v>Introducing a research proposal which contains novel research value.</v>
      </c>
      <c r="G247" s="10" t="str">
        <v>Performing experimental part in the lab</v>
      </c>
      <c r="H247" s="10" t="str">
        <v>Learning the required research soft skills.</v>
      </c>
      <c r="I247" s="10" t="str">
        <v>Learning the research ethics and guidelines</v>
      </c>
      <c r="J247" s="10" t="str">
        <v>Reporting and discussing the project data in a final thesis</v>
      </c>
      <c r="K247" s="10" t="str">
        <v>Presenting and showing the work progress and final results</v>
      </c>
      <c r="L247" s="11">
        <v>0</v>
      </c>
      <c r="M247" s="11">
        <v>0</v>
      </c>
      <c r="N247" s="11">
        <v>0</v>
      </c>
      <c r="O247" s="10">
        <v>0</v>
      </c>
      <c r="P247" s="11">
        <v>0</v>
      </c>
      <c r="Q247" s="11">
        <v>0</v>
      </c>
      <c r="R247" s="12" t="b">
        <f t="shared" si="3"/>
        <v>1</v>
      </c>
      <c r="S247" s="12"/>
      <c r="T247" s="12" t="e">
        <f t="array" aca="1" ref="T247" ca="1">_xludf.IFNA(LOOKUP(2,1/(C247:Q247&lt;&gt;""),COLUMN(C247:Q247))-2,0)</f>
        <v>#NAME?</v>
      </c>
      <c r="U247" s="12">
        <f t="shared" si="4"/>
        <v>15</v>
      </c>
      <c r="V247" s="12" t="e">
        <f t="shared" ca="1" si="5"/>
        <v>#NAME?</v>
      </c>
    </row>
    <row r="248" spans="1:22" ht="12.75">
      <c r="A248" s="9" t="str">
        <v>PEU</v>
      </c>
      <c r="B248" s="9" t="str">
        <v>PEU 204</v>
      </c>
      <c r="C248" s="10">
        <v>2020</v>
      </c>
      <c r="D248" s="10" t="str">
        <v>SPRING</v>
      </c>
      <c r="E248" s="10" t="str">
        <v>To know about different oscillation types, and natural frequency and driven oscillations.</v>
      </c>
      <c r="F248" s="10" t="str">
        <v>To apply Newton’s 2nd and 3rd laws and the conservation laws of linear and angular momenta.</v>
      </c>
      <c r="G248" s="10" t="str">
        <v>To calculate potential and energy and their relationship with conservative forces.</v>
      </c>
      <c r="H248" s="10" t="str">
        <v>to interpret different mechanical constraints: Rheonomic, Scleronomic, Holonomic, and Non-Holonomic.</v>
      </c>
      <c r="I248" s="10" t="str">
        <v>to apply the D’Almpert principle and the Lagrangian to write down the equations of motion.</v>
      </c>
      <c r="J248" s="10" t="str">
        <v>to use variational calculus and the Lagrange multiplier to solve some types of non-holonomic constraints.</v>
      </c>
      <c r="K248" s="10" t="str">
        <v>To obtain the response of a mechanical system, under small amplitude oscillation approximation, to different excitations.</v>
      </c>
      <c r="L248" s="11" t="str">
        <v>To reduce motion in a central force to a one-dimensional problem, using constants of motion.</v>
      </c>
      <c r="M248" s="11" t="str">
        <v>To describe mathematically the motion in a non-inertial frame, and use that to study the motion of rigid body.</v>
      </c>
      <c r="N248" s="11" t="str">
        <v>To describe the motion in the Hamiltonian form and find the different constants of motion.</v>
      </c>
      <c r="O248" s="10" t="str">
        <v>to interpret the Lagrange equations as an extremum to the action integral using Euler variational principle.</v>
      </c>
      <c r="P248" s="11">
        <v>0</v>
      </c>
      <c r="Q248" s="11">
        <v>0</v>
      </c>
      <c r="R248" s="12" t="b">
        <f t="shared" ca="1" si="3"/>
        <v>0</v>
      </c>
      <c r="S248" s="12"/>
      <c r="T248" s="12" t="e">
        <f t="array" aca="1" ref="T248" ca="1">_xludf.IFNA(LOOKUP(2,1/(C248:Q248&lt;&gt;""),COLUMN(C248:Q248))-2,0)</f>
        <v>#NAME?</v>
      </c>
      <c r="U248" s="12">
        <f t="shared" si="4"/>
        <v>15</v>
      </c>
      <c r="V248" s="12" t="e">
        <f t="shared" ca="1" si="5"/>
        <v>#NAME?</v>
      </c>
    </row>
    <row r="249" spans="1:22" ht="12.75">
      <c r="A249" s="9" t="str">
        <v>PEU</v>
      </c>
      <c r="B249" s="9" t="str">
        <v>PEU 205</v>
      </c>
      <c r="C249" s="10">
        <v>2020</v>
      </c>
      <c r="D249" s="10" t="str">
        <v>SPRING</v>
      </c>
      <c r="E249" s="10" t="str">
        <v>Recognize and identify stars, constellations, and planets in the night sky and interpret and visualize observed changes such as the phases of the moon and Venus</v>
      </c>
      <c r="F249" s="10" t="str">
        <v>Compare and contrast the models of the solar system and the observational evidence for or against them</v>
      </c>
      <c r="G249" s="10" t="str">
        <v>Describe planetary orbits and relate them to Kepler’s laws</v>
      </c>
      <c r="H249" s="10" t="str">
        <v>Compare Newton and Einstein views of gravity and support them by observational evidence.</v>
      </c>
      <c r="I249" s="10" t="str">
        <v>Explain the basic function of telescopes and classify the types of optical telescopes</v>
      </c>
      <c r="J249" s="10" t="str">
        <v>Name the major characteristics of the inner and outer solar system planets</v>
      </c>
      <c r="K249" s="10" t="str">
        <v>Describe stellar formation and evolution, and relate the various evolutionary paths to the initial stellar mass</v>
      </c>
      <c r="L249" s="11" t="str">
        <v>Identify the effects of tidal forces ion celestial bodies and their observable signatures</v>
      </c>
      <c r="M249" s="11" t="str">
        <v>Define Hubble’s law and Identify the empirical evidence of the theory of the Big bang</v>
      </c>
      <c r="N249" s="11" t="str">
        <v>Explain the challenges of dark matter and dark energy and their observational evidence</v>
      </c>
      <c r="O249" s="10" t="str">
        <v>Identify the criteria that make a celestial body habitable</v>
      </c>
      <c r="P249" s="11">
        <v>0</v>
      </c>
      <c r="Q249" s="11">
        <v>0</v>
      </c>
      <c r="R249" s="12" t="b">
        <f t="shared" si="3"/>
        <v>1</v>
      </c>
      <c r="S249" s="12"/>
      <c r="T249" s="12" t="e">
        <f t="array" aca="1" ref="T249" ca="1">_xludf.IFNA(LOOKUP(2,1/(C249:Q249&lt;&gt;""),COLUMN(C249:Q249))-2,0)</f>
        <v>#NAME?</v>
      </c>
      <c r="U249" s="12">
        <f t="shared" si="4"/>
        <v>15</v>
      </c>
      <c r="V249" s="12" t="e">
        <f t="shared" ca="1" si="5"/>
        <v>#NAME?</v>
      </c>
    </row>
    <row r="250" spans="1:22" ht="12.75">
      <c r="A250" s="9" t="str">
        <v>PEU</v>
      </c>
      <c r="B250" s="9" t="str">
        <v>PEU 207</v>
      </c>
      <c r="C250" s="10">
        <v>2020</v>
      </c>
      <c r="D250" s="10" t="str">
        <v>SPRING</v>
      </c>
      <c r="E250" s="10" t="str">
        <v>To differentiate between the Earth system science and Earth science, and to represent the Earth system and its major reservoirs as a box model, and to determine positive and negative feedbacks.</v>
      </c>
      <c r="F250" s="10" t="str">
        <v>To identify internal structure of the Earth, and to identify minerals using their physical properties, and to differentiate between different rock families, and to differentiate between categories of regolith.</v>
      </c>
      <c r="G250" s="10" t="str">
        <v>To explain the continental drift hypothesis and different observational evidence of drift, and to define magnetic reversal and sea floor spreading, and to identify mechanism and driving force of lithospheric plate motion and recycling of lithosphere, and to differentiate between different types of plate margins and associated Earth’s topographic features.</v>
      </c>
      <c r="H250" s="10" t="str">
        <v>To define earthquakes and their origin, and to differentiate between different types of seismic waves, and to locate the epicenter of an earthquake and its Richter magnitude, and to identify earthquake primary and secondary effects, and to define relationship between earthquakes and plate tectonics.</v>
      </c>
      <c r="I250" s="10" t="str">
        <v>To differentiate between magma and lava and to explain effect of pressure and water on rock melting, and to identify different types of magma and their ability to flow, and to explain different types of volcanic eruption and volcanoes and their hazards, to define connection to plate tectonics.</v>
      </c>
      <c r="J250" s="10" t="str">
        <v>To describe the hydrologic cycle, and to define stream flow and controlling factors, and to define different process and landforms associated with stream meandering and braided channels, and to identify groundwater and aquifers and geologic work of groundwater, and to define sources of water pollution.</v>
      </c>
      <c r="K250" s="10" t="str">
        <v>To differentiate between snow and ice and different types of glaciers, and to describe how glaciers move, and to identify different types of glaciated landscapes and glacial deposition and to identify sea ice and impact of global warming on glaciers, ice sheets and sea ice</v>
      </c>
      <c r="L250" s="11" t="str">
        <v>To identify factors controlling ocean water salinity and vertical stratification of the ocean, and to identify ocean circulation and driving forces for surface currents and deep thermo-haline circulation and the effect of Coriolis force and development of Ekman spiral and Ekman transport, and to identify origin of ocean waves and tides.</v>
      </c>
      <c r="M250" s="11" t="str">
        <v>To identify composition and structure of the atmosphere and its moisture content and different mechanisms for air lifting and cloud formation and to identify global air circulation and severe weather.</v>
      </c>
      <c r="N250" s="11" t="str">
        <v>To identify ecosystems and different types of biomes, and to describe different biogeochemical cycles, and to identify different mineral and energy resources, and to identify anthropogenic impacts on the Earth system.</v>
      </c>
      <c r="O250" s="10">
        <v>0</v>
      </c>
      <c r="P250" s="11">
        <v>0</v>
      </c>
      <c r="Q250" s="11">
        <v>0</v>
      </c>
      <c r="R250" s="12" t="b">
        <f t="shared" ca="1" si="3"/>
        <v>0</v>
      </c>
      <c r="S250" s="12"/>
      <c r="T250" s="12" t="e">
        <f t="array" aca="1" ref="T250" ca="1">_xludf.IFNA(LOOKUP(2,1/(C250:Q250&lt;&gt;""),COLUMN(C250:Q250))-2,0)</f>
        <v>#NAME?</v>
      </c>
      <c r="U250" s="12">
        <f t="shared" si="4"/>
        <v>15</v>
      </c>
      <c r="V250" s="12" t="e">
        <f t="shared" ca="1" si="5"/>
        <v>#NAME?</v>
      </c>
    </row>
    <row r="251" spans="1:22" ht="12.75">
      <c r="A251" s="9" t="str">
        <v>PEU</v>
      </c>
      <c r="B251" s="9" t="str">
        <v>PEU 208</v>
      </c>
      <c r="C251" s="10">
        <v>2020</v>
      </c>
      <c r="D251" s="10" t="str">
        <v>SPRING</v>
      </c>
      <c r="E251" s="10">
        <v>0</v>
      </c>
      <c r="F251" s="10">
        <v>0</v>
      </c>
      <c r="G251" s="10">
        <v>0</v>
      </c>
      <c r="H251" s="10">
        <v>0</v>
      </c>
      <c r="I251" s="10">
        <v>0</v>
      </c>
      <c r="J251" s="10">
        <v>0</v>
      </c>
      <c r="K251" s="10">
        <v>0</v>
      </c>
      <c r="L251" s="11">
        <v>0</v>
      </c>
      <c r="M251" s="11">
        <v>0</v>
      </c>
      <c r="N251" s="11">
        <v>0</v>
      </c>
      <c r="O251" s="10">
        <v>0</v>
      </c>
      <c r="P251" s="11">
        <v>0</v>
      </c>
      <c r="Q251" s="11">
        <v>0</v>
      </c>
      <c r="R251" s="12" t="b">
        <f t="shared" ca="1" si="3"/>
        <v>0</v>
      </c>
      <c r="S251" s="12"/>
      <c r="T251" s="12" t="e">
        <f t="array" aca="1" ref="T251" ca="1">_xludf.IFNA(LOOKUP(2,1/(C251:Q251&lt;&gt;""),COLUMN(C251:Q251))-2,0)</f>
        <v>#NAME?</v>
      </c>
      <c r="U251" s="12">
        <f t="shared" si="4"/>
        <v>15</v>
      </c>
      <c r="V251" s="12" t="e">
        <f t="shared" ca="1" si="5"/>
        <v>#NAME?</v>
      </c>
    </row>
    <row r="252" spans="1:22" ht="12.75">
      <c r="A252" s="9" t="str">
        <v>PEU</v>
      </c>
      <c r="B252" s="9" t="str">
        <v>PEU 210</v>
      </c>
      <c r="C252" s="10">
        <v>2020</v>
      </c>
      <c r="D252" s="10" t="str">
        <v>SPRING</v>
      </c>
      <c r="E252" s="10" t="str">
        <v>To make line, surface and volume integrals and to apply that to evaluate gradient, divergence and curl in different coordinate systems</v>
      </c>
      <c r="F252" s="10" t="str">
        <v>To apply the different forms of the fundamental theorem in calculus: i.e. Divergence and Stoke’s theorem.</v>
      </c>
      <c r="G252" s="10" t="str">
        <v>To use Dirac delta “function” to describe concentration at a point, a line or surface.</v>
      </c>
      <c r="H252" s="10" t="str">
        <v>To calculate electric field and force from coulomb’s law for discrete or continuous charge distributions.</v>
      </c>
      <c r="I252" s="10" t="str">
        <v>To apply Gauss’s law to get the electrostatic field for highly symmetric problems and to evaluate it in differential divergence form.</v>
      </c>
      <c r="J252" s="10" t="str">
        <v>To use the electrostatic potential to solve electrostatic problems as either Poisson or Laplace equations.</v>
      </c>
      <c r="K252" s="10" t="str">
        <v>To calculate the work and energy to construct an electrostatic system.</v>
      </c>
      <c r="L252" s="11" t="str">
        <v>To deal with conductors to calculate its surface charge, potential and energy.</v>
      </c>
      <c r="M252" s="11" t="str">
        <v>To apply the method of image to solve electrostatic problems encountering conducting plane(s).</v>
      </c>
      <c r="N252" s="11" t="str">
        <v>To model the polarization of a dielectric material.</v>
      </c>
      <c r="O252" s="10" t="str">
        <v>To calculate Lorentz forces and the magnetic field using Biot-Savart law.</v>
      </c>
      <c r="P252" s="11" t="str">
        <v>To use magnetic vector potential to solve magnetostatic problems and magnetic field in matter.</v>
      </c>
      <c r="Q252" s="11" t="str">
        <v>To find the electromotive force either motional or due to variation of the magnetic field.</v>
      </c>
      <c r="R252" s="12" t="b">
        <f t="shared" ca="1" si="3"/>
        <v>0</v>
      </c>
      <c r="S252" s="12"/>
      <c r="T252" s="12" t="e">
        <f t="array" aca="1" ref="T252" ca="1">_xludf.IFNA(LOOKUP(2,1/(C252:Q252&lt;&gt;""),COLUMN(C252:Q252))-2,0)</f>
        <v>#NAME?</v>
      </c>
      <c r="U252" s="12">
        <f t="shared" si="4"/>
        <v>15</v>
      </c>
      <c r="V252" s="12" t="e">
        <f t="shared" ca="1" si="5"/>
        <v>#NAME?</v>
      </c>
    </row>
    <row r="253" spans="1:22" ht="12.75">
      <c r="A253" s="9" t="str">
        <v>PEU</v>
      </c>
      <c r="B253" s="9" t="str">
        <v>PEU 228</v>
      </c>
      <c r="C253" s="10">
        <v>2020</v>
      </c>
      <c r="D253" s="10" t="str">
        <v>SPRING</v>
      </c>
      <c r="E253" s="10" t="str">
        <v>Know these terms: Field, Flux, Curl (Rotation), Gradient, Conservative Field, Solenoidal Field, Irrotational Field.</v>
      </c>
      <c r="F253" s="10" t="str">
        <v>Calculate line, surface, and volume integrals for different problems.</v>
      </c>
      <c r="G253" s="10" t="str">
        <v>Calculate surface integral for parametrized surfaces.</v>
      </c>
      <c r="H253" s="10" t="str">
        <v>Calculate and interpret the gradient, curl and divergence of physical quantities.</v>
      </c>
      <c r="I253" s="10" t="str">
        <v>Apply the suffix and summation convention to prove different vector calculus identities.</v>
      </c>
      <c r="J253" s="10" t="str">
        <v>Apply the divergence and Stoke’s theorems.</v>
      </c>
      <c r="K253" s="10" t="str">
        <v>Prove related theorems linking surface and volume integrals.</v>
      </c>
      <c r="L253" s="11" t="str">
        <v>Know what curvilinear orthogonal coordinates are.</v>
      </c>
      <c r="M253" s="11" t="str">
        <v>Represent grad, div and curl in orthogonal curvilinear coordinate systems.</v>
      </c>
      <c r="N253" s="11" t="str">
        <v>Apply the vector derivatives to cylindrical and spherical polar coordinates.</v>
      </c>
      <c r="O253" s="10" t="str">
        <v>Know the meaning of rotational or orthogonal coordinate transformation.</v>
      </c>
      <c r="P253" s="11">
        <v>0</v>
      </c>
      <c r="Q253" s="11">
        <v>0</v>
      </c>
      <c r="R253" s="12" t="b">
        <f t="shared" si="3"/>
        <v>1</v>
      </c>
      <c r="S253" s="12"/>
      <c r="T253" s="12" t="e">
        <f t="array" aca="1" ref="T253" ca="1">_xludf.IFNA(LOOKUP(2,1/(C253:Q253&lt;&gt;""),COLUMN(C253:Q253))-2,0)</f>
        <v>#NAME?</v>
      </c>
      <c r="U253" s="12">
        <f t="shared" si="4"/>
        <v>15</v>
      </c>
      <c r="V253" s="12" t="e">
        <f t="shared" ca="1" si="5"/>
        <v>#NAME?</v>
      </c>
    </row>
    <row r="254" spans="1:22" ht="12.75">
      <c r="A254" s="9" t="str">
        <v>PEU</v>
      </c>
      <c r="B254" s="9" t="str">
        <v>PEU 311</v>
      </c>
      <c r="C254" s="10">
        <v>2020</v>
      </c>
      <c r="D254" s="10" t="str">
        <v>SPRING</v>
      </c>
      <c r="E254" s="10" t="str">
        <v>Conceptual and analytical understanding of one of the four major areas of physics (Mechanics, Electricity and Magnetism, Quantum Mechanics, and Statistical physics).</v>
      </c>
      <c r="F254" s="10" t="str">
        <v>Understanding of scientific reasoning, i.e., the roles of theory, hypothesis, and experiment in the scientific method.</v>
      </c>
      <c r="G254" s="10" t="str">
        <v>Demonstration of a working knowledge of laboratory and programming skills as they relate to gathering data and comparing data to the predictions of theoretical models.</v>
      </c>
      <c r="H254" s="10" t="str">
        <v>Ability to clearly communicate the results of scientific analysis in written and oral form.</v>
      </c>
      <c r="I254" s="10">
        <v>0</v>
      </c>
      <c r="J254" s="10">
        <v>0</v>
      </c>
      <c r="K254" s="10">
        <v>0</v>
      </c>
      <c r="L254" s="11">
        <v>0</v>
      </c>
      <c r="M254" s="11">
        <v>0</v>
      </c>
      <c r="N254" s="11">
        <v>0</v>
      </c>
      <c r="O254" s="10">
        <v>0</v>
      </c>
      <c r="P254" s="11">
        <v>0</v>
      </c>
      <c r="Q254" s="11">
        <v>0</v>
      </c>
      <c r="R254" s="12" t="b">
        <f t="shared" si="3"/>
        <v>1</v>
      </c>
      <c r="S254" s="12"/>
      <c r="T254" s="12" t="e">
        <f t="array" aca="1" ref="T254" ca="1">_xludf.IFNA(LOOKUP(2,1/(C254:Q254&lt;&gt;""),COLUMN(C254:Q254))-2,0)</f>
        <v>#NAME?</v>
      </c>
      <c r="U254" s="12">
        <f t="shared" si="4"/>
        <v>15</v>
      </c>
      <c r="V254" s="12" t="e">
        <f t="shared" ca="1" si="5"/>
        <v>#NAME?</v>
      </c>
    </row>
    <row r="255" spans="1:22" ht="12.75">
      <c r="A255" s="9" t="str">
        <v>PEU</v>
      </c>
      <c r="B255" s="9" t="str">
        <v>PEU 323</v>
      </c>
      <c r="C255" s="10">
        <v>2020</v>
      </c>
      <c r="D255" s="10" t="str">
        <v>SPRING</v>
      </c>
      <c r="E255" s="10" t="str">
        <v>To Understand the meaning of the wave-function</v>
      </c>
      <c r="F255" s="10" t="str">
        <v>To solve the time independent Schrodinger equation in one and three dimensions</v>
      </c>
      <c r="G255" s="10" t="str">
        <v>To understand basic concepts of quantum mechanics and its formalism</v>
      </c>
      <c r="H255" s="10" t="str">
        <v>To apply approximate methods to solve time-independent Schrodinger equation</v>
      </c>
      <c r="I255" s="10" t="str">
        <v>To gain familiarity with quantum mechanics and ability to read and understand more on advanced texts on the subject.</v>
      </c>
      <c r="J255" s="10">
        <v>0</v>
      </c>
      <c r="K255" s="10">
        <v>0</v>
      </c>
      <c r="L255" s="11">
        <v>0</v>
      </c>
      <c r="M255" s="11">
        <v>0</v>
      </c>
      <c r="N255" s="11">
        <v>0</v>
      </c>
      <c r="O255" s="10">
        <v>0</v>
      </c>
      <c r="P255" s="11">
        <v>0</v>
      </c>
      <c r="Q255" s="11">
        <v>0</v>
      </c>
      <c r="R255" s="12" t="b">
        <f t="shared" si="3"/>
        <v>1</v>
      </c>
      <c r="S255" s="12"/>
      <c r="T255" s="12" t="e">
        <f t="array" aca="1" ref="T255" ca="1">_xludf.IFNA(LOOKUP(2,1/(C255:Q255&lt;&gt;""),COLUMN(C255:Q255))-2,0)</f>
        <v>#NAME?</v>
      </c>
      <c r="U255" s="12">
        <f t="shared" si="4"/>
        <v>15</v>
      </c>
      <c r="V255" s="12" t="e">
        <f t="shared" ca="1" si="5"/>
        <v>#NAME?</v>
      </c>
    </row>
    <row r="256" spans="1:22" ht="12.75">
      <c r="A256" s="9" t="str">
        <v>PEU</v>
      </c>
      <c r="B256" s="9" t="str">
        <v>PEU 346</v>
      </c>
      <c r="C256" s="10">
        <v>2020</v>
      </c>
      <c r="D256" s="10" t="str">
        <v>SPRING</v>
      </c>
      <c r="E256" s="10" t="str">
        <v>Understand the various properties of determinants and matrices and their application in physics</v>
      </c>
      <c r="F256" s="10" t="str">
        <v>Master the technique of vector calculus as applied in various areas of physics.</v>
      </c>
      <c r="G256" s="10" t="str">
        <v>Understand the use of different coordimate systems and the transformation rules of various objects.</v>
      </c>
      <c r="H256" s="10">
        <v>0</v>
      </c>
      <c r="I256" s="10">
        <v>0</v>
      </c>
      <c r="J256" s="10">
        <v>0</v>
      </c>
      <c r="K256" s="10">
        <v>0</v>
      </c>
      <c r="L256" s="11">
        <v>0</v>
      </c>
      <c r="M256" s="11">
        <v>0</v>
      </c>
      <c r="N256" s="11">
        <v>0</v>
      </c>
      <c r="O256" s="10">
        <v>0</v>
      </c>
      <c r="P256" s="11">
        <v>0</v>
      </c>
      <c r="Q256" s="11">
        <v>0</v>
      </c>
      <c r="R256" s="12" t="b">
        <f t="shared" si="3"/>
        <v>1</v>
      </c>
      <c r="S256" s="12"/>
      <c r="T256" s="12" t="e">
        <f t="array" aca="1" ref="T256" ca="1">_xludf.IFNA(LOOKUP(2,1/(C256:Q256&lt;&gt;""),COLUMN(C256:Q256))-2,0)</f>
        <v>#NAME?</v>
      </c>
      <c r="U256" s="12">
        <f t="shared" si="4"/>
        <v>15</v>
      </c>
      <c r="V256" s="12" t="e">
        <f t="shared" ca="1" si="5"/>
        <v>#NAME?</v>
      </c>
    </row>
    <row r="257" spans="1:22" ht="12.75">
      <c r="A257" s="9" t="str">
        <v>PEU</v>
      </c>
      <c r="B257" s="9" t="str">
        <v>PEU 348</v>
      </c>
      <c r="C257" s="10">
        <v>2020</v>
      </c>
      <c r="D257" s="10" t="str">
        <v>SPRING</v>
      </c>
      <c r="E257" s="10" t="str">
        <v>Understanding the quantum mechanical explanation of the spectrum of the Hydrogen atom and the appearence of degeneracy in 3D problems.</v>
      </c>
      <c r="F257" s="10" t="str">
        <v>Understanding the quantum mechanical explanation of the spectrum of the Hydrogen atom and the appearence of degeneracy in 3D problems.</v>
      </c>
      <c r="G257" s="10" t="str">
        <v>Understanding the quantum mechanical theory of orbital and sping angular momentum</v>
      </c>
      <c r="H257" s="10" t="str">
        <v>Understanding the concept of identical particles and the Boson-Fermion classification</v>
      </c>
      <c r="I257" s="10" t="str">
        <v>Understanding the role of quantum mechanics in explaning the properties of multi-electron atoms and the band structure of solids</v>
      </c>
      <c r="J257" s="10" t="str">
        <v>Understanding how</v>
      </c>
      <c r="K257" s="10" t="str">
        <v>Understanding the difference between Fermions and Bosons statistics.</v>
      </c>
      <c r="L257" s="11">
        <v>0</v>
      </c>
      <c r="M257" s="11">
        <v>0</v>
      </c>
      <c r="N257" s="11">
        <v>0</v>
      </c>
      <c r="O257" s="10">
        <v>0</v>
      </c>
      <c r="P257" s="11">
        <v>0</v>
      </c>
      <c r="Q257" s="11">
        <v>0</v>
      </c>
      <c r="R257" s="12" t="b">
        <f t="shared" ca="1" si="3"/>
        <v>0</v>
      </c>
      <c r="S257" s="12"/>
      <c r="T257" s="12" t="e">
        <f t="array" aca="1" ref="T257" ca="1">_xludf.IFNA(LOOKUP(2,1/(C257:Q257&lt;&gt;""),COLUMN(C257:Q257))-2,0)</f>
        <v>#NAME?</v>
      </c>
      <c r="U257" s="12">
        <f t="shared" si="4"/>
        <v>15</v>
      </c>
      <c r="V257" s="12" t="e">
        <f t="shared" ca="1" si="5"/>
        <v>#NAME?</v>
      </c>
    </row>
    <row r="258" spans="1:22" ht="12.75">
      <c r="A258" s="9" t="str">
        <v>PEU</v>
      </c>
      <c r="B258" s="9" t="str">
        <v>PEU 356</v>
      </c>
      <c r="C258" s="10">
        <v>2020</v>
      </c>
      <c r="D258" s="10" t="str">
        <v>SPRING</v>
      </c>
      <c r="E258" s="10" t="str">
        <v>Understanding the quantum mechanical explanation of the spectrum of the Hydrogen atom and the appearance of degeneracy in 3D problems.</v>
      </c>
      <c r="F258" s="10" t="str">
        <v>Understanding the use of tensors and how they arise in physical problems.</v>
      </c>
      <c r="G258" s="10" t="str">
        <v>Understanding the theory of vector spaces and linear operators and how it's being used in quantum mechanics</v>
      </c>
      <c r="H258" s="10" t="str">
        <v>Know how to solve eigenvalue problems and and appreciate their importance in physics</v>
      </c>
      <c r="I258" s="10">
        <v>0</v>
      </c>
      <c r="J258" s="10">
        <v>0</v>
      </c>
      <c r="K258" s="10">
        <v>0</v>
      </c>
      <c r="L258" s="11">
        <v>0</v>
      </c>
      <c r="M258" s="11">
        <v>0</v>
      </c>
      <c r="N258" s="11">
        <v>0</v>
      </c>
      <c r="O258" s="10">
        <v>0</v>
      </c>
      <c r="P258" s="11">
        <v>0</v>
      </c>
      <c r="Q258" s="11">
        <v>0</v>
      </c>
      <c r="R258" s="12" t="b">
        <f t="shared" ca="1" si="3"/>
        <v>0</v>
      </c>
      <c r="S258" s="12"/>
      <c r="T258" s="12" t="e">
        <f t="array" aca="1" ref="T258" ca="1">_xludf.IFNA(LOOKUP(2,1/(C258:Q258&lt;&gt;""),COLUMN(C258:Q258))-2,0)</f>
        <v>#NAME?</v>
      </c>
      <c r="U258" s="12">
        <f t="shared" si="4"/>
        <v>15</v>
      </c>
      <c r="V258" s="12" t="e">
        <f t="shared" ca="1" si="5"/>
        <v>#NAME?</v>
      </c>
    </row>
    <row r="259" spans="1:22" ht="12.75">
      <c r="A259" s="9" t="str">
        <v>PEU</v>
      </c>
      <c r="B259" s="9" t="str">
        <v>PEU 403</v>
      </c>
      <c r="C259" s="10">
        <v>2020</v>
      </c>
      <c r="D259" s="10" t="str">
        <v>SPRING</v>
      </c>
      <c r="E259" s="10" t="str">
        <v>Apply the electromagnetic conservation laws on different electromagnetic problems.</v>
      </c>
      <c r="F259" s="10" t="str">
        <v>Solve electromagnetic waves in vacuum and inside different media.</v>
      </c>
      <c r="G259" s="10" t="str">
        <v>Solve electromagnetic waves in guided structures.</v>
      </c>
      <c r="H259" s="10" t="str">
        <v>Analyze electromagnetic fields in terms of retarded potentials.</v>
      </c>
      <c r="I259" s="10" t="str">
        <v>Solve electromagnetic radiation from oscillating dipole.</v>
      </c>
      <c r="J259" s="10" t="str">
        <v>Solve for the radiation from an accelerating charge.</v>
      </c>
      <c r="K259" s="10" t="str">
        <v>Knowledge of the relation of Maxwell’s equations and the special theory of relativity.</v>
      </c>
      <c r="L259" s="11">
        <v>0</v>
      </c>
      <c r="M259" s="11">
        <v>0</v>
      </c>
      <c r="N259" s="11">
        <v>0</v>
      </c>
      <c r="O259" s="10">
        <v>0</v>
      </c>
      <c r="P259" s="11">
        <v>0</v>
      </c>
      <c r="Q259" s="11">
        <v>0</v>
      </c>
      <c r="R259" s="12" t="b">
        <f t="shared" si="3"/>
        <v>1</v>
      </c>
      <c r="S259" s="12"/>
      <c r="T259" s="12" t="e">
        <f t="array" aca="1" ref="T259" ca="1">_xludf.IFNA(LOOKUP(2,1/(C259:Q259&lt;&gt;""),COLUMN(C259:Q259))-2,0)</f>
        <v>#NAME?</v>
      </c>
      <c r="U259" s="12">
        <f t="shared" si="4"/>
        <v>15</v>
      </c>
      <c r="V259" s="12" t="e">
        <f t="shared" ca="1" si="5"/>
        <v>#NAME?</v>
      </c>
    </row>
    <row r="260" spans="1:22" ht="12.75">
      <c r="A260" s="9" t="str">
        <v>PEU</v>
      </c>
      <c r="B260" s="9" t="str">
        <v>PEU 405</v>
      </c>
      <c r="C260" s="10">
        <v>2020</v>
      </c>
      <c r="D260" s="10" t="str">
        <v>SPRING</v>
      </c>
      <c r="E260" s="10" t="str">
        <v>To understand and explain Kinematics and dynamics of an expanding universe</v>
      </c>
      <c r="F260" s="10" t="str">
        <v>To understand Propagation of light and horizons and to use the conformal diagrams.</v>
      </c>
      <c r="G260" s="10" t="str">
        <v>To use the conformal diagrams.</v>
      </c>
      <c r="H260" s="10" t="str">
        <v>To Understand the basic idea of the theories that explain The very early universe.</v>
      </c>
      <c r="I260" s="10" t="str">
        <v>To understand the concept of Inflation</v>
      </c>
      <c r="J260" s="10" t="str">
        <v>To understand Gravitational instability in Newtonian theory.</v>
      </c>
      <c r="K260" s="10" t="str">
        <v>To understand Gravitational instability in General Relativity.</v>
      </c>
      <c r="L260" s="11" t="str">
        <v>To function in a team and communicate with others.</v>
      </c>
      <c r="M260" s="11" t="str">
        <v>To search through internet to collect data.</v>
      </c>
      <c r="N260" s="11">
        <v>0</v>
      </c>
      <c r="O260" s="10">
        <v>0</v>
      </c>
      <c r="P260" s="11">
        <v>0</v>
      </c>
      <c r="Q260" s="11">
        <v>0</v>
      </c>
      <c r="R260" s="12" t="b">
        <f t="shared" ca="1" si="3"/>
        <v>0</v>
      </c>
      <c r="S260" s="12"/>
      <c r="T260" s="12" t="e">
        <f t="array" aca="1" ref="T260" ca="1">_xludf.IFNA(LOOKUP(2,1/(C260:Q260&lt;&gt;""),COLUMN(C260:Q260))-2,0)</f>
        <v>#NAME?</v>
      </c>
      <c r="U260" s="12">
        <f t="shared" si="4"/>
        <v>15</v>
      </c>
      <c r="V260" s="12" t="e">
        <f t="shared" ca="1" si="5"/>
        <v>#NAME?</v>
      </c>
    </row>
    <row r="261" spans="1:22" ht="12.75">
      <c r="A261" s="9" t="str">
        <v>PEU</v>
      </c>
      <c r="B261" s="9" t="str">
        <v>PEU 407</v>
      </c>
      <c r="C261" s="10">
        <v>2020</v>
      </c>
      <c r="D261" s="10" t="str">
        <v>SPRING</v>
      </c>
      <c r="E261" s="10">
        <v>0</v>
      </c>
      <c r="F261" s="10">
        <v>0</v>
      </c>
      <c r="G261" s="10">
        <v>0</v>
      </c>
      <c r="H261" s="10">
        <v>0</v>
      </c>
      <c r="I261" s="10">
        <v>0</v>
      </c>
      <c r="J261" s="10">
        <v>0</v>
      </c>
      <c r="K261" s="10">
        <v>0</v>
      </c>
      <c r="L261" s="11">
        <v>0</v>
      </c>
      <c r="M261" s="11">
        <v>0</v>
      </c>
      <c r="N261" s="11">
        <v>0</v>
      </c>
      <c r="O261" s="10">
        <v>0</v>
      </c>
      <c r="P261" s="11">
        <v>0</v>
      </c>
      <c r="Q261" s="11">
        <v>0</v>
      </c>
      <c r="R261" s="12" t="b">
        <f t="shared" si="3"/>
        <v>1</v>
      </c>
      <c r="S261" s="12"/>
      <c r="T261" s="12" t="e">
        <f t="array" aca="1" ref="T261" ca="1">_xludf.IFNA(LOOKUP(2,1/(C261:Q261&lt;&gt;""),COLUMN(C261:Q261))-2,0)</f>
        <v>#NAME?</v>
      </c>
      <c r="U261" s="12">
        <f t="shared" si="4"/>
        <v>15</v>
      </c>
      <c r="V261" s="12" t="e">
        <f t="shared" ca="1" si="5"/>
        <v>#NAME?</v>
      </c>
    </row>
    <row r="262" spans="1:22" ht="12.75">
      <c r="A262" s="9" t="str">
        <v>PEU</v>
      </c>
      <c r="B262" s="9" t="str">
        <v>PEU 430</v>
      </c>
      <c r="C262" s="10">
        <v>2020</v>
      </c>
      <c r="D262" s="10" t="str">
        <v>SPRING</v>
      </c>
      <c r="E262" s="10" t="str">
        <v>Understand the necessity of using approximation techniques in quantum mechanics</v>
      </c>
      <c r="F262" s="10" t="str">
        <v>Understand how to use time-independent perturbation theory in various physical problems</v>
      </c>
      <c r="G262" s="10" t="str">
        <v>Understand the use of time-dependent perturbation theory in studying quantum transitions and the importance of selection rules</v>
      </c>
      <c r="H262" s="10" t="str">
        <v>Understand the adiabatic approximation and the emergence of geometric phase</v>
      </c>
      <c r="I262" s="10">
        <v>0</v>
      </c>
      <c r="J262" s="10">
        <v>0</v>
      </c>
      <c r="K262" s="10">
        <v>0</v>
      </c>
      <c r="L262" s="11">
        <v>0</v>
      </c>
      <c r="M262" s="11">
        <v>0</v>
      </c>
      <c r="N262" s="11">
        <v>0</v>
      </c>
      <c r="O262" s="10">
        <v>0</v>
      </c>
      <c r="P262" s="11">
        <v>0</v>
      </c>
      <c r="Q262" s="11">
        <v>0</v>
      </c>
      <c r="R262" s="12" t="b">
        <f t="shared" si="3"/>
        <v>1</v>
      </c>
      <c r="S262" s="12"/>
      <c r="T262" s="12" t="e">
        <f t="array" aca="1" ref="T262" ca="1">_xludf.IFNA(LOOKUP(2,1/(C262:Q262&lt;&gt;""),COLUMN(C262:Q262))-2,0)</f>
        <v>#NAME?</v>
      </c>
      <c r="U262" s="12">
        <f t="shared" si="4"/>
        <v>15</v>
      </c>
      <c r="V262" s="12" t="e">
        <f t="shared" ca="1" si="5"/>
        <v>#NAME?</v>
      </c>
    </row>
    <row r="263" spans="1:22" ht="12.75">
      <c r="A263" s="9" t="str">
        <v>PEU</v>
      </c>
      <c r="B263" s="9" t="str">
        <v>PEU 431</v>
      </c>
      <c r="C263" s="10">
        <v>2020</v>
      </c>
      <c r="D263" s="10" t="str">
        <v>SPRING</v>
      </c>
      <c r="E263" s="10" t="str">
        <v>Relalize the necessity of releativisitc formulation of Quantum Mechanics</v>
      </c>
      <c r="F263" s="10" t="str">
        <v>Understanding the different properties of Dirac equation</v>
      </c>
      <c r="G263" s="10" t="str">
        <v>Understanding the solution of Dirac equation for free particle and the appearence of negative energy solutions.</v>
      </c>
      <c r="H263" s="10" t="str">
        <v>Understanding the physical interepretation of the negative energy solutions as anti-particles.</v>
      </c>
      <c r="I263" s="10">
        <v>0</v>
      </c>
      <c r="J263" s="10">
        <v>0</v>
      </c>
      <c r="K263" s="10">
        <v>0</v>
      </c>
      <c r="L263" s="11">
        <v>0</v>
      </c>
      <c r="M263" s="11">
        <v>0</v>
      </c>
      <c r="N263" s="11">
        <v>0</v>
      </c>
      <c r="O263" s="10">
        <v>0</v>
      </c>
      <c r="P263" s="11">
        <v>0</v>
      </c>
      <c r="Q263" s="11">
        <v>0</v>
      </c>
      <c r="R263" s="12" t="b">
        <f t="shared" ca="1" si="3"/>
        <v>0</v>
      </c>
      <c r="S263" s="12"/>
      <c r="T263" s="12" t="e">
        <f t="array" aca="1" ref="T263" ca="1">_xludf.IFNA(LOOKUP(2,1/(C263:Q263&lt;&gt;""),COLUMN(C263:Q263))-2,0)</f>
        <v>#NAME?</v>
      </c>
      <c r="U263" s="12">
        <f t="shared" si="4"/>
        <v>15</v>
      </c>
      <c r="V263" s="12" t="e">
        <f t="shared" ca="1" si="5"/>
        <v>#NAME?</v>
      </c>
    </row>
    <row r="264" spans="1:22" ht="12.75">
      <c r="A264" s="9" t="str">
        <v>PEU</v>
      </c>
      <c r="B264" s="9" t="str">
        <v>PEU 450</v>
      </c>
      <c r="C264" s="10">
        <v>2020</v>
      </c>
      <c r="D264" s="10" t="str">
        <v>SPRING</v>
      </c>
      <c r="E264" s="10" t="str">
        <v>Use Mathematica as a programming tool.</v>
      </c>
      <c r="F264" s="10" t="str">
        <v>Learn some basic numerical techniques.</v>
      </c>
      <c r="G264" s="10" t="str">
        <v>Apply numerical techniques to a number of important physics topics.</v>
      </c>
      <c r="H264" s="10" t="str">
        <v>Appreciate the power of numerical computation is solving physics problem.</v>
      </c>
      <c r="I264" s="10">
        <v>0</v>
      </c>
      <c r="J264" s="10">
        <v>0</v>
      </c>
      <c r="K264" s="10">
        <v>0</v>
      </c>
      <c r="L264" s="11">
        <v>0</v>
      </c>
      <c r="M264" s="11">
        <v>0</v>
      </c>
      <c r="N264" s="11">
        <v>0</v>
      </c>
      <c r="O264" s="10">
        <v>0</v>
      </c>
      <c r="P264" s="11">
        <v>0</v>
      </c>
      <c r="Q264" s="11">
        <v>0</v>
      </c>
      <c r="R264" s="12" t="b">
        <f t="shared" si="3"/>
        <v>1</v>
      </c>
      <c r="S264" s="12"/>
      <c r="T264" s="12" t="e">
        <f t="array" aca="1" ref="T264" ca="1">_xludf.IFNA(LOOKUP(2,1/(C264:Q264&lt;&gt;""),COLUMN(C264:Q264))-2,0)</f>
        <v>#NAME?</v>
      </c>
      <c r="U264" s="12">
        <f t="shared" si="4"/>
        <v>15</v>
      </c>
      <c r="V264" s="12" t="e">
        <f t="shared" ca="1" si="5"/>
        <v>#NAME?</v>
      </c>
    </row>
    <row r="265" spans="1:22" ht="12.75">
      <c r="A265" s="9" t="str">
        <v>PEU</v>
      </c>
      <c r="B265" s="9" t="str">
        <v>PEU 453</v>
      </c>
      <c r="C265" s="10">
        <v>2020</v>
      </c>
      <c r="D265" s="10" t="str">
        <v>SPRING</v>
      </c>
      <c r="E265" s="10" t="str">
        <v>Realize the necessity of considering geometry in physics</v>
      </c>
      <c r="F265" s="10" t="str">
        <v>Understand the details of the special theory of relativity and its supporting evidences</v>
      </c>
      <c r="G265" s="10" t="str">
        <v>Gain familiarity with the 4 vector technique in space time geometry and relativistic mechanics</v>
      </c>
      <c r="H265" s="10" t="str">
        <v>Study the Equivalence principle and its introduction to spacetime curvature</v>
      </c>
      <c r="I265" s="10" t="str">
        <v>Study Tensor Algebra and Tensor calculus needed for the development of the General theory</v>
      </c>
      <c r="J265" s="10" t="str">
        <v>Understand Einstein Equation and get the motivations for it</v>
      </c>
      <c r="K265" s="10" t="str">
        <v>Realize the experimental and observational implications of Schwarzschild metric</v>
      </c>
      <c r="L265" s="11">
        <v>0</v>
      </c>
      <c r="M265" s="11">
        <v>0</v>
      </c>
      <c r="N265" s="11">
        <v>0</v>
      </c>
      <c r="O265" s="10">
        <v>0</v>
      </c>
      <c r="P265" s="11">
        <v>0</v>
      </c>
      <c r="Q265" s="11">
        <v>0</v>
      </c>
      <c r="R265" s="12" t="b">
        <f t="shared" si="3"/>
        <v>1</v>
      </c>
      <c r="S265" s="12"/>
      <c r="T265" s="12" t="e">
        <f t="array" aca="1" ref="T265" ca="1">_xludf.IFNA(LOOKUP(2,1/(C265:Q265&lt;&gt;""),COLUMN(C265:Q265))-2,0)</f>
        <v>#NAME?</v>
      </c>
      <c r="U265" s="12">
        <f t="shared" si="4"/>
        <v>15</v>
      </c>
      <c r="V265" s="12" t="e">
        <f t="shared" ca="1" si="5"/>
        <v>#NAME?</v>
      </c>
    </row>
    <row r="266" spans="1:22" ht="12.75">
      <c r="A266" s="9" t="str">
        <v>PEU</v>
      </c>
      <c r="B266" s="9" t="str">
        <v>PEU 455</v>
      </c>
      <c r="C266" s="10">
        <v>2020</v>
      </c>
      <c r="D266" s="10" t="str">
        <v>SPRING</v>
      </c>
      <c r="E266" s="10" t="str">
        <v>Understand the sturm liouville theory and its use in solving ODEs</v>
      </c>
      <c r="F266" s="10" t="str">
        <v>Understand the use of complex techniques in solving real variable problems;</v>
      </c>
      <c r="G266" s="10" t="str">
        <v>Understand the concept of analytic functions and the various properties they satisfy.</v>
      </c>
      <c r="H266" s="10">
        <v>0</v>
      </c>
      <c r="I266" s="10">
        <v>0</v>
      </c>
      <c r="J266" s="10">
        <v>0</v>
      </c>
      <c r="K266" s="10">
        <v>0</v>
      </c>
      <c r="L266" s="11">
        <v>0</v>
      </c>
      <c r="M266" s="11">
        <v>0</v>
      </c>
      <c r="N266" s="11">
        <v>0</v>
      </c>
      <c r="O266" s="10">
        <v>0</v>
      </c>
      <c r="P266" s="11">
        <v>0</v>
      </c>
      <c r="Q266" s="11">
        <v>0</v>
      </c>
      <c r="R266" s="12" t="b">
        <f t="shared" si="3"/>
        <v>1</v>
      </c>
      <c r="S266" s="12"/>
      <c r="T266" s="12" t="e">
        <f t="array" aca="1" ref="T266" ca="1">_xludf.IFNA(LOOKUP(2,1/(C266:Q266&lt;&gt;""),COLUMN(C266:Q266))-2,0)</f>
        <v>#NAME?</v>
      </c>
      <c r="U266" s="12">
        <f t="shared" si="4"/>
        <v>15</v>
      </c>
      <c r="V266" s="12" t="e">
        <f t="shared" ca="1" si="5"/>
        <v>#NAME?</v>
      </c>
    </row>
    <row r="267" spans="1:22" ht="12.75">
      <c r="A267" s="9" t="str">
        <v>PEU</v>
      </c>
      <c r="B267" s="9" t="str">
        <v>PEU 460</v>
      </c>
      <c r="C267" s="10">
        <v>2020</v>
      </c>
      <c r="D267" s="10" t="str">
        <v>SPRING</v>
      </c>
      <c r="E267" s="10" t="str">
        <v>Demonstrate an understanding of fundamental physical concepts and the ability to apply these concepts to physical situations</v>
      </c>
      <c r="F267" s="10" t="str">
        <v>Understand basic concepts and integrate their knowledge into various disciplines of physics</v>
      </c>
      <c r="G267" s="10" t="str">
        <v>Develop positive attitudes towards seeking facts and scientific research.</v>
      </c>
      <c r="H267" s="10" t="str">
        <v>Gain familiarity with scientific &amp; quantitative methods</v>
      </c>
      <c r="I267" s="10" t="str">
        <v>Enhance the research and presentation skills of the students</v>
      </c>
      <c r="J267" s="10">
        <v>0</v>
      </c>
      <c r="K267" s="10">
        <v>0</v>
      </c>
      <c r="L267" s="11">
        <v>0</v>
      </c>
      <c r="M267" s="11">
        <v>0</v>
      </c>
      <c r="N267" s="11">
        <v>0</v>
      </c>
      <c r="O267" s="10">
        <v>0</v>
      </c>
      <c r="P267" s="11">
        <v>0</v>
      </c>
      <c r="Q267" s="11">
        <v>0</v>
      </c>
      <c r="R267" s="12" t="b">
        <f t="shared" ca="1" si="3"/>
        <v>0</v>
      </c>
      <c r="S267" s="12"/>
      <c r="T267" s="12" t="e">
        <f t="array" aca="1" ref="T267" ca="1">_xludf.IFNA(LOOKUP(2,1/(C267:Q267&lt;&gt;""),COLUMN(C267:Q267))-2,0)</f>
        <v>#NAME?</v>
      </c>
      <c r="U267" s="12">
        <f t="shared" si="4"/>
        <v>15</v>
      </c>
      <c r="V267" s="12" t="e">
        <f t="shared" ca="1" si="5"/>
        <v>#NAME?</v>
      </c>
    </row>
    <row r="268" spans="1:22" ht="12.75">
      <c r="A268" s="9" t="str">
        <v>PEU</v>
      </c>
      <c r="B268" s="9" t="str">
        <v>PHYS 101</v>
      </c>
      <c r="C268" s="10">
        <v>2020</v>
      </c>
      <c r="D268" s="10" t="str">
        <v>SPRING</v>
      </c>
      <c r="E268" s="10" t="str">
        <v>To master and apply the formalism of Newtonian Mechanics, represented in mathematical form.</v>
      </c>
      <c r="F268" s="10" t="str">
        <v>Demonstrate an understanding of fundamental physical concepts and the ability to apply these concepts to physical situations</v>
      </c>
      <c r="G268" s="10" t="str">
        <v>Understand basic concepts and integrate their knowledge into various disciplines of physics.</v>
      </c>
      <c r="H268" s="10" t="str">
        <v>Develop positive attitudes towards seeking facts and scientific research.</v>
      </c>
      <c r="I268" s="10" t="str">
        <v>Gain familiarity with scientific &amp; quantitative methods</v>
      </c>
      <c r="J268" s="10" t="str">
        <v>Apply calculus in a real world setting</v>
      </c>
      <c r="K268" s="10" t="str">
        <v>Develop learning skills using experimental tools in physics lab</v>
      </c>
      <c r="L268" s="11">
        <v>0</v>
      </c>
      <c r="M268" s="11">
        <v>0</v>
      </c>
      <c r="N268" s="11">
        <v>0</v>
      </c>
      <c r="O268" s="10">
        <v>0</v>
      </c>
      <c r="P268" s="11">
        <v>0</v>
      </c>
      <c r="Q268" s="11">
        <v>0</v>
      </c>
      <c r="R268" s="12" t="b">
        <f t="shared" si="3"/>
        <v>1</v>
      </c>
      <c r="S268" s="12"/>
      <c r="T268" s="12" t="e">
        <f t="array" aca="1" ref="T268" ca="1">_xludf.IFNA(LOOKUP(2,1/(C268:Q268&lt;&gt;""),COLUMN(C268:Q268))-2,0)</f>
        <v>#NAME?</v>
      </c>
      <c r="U268" s="12">
        <f t="shared" si="4"/>
        <v>15</v>
      </c>
      <c r="V268" s="12" t="e">
        <f t="shared" ca="1" si="5"/>
        <v>#NAME?</v>
      </c>
    </row>
    <row r="269" spans="1:22" ht="12.75">
      <c r="A269" s="9" t="str">
        <v>PEU</v>
      </c>
      <c r="B269" s="9" t="str">
        <v>PHYS 102</v>
      </c>
      <c r="C269" s="10">
        <v>2020</v>
      </c>
      <c r="D269" s="10" t="str">
        <v>SPRING</v>
      </c>
      <c r="E269" s="10" t="str">
        <v>To identify and recognize the principles from the formalism of Classical Electromagnetism in a problem-solving context.</v>
      </c>
      <c r="F269" s="10" t="str">
        <v>To use the basic concepts of Classical Electromagnetic Theory to quantitatively predict the movement of physical objects under the influence of the Electromagnetic Field.</v>
      </c>
      <c r="G269" s="10" t="str">
        <v>To demonstrate the ability to solve problems using Classical Electromagnetic theory</v>
      </c>
      <c r="H269" s="10" t="str">
        <v>To integrate their knowledge into various disciplines of physics.</v>
      </c>
      <c r="I269" s="10" t="str">
        <v>To simplify complex problems by identifying and executing basic Laws.</v>
      </c>
      <c r="J269" s="10" t="str">
        <v>To use experimental tools in physics lab and interpret data.</v>
      </c>
      <c r="K269" s="10" t="str">
        <v>To demonstrate quantitative methods of thinking.</v>
      </c>
      <c r="L269" s="11">
        <v>0</v>
      </c>
      <c r="M269" s="11">
        <v>0</v>
      </c>
      <c r="N269" s="11">
        <v>0</v>
      </c>
      <c r="O269" s="10">
        <v>0</v>
      </c>
      <c r="P269" s="11">
        <v>0</v>
      </c>
      <c r="Q269" s="11">
        <v>0</v>
      </c>
      <c r="R269" s="12" t="b">
        <f t="shared" ca="1" si="3"/>
        <v>0</v>
      </c>
      <c r="S269" s="12"/>
      <c r="T269" s="12" t="e">
        <f t="array" aca="1" ref="T269" ca="1">_xludf.IFNA(LOOKUP(2,1/(C269:Q269&lt;&gt;""),COLUMN(C269:Q269))-2,0)</f>
        <v>#NAME?</v>
      </c>
      <c r="U269" s="12">
        <f t="shared" si="4"/>
        <v>15</v>
      </c>
      <c r="V269" s="12" t="e">
        <f t="shared" ca="1" si="5"/>
        <v>#NAME?</v>
      </c>
    </row>
    <row r="270" spans="1:22" ht="12.75">
      <c r="A270" s="9" t="str">
        <v>PEU</v>
      </c>
      <c r="B270" s="9" t="str">
        <v>PHYS 111</v>
      </c>
      <c r="C270" s="10">
        <v>2020</v>
      </c>
      <c r="D270" s="10" t="str">
        <v>SPRING</v>
      </c>
      <c r="E270" s="10" t="str">
        <v>Ability to perform basic experiments in classical mechanics.</v>
      </c>
      <c r="F270" s="10" t="str">
        <v>Ability to analyze experimental data.</v>
      </c>
      <c r="G270" s="10" t="str">
        <v>Understand error propagation and its role in making conclusions.</v>
      </c>
      <c r="H270" s="10" t="str">
        <v>Gain a knowledge and understanding of fundamental classical physical concepts in the areas covered in this class through experiments.</v>
      </c>
      <c r="I270" s="10" t="str">
        <v>Apply an understanding of these concepts to various experimental systems and devises.</v>
      </c>
      <c r="J270" s="10">
        <v>0</v>
      </c>
      <c r="K270" s="10">
        <v>0</v>
      </c>
      <c r="L270" s="11">
        <v>0</v>
      </c>
      <c r="M270" s="11">
        <v>0</v>
      </c>
      <c r="N270" s="11">
        <v>0</v>
      </c>
      <c r="O270" s="10">
        <v>0</v>
      </c>
      <c r="P270" s="11">
        <v>0</v>
      </c>
      <c r="Q270" s="11">
        <v>0</v>
      </c>
      <c r="R270" s="12" t="b">
        <f t="shared" si="3"/>
        <v>1</v>
      </c>
      <c r="S270" s="12"/>
      <c r="T270" s="12" t="e">
        <f t="array" aca="1" ref="T270" ca="1">_xludf.IFNA(LOOKUP(2,1/(C270:Q270&lt;&gt;""),COLUMN(C270:Q270))-2,0)</f>
        <v>#NAME?</v>
      </c>
      <c r="U270" s="12">
        <f t="shared" si="4"/>
        <v>15</v>
      </c>
      <c r="V270" s="12" t="e">
        <f t="shared" ca="1" si="5"/>
        <v>#NAME?</v>
      </c>
    </row>
    <row r="271" spans="1:22" ht="12.75">
      <c r="A271" s="9" t="str">
        <v>PEU</v>
      </c>
      <c r="B271" s="9" t="str">
        <v>PHYS 112</v>
      </c>
      <c r="C271" s="10">
        <v>2020</v>
      </c>
      <c r="D271" s="10" t="str">
        <v>SPRING</v>
      </c>
      <c r="E271" s="10">
        <v>0</v>
      </c>
      <c r="F271" s="10">
        <v>0</v>
      </c>
      <c r="G271" s="10">
        <v>0</v>
      </c>
      <c r="H271" s="10">
        <v>0</v>
      </c>
      <c r="I271" s="10">
        <v>0</v>
      </c>
      <c r="J271" s="10">
        <v>0</v>
      </c>
      <c r="K271" s="10">
        <v>0</v>
      </c>
      <c r="L271" s="11">
        <v>0</v>
      </c>
      <c r="M271" s="11">
        <v>0</v>
      </c>
      <c r="N271" s="11">
        <v>0</v>
      </c>
      <c r="O271" s="10">
        <v>0</v>
      </c>
      <c r="P271" s="11">
        <v>0</v>
      </c>
      <c r="Q271" s="11">
        <v>0</v>
      </c>
      <c r="R271" s="12" t="b">
        <f t="shared" ca="1" si="3"/>
        <v>0</v>
      </c>
      <c r="S271" s="12"/>
      <c r="T271" s="12" t="e">
        <f t="array" aca="1" ref="T271" ca="1">_xludf.IFNA(LOOKUP(2,1/(C271:Q271&lt;&gt;""),COLUMN(C271:Q271))-2,0)</f>
        <v>#NAME?</v>
      </c>
      <c r="U271" s="12">
        <f t="shared" si="4"/>
        <v>15</v>
      </c>
      <c r="V271" s="12" t="e">
        <f t="shared" ca="1" si="5"/>
        <v>#NAME?</v>
      </c>
    </row>
    <row r="272" spans="1:22" ht="12.75">
      <c r="A272" s="9" t="str">
        <v>PEU</v>
      </c>
      <c r="B272" s="9" t="str">
        <v>PHYS 201</v>
      </c>
      <c r="C272" s="10">
        <v>2020</v>
      </c>
      <c r="D272" s="10" t="str">
        <v>SPRING</v>
      </c>
      <c r="E272" s="10" t="str">
        <v>Master the mathematical formalism of different types of waves and their associated physical phenomena such as interference and diffraction.</v>
      </c>
      <c r="F272" s="10" t="str">
        <v>Master the laws of geometrical optics and their applications in science and technology.</v>
      </c>
      <c r="G272" s="10" t="str">
        <v>Master the classical theory of Thermodynamics, represented in mathematical form and the real life applications of thermodynamics.</v>
      </c>
      <c r="H272" s="10" t="str">
        <v>Utilize the theory to make testable predictions.</v>
      </c>
      <c r="I272" s="10" t="str">
        <v>The overall goal is to develop a deep understanding of the theory and an ability to apply it to solve real world problems. To this end, we use problem-solving exercises to test and refine our own understanding of the theory as individuals. In addition, we will have the opportunity for hands-on demonstration and testing of the theory. All of these activities are designed to provide exercises in scientific method, critical thinking and problem-solving, as well as understanding of the theory itself.</v>
      </c>
      <c r="J272" s="10">
        <v>0</v>
      </c>
      <c r="K272" s="10">
        <v>0</v>
      </c>
      <c r="L272" s="11">
        <v>0</v>
      </c>
      <c r="M272" s="11">
        <v>0</v>
      </c>
      <c r="N272" s="11">
        <v>0</v>
      </c>
      <c r="O272" s="10">
        <v>0</v>
      </c>
      <c r="P272" s="11">
        <v>0</v>
      </c>
      <c r="Q272" s="11">
        <v>0</v>
      </c>
      <c r="R272" s="12" t="b">
        <f t="shared" si="3"/>
        <v>1</v>
      </c>
      <c r="S272" s="12"/>
      <c r="T272" s="12" t="e">
        <f t="array" aca="1" ref="T272" ca="1">_xludf.IFNA(LOOKUP(2,1/(C272:Q272&lt;&gt;""),COLUMN(C272:Q272))-2,0)</f>
        <v>#NAME?</v>
      </c>
      <c r="U272" s="12">
        <f t="shared" si="4"/>
        <v>15</v>
      </c>
      <c r="V272" s="12" t="e">
        <f t="shared" ca="1" si="5"/>
        <v>#NAME?</v>
      </c>
    </row>
    <row r="273" spans="1:22" ht="12.75">
      <c r="A273" s="9" t="str">
        <v>PEU</v>
      </c>
      <c r="B273" s="9" t="str">
        <v>PHYS 202</v>
      </c>
      <c r="C273" s="10">
        <v>2020</v>
      </c>
      <c r="D273" s="10" t="str">
        <v>SPRING</v>
      </c>
      <c r="E273" s="10" t="str">
        <v>To describe how events are characterized in different inertial reference frames and Lortentz Transformations and To analyze and calculate relativistic time dilation, length contraction, relative simultaneity and their applications in Doppler effect, twin paradox and gravitational red shift.</v>
      </c>
      <c r="F273" s="10" t="str">
        <v>To analyze relativistic mechanics problems, energy momentum transformations, mass energy equivalence and motion of charged particles in Electric and Magnetic fields.</v>
      </c>
      <c r="G273" s="10" t="str">
        <v>To identify the classical physics failure to account for the black body problem and apply the quantum hypothesis to resolve it. To analyze the photoelectric effect, X ray spectrum and Compton effect to measure the Plank’s constant in different methods.</v>
      </c>
      <c r="H273" s="10" t="str">
        <v>To identify composition of atoms through identification of electrons by measuring its charge and mass and to be able to identify the nucleus charge and size by Rutherford’s scattering technique.</v>
      </c>
      <c r="I273" s="10" t="str">
        <v>To obtain and measure the optical spectrum of different elements and to classify the spectrum of Hydrogen into different series. To be able to get a sense of the quantization of energy inside the atom through Bohr model of the Hydrogen like atoms and through Franck Hertz Experiment.</v>
      </c>
      <c r="J273" s="10" t="str">
        <v>To identify the wave particle duality of massive particles and treat them as wave packets.</v>
      </c>
      <c r="K273" s="10" t="str">
        <v>To describe Diffraction and Interference of massive particle beams.</v>
      </c>
      <c r="L273" s="11" t="str">
        <v>To be able to write Shrodinger Equation for particles moving in potentials and to learn how to use the variables separation technique to identify the solution of it.</v>
      </c>
      <c r="M273" s="11" t="str">
        <v>To apply this equation to analyze the motion of partilces in infinite potential well, harmonic oscillator potential and in finite potential well.</v>
      </c>
      <c r="N273" s="11" t="str">
        <v>To identify nuclear radiation decay law and its application in dating.</v>
      </c>
      <c r="O273" s="10">
        <v>0</v>
      </c>
      <c r="P273" s="11">
        <v>0</v>
      </c>
      <c r="Q273" s="11">
        <v>0</v>
      </c>
      <c r="R273" s="12" t="b">
        <f t="shared" ca="1" si="3"/>
        <v>0</v>
      </c>
      <c r="S273" s="12"/>
      <c r="T273" s="12" t="e">
        <f t="array" aca="1" ref="T273" ca="1">_xludf.IFNA(LOOKUP(2,1/(C273:Q273&lt;&gt;""),COLUMN(C273:Q273))-2,0)</f>
        <v>#NAME?</v>
      </c>
      <c r="U273" s="12">
        <f t="shared" si="4"/>
        <v>15</v>
      </c>
      <c r="V273" s="12" t="e">
        <f t="shared" ca="1" si="5"/>
        <v>#NAME?</v>
      </c>
    </row>
    <row r="274" spans="1:22" ht="12.75">
      <c r="A274" s="9" t="str">
        <v>PEU</v>
      </c>
      <c r="B274" s="9" t="str">
        <v>PHYS 211</v>
      </c>
      <c r="C274" s="10">
        <v>2020</v>
      </c>
      <c r="D274" s="10" t="str">
        <v>SPRING</v>
      </c>
      <c r="E274" s="10" t="str">
        <v>Develop a clear understanding for the concepts of Waves, Optics and Thermodynamics.</v>
      </c>
      <c r="F274" s="10" t="str">
        <v>Understand error propagation and its role in making conclusions</v>
      </c>
      <c r="G274" s="10" t="str">
        <v>Discuss various applications of the Waves, Optics and Thermodynamics.</v>
      </c>
      <c r="H274" s="10" t="str">
        <v>Develop a clear understanding and skills to deal with different setups (electronic and mechanics).</v>
      </c>
      <c r="I274" s="10" t="str">
        <v>Apply the understanding of these concepts to new various experimental systems and devices.</v>
      </c>
      <c r="J274" s="10" t="str">
        <v>Develop the student skills in using IT and computer skills in conducting experiments.</v>
      </c>
      <c r="K274" s="10">
        <v>0</v>
      </c>
      <c r="L274" s="11">
        <v>0</v>
      </c>
      <c r="M274" s="11">
        <v>0</v>
      </c>
      <c r="N274" s="11">
        <v>0</v>
      </c>
      <c r="O274" s="10">
        <v>0</v>
      </c>
      <c r="P274" s="11">
        <v>0</v>
      </c>
      <c r="Q274" s="11">
        <v>0</v>
      </c>
      <c r="R274" s="12" t="b">
        <f t="shared" si="3"/>
        <v>1</v>
      </c>
      <c r="S274" s="12"/>
      <c r="T274" s="12" t="e">
        <f t="array" aca="1" ref="T274" ca="1">_xludf.IFNA(LOOKUP(2,1/(C274:Q274&lt;&gt;""),COLUMN(C274:Q274))-2,0)</f>
        <v>#NAME?</v>
      </c>
      <c r="U274" s="12">
        <f t="shared" si="4"/>
        <v>15</v>
      </c>
      <c r="V274" s="12" t="e">
        <f t="shared" ca="1" si="5"/>
        <v>#NAME?</v>
      </c>
    </row>
    <row r="275" spans="1:22" ht="12.75">
      <c r="A275" s="9" t="str">
        <v>PEU</v>
      </c>
      <c r="B275" s="9" t="str">
        <v>PHYS 212</v>
      </c>
      <c r="C275" s="10">
        <v>2020</v>
      </c>
      <c r="D275" s="10" t="str">
        <v>SPRING</v>
      </c>
      <c r="E275" s="10">
        <v>0</v>
      </c>
      <c r="F275" s="10">
        <v>0</v>
      </c>
      <c r="G275" s="10">
        <v>0</v>
      </c>
      <c r="H275" s="10">
        <v>0</v>
      </c>
      <c r="I275" s="10">
        <v>0</v>
      </c>
      <c r="J275" s="10">
        <v>0</v>
      </c>
      <c r="K275" s="10">
        <v>0</v>
      </c>
      <c r="L275" s="11">
        <v>0</v>
      </c>
      <c r="M275" s="11">
        <v>0</v>
      </c>
      <c r="N275" s="11">
        <v>0</v>
      </c>
      <c r="O275" s="10">
        <v>0</v>
      </c>
      <c r="P275" s="11">
        <v>0</v>
      </c>
      <c r="Q275" s="11">
        <v>0</v>
      </c>
      <c r="R275" s="12" t="b">
        <f t="shared" ca="1" si="3"/>
        <v>0</v>
      </c>
      <c r="S275" s="12"/>
      <c r="T275" s="12" t="e">
        <f t="array" aca="1" ref="T275" ca="1">_xludf.IFNA(LOOKUP(2,1/(C275:Q275&lt;&gt;""),COLUMN(C275:Q275))-2,0)</f>
        <v>#NAME?</v>
      </c>
      <c r="U275" s="12">
        <f t="shared" si="4"/>
        <v>15</v>
      </c>
      <c r="V275" s="12" t="e">
        <f t="shared" ca="1" si="5"/>
        <v>#NAME?</v>
      </c>
    </row>
    <row r="276" spans="1:22" ht="12.75">
      <c r="A276" s="19" t="str">
        <v>REE</v>
      </c>
      <c r="B276" s="9" t="str">
        <v>ENGR 218</v>
      </c>
      <c r="C276" s="10">
        <v>2020</v>
      </c>
      <c r="D276" s="10" t="str">
        <v>SPRING</v>
      </c>
      <c r="E276" s="10">
        <v>0</v>
      </c>
      <c r="F276" s="10">
        <v>0</v>
      </c>
      <c r="G276" s="10">
        <v>0</v>
      </c>
      <c r="H276" s="10">
        <v>0</v>
      </c>
      <c r="I276" s="10">
        <v>0</v>
      </c>
      <c r="J276" s="10">
        <v>0</v>
      </c>
      <c r="K276" s="10">
        <v>0</v>
      </c>
      <c r="L276" s="11">
        <v>0</v>
      </c>
      <c r="M276" s="11">
        <v>0</v>
      </c>
      <c r="N276" s="11">
        <v>0</v>
      </c>
      <c r="O276" s="10">
        <v>0</v>
      </c>
      <c r="P276" s="11">
        <v>0</v>
      </c>
      <c r="Q276" s="11">
        <v>0</v>
      </c>
      <c r="R276" s="12" t="b">
        <f t="shared" ca="1" si="3"/>
        <v>0</v>
      </c>
      <c r="S276" s="12"/>
      <c r="T276" s="12" t="e">
        <f t="array" aca="1" ref="T276" ca="1">_xludf.IFNA(LOOKUP(2,1/(C276:Q276&lt;&gt;""),COLUMN(C276:Q276))-2,0)</f>
        <v>#NAME?</v>
      </c>
      <c r="U276" s="12">
        <f t="shared" si="4"/>
        <v>15</v>
      </c>
      <c r="V276" s="12" t="e">
        <f t="shared" ca="1" si="5"/>
        <v>#NAME?</v>
      </c>
    </row>
    <row r="277" spans="1:22" ht="12.75">
      <c r="A277" s="9" t="str">
        <v>REE</v>
      </c>
      <c r="B277" s="9" t="str">
        <v>ENGR 219</v>
      </c>
      <c r="C277" s="10">
        <v>2020</v>
      </c>
      <c r="D277" s="10" t="str">
        <v>SPRING</v>
      </c>
      <c r="E277" s="10">
        <v>0</v>
      </c>
      <c r="F277" s="10">
        <v>0</v>
      </c>
      <c r="G277" s="10">
        <v>0</v>
      </c>
      <c r="H277" s="10">
        <v>0</v>
      </c>
      <c r="I277" s="10">
        <v>0</v>
      </c>
      <c r="J277" s="10">
        <v>0</v>
      </c>
      <c r="K277" s="10">
        <v>0</v>
      </c>
      <c r="L277" s="11">
        <v>0</v>
      </c>
      <c r="M277" s="11">
        <v>0</v>
      </c>
      <c r="N277" s="11">
        <v>0</v>
      </c>
      <c r="O277" s="10">
        <v>0</v>
      </c>
      <c r="P277" s="11">
        <v>0</v>
      </c>
      <c r="Q277" s="11">
        <v>0</v>
      </c>
      <c r="R277" s="12" t="b">
        <f t="shared" si="3"/>
        <v>1</v>
      </c>
      <c r="S277" s="12"/>
      <c r="T277" s="12" t="e">
        <f t="array" aca="1" ref="T277" ca="1">_xludf.IFNA(LOOKUP(2,1/(C277:Q277&lt;&gt;""),COLUMN(C277:Q277))-2,0)</f>
        <v>#NAME?</v>
      </c>
      <c r="U277" s="12">
        <f t="shared" si="4"/>
        <v>15</v>
      </c>
      <c r="V277" s="12" t="e">
        <f t="shared" ca="1" si="5"/>
        <v>#NAME?</v>
      </c>
    </row>
    <row r="278" spans="1:22" ht="12.75">
      <c r="A278" s="9" t="str">
        <v>REE</v>
      </c>
      <c r="B278" s="9" t="str">
        <v>ENGR 221</v>
      </c>
      <c r="C278" s="10">
        <v>2020</v>
      </c>
      <c r="D278" s="10" t="str">
        <v>SPRING</v>
      </c>
      <c r="E278" s="10">
        <v>0</v>
      </c>
      <c r="F278" s="10">
        <v>0</v>
      </c>
      <c r="G278" s="10">
        <v>0</v>
      </c>
      <c r="H278" s="10">
        <v>0</v>
      </c>
      <c r="I278" s="10">
        <v>0</v>
      </c>
      <c r="J278" s="10">
        <v>0</v>
      </c>
      <c r="K278" s="10">
        <v>0</v>
      </c>
      <c r="L278" s="11">
        <v>0</v>
      </c>
      <c r="M278" s="11">
        <v>0</v>
      </c>
      <c r="N278" s="11">
        <v>0</v>
      </c>
      <c r="O278" s="10">
        <v>0</v>
      </c>
      <c r="P278" s="11">
        <v>0</v>
      </c>
      <c r="Q278" s="11">
        <v>0</v>
      </c>
      <c r="R278" s="12" t="b">
        <f t="shared" ca="1" si="3"/>
        <v>0</v>
      </c>
      <c r="S278" s="12"/>
      <c r="T278" s="12" t="e">
        <f t="array" aca="1" ref="T278" ca="1">_xludf.IFNA(LOOKUP(2,1/(C278:Q278&lt;&gt;""),COLUMN(C278:Q278))-2,0)</f>
        <v>#NAME?</v>
      </c>
      <c r="U278" s="12">
        <f t="shared" si="4"/>
        <v>15</v>
      </c>
      <c r="V278" s="12" t="e">
        <f t="shared" ca="1" si="5"/>
        <v>#NAME?</v>
      </c>
    </row>
    <row r="279" spans="1:22" ht="12.75">
      <c r="A279" s="9" t="str">
        <v>REE</v>
      </c>
      <c r="B279" s="9" t="str">
        <v>REE 201</v>
      </c>
      <c r="C279" s="10">
        <v>2020</v>
      </c>
      <c r="D279" s="10" t="str">
        <v>SPRING</v>
      </c>
      <c r="E279" s="10">
        <v>0</v>
      </c>
      <c r="F279" s="10">
        <v>0</v>
      </c>
      <c r="G279" s="10">
        <v>0</v>
      </c>
      <c r="H279" s="10">
        <v>0</v>
      </c>
      <c r="I279" s="10">
        <v>0</v>
      </c>
      <c r="J279" s="10">
        <v>0</v>
      </c>
      <c r="K279" s="10">
        <v>0</v>
      </c>
      <c r="L279" s="11">
        <v>0</v>
      </c>
      <c r="M279" s="11">
        <v>0</v>
      </c>
      <c r="N279" s="11">
        <v>0</v>
      </c>
      <c r="O279" s="10">
        <v>0</v>
      </c>
      <c r="P279" s="11">
        <v>0</v>
      </c>
      <c r="Q279" s="11">
        <v>0</v>
      </c>
      <c r="R279" s="12" t="b">
        <f t="shared" si="3"/>
        <v>1</v>
      </c>
      <c r="S279" s="12"/>
      <c r="T279" s="12" t="e">
        <f t="array" aca="1" ref="T279" ca="1">_xludf.IFNA(LOOKUP(2,1/(C279:Q279&lt;&gt;""),COLUMN(C279:Q279))-2,0)</f>
        <v>#NAME?</v>
      </c>
      <c r="U279" s="12">
        <f t="shared" si="4"/>
        <v>15</v>
      </c>
      <c r="V279" s="12" t="e">
        <f t="shared" ca="1" si="5"/>
        <v>#NAME?</v>
      </c>
    </row>
    <row r="280" spans="1:22" ht="12.75">
      <c r="A280" s="9" t="str">
        <v>REE</v>
      </c>
      <c r="B280" s="9" t="str">
        <v>REE 202</v>
      </c>
      <c r="C280" s="10">
        <v>2020</v>
      </c>
      <c r="D280" s="10" t="str">
        <v>SPRING</v>
      </c>
      <c r="E280" s="10">
        <v>0</v>
      </c>
      <c r="F280" s="10">
        <v>0</v>
      </c>
      <c r="G280" s="10">
        <v>0</v>
      </c>
      <c r="H280" s="10">
        <v>0</v>
      </c>
      <c r="I280" s="10">
        <v>0</v>
      </c>
      <c r="J280" s="10">
        <v>0</v>
      </c>
      <c r="K280" s="10">
        <v>0</v>
      </c>
      <c r="L280" s="11">
        <v>0</v>
      </c>
      <c r="M280" s="11">
        <v>0</v>
      </c>
      <c r="N280" s="11">
        <v>0</v>
      </c>
      <c r="O280" s="10">
        <v>0</v>
      </c>
      <c r="P280" s="11">
        <v>0</v>
      </c>
      <c r="Q280" s="11">
        <v>0</v>
      </c>
      <c r="R280" s="12" t="b">
        <f t="shared" ca="1" si="3"/>
        <v>0</v>
      </c>
      <c r="S280" s="12"/>
      <c r="T280" s="12" t="e">
        <f t="array" aca="1" ref="T280" ca="1">_xludf.IFNA(LOOKUP(2,1/(C280:Q280&lt;&gt;""),COLUMN(C280:Q280))-2,0)</f>
        <v>#NAME?</v>
      </c>
      <c r="U280" s="12">
        <f t="shared" si="4"/>
        <v>15</v>
      </c>
      <c r="V280" s="12" t="e">
        <f t="shared" ca="1" si="5"/>
        <v>#NAME?</v>
      </c>
    </row>
    <row r="281" spans="1:22" ht="12.75">
      <c r="A281" s="9" t="str">
        <v>REE</v>
      </c>
      <c r="B281" s="9" t="str">
        <v>REE 209</v>
      </c>
      <c r="C281" s="10">
        <v>2020</v>
      </c>
      <c r="D281" s="10" t="str">
        <v>SPRING</v>
      </c>
      <c r="E281" s="10">
        <v>0</v>
      </c>
      <c r="F281" s="10">
        <v>0</v>
      </c>
      <c r="G281" s="10">
        <v>0</v>
      </c>
      <c r="H281" s="10">
        <v>0</v>
      </c>
      <c r="I281" s="10">
        <v>0</v>
      </c>
      <c r="J281" s="10">
        <v>0</v>
      </c>
      <c r="K281" s="10">
        <v>0</v>
      </c>
      <c r="L281" s="11">
        <v>0</v>
      </c>
      <c r="M281" s="11">
        <v>0</v>
      </c>
      <c r="N281" s="11">
        <v>0</v>
      </c>
      <c r="O281" s="10">
        <v>0</v>
      </c>
      <c r="P281" s="11">
        <v>0</v>
      </c>
      <c r="Q281" s="11">
        <v>0</v>
      </c>
      <c r="R281" s="12" t="b">
        <f t="shared" si="3"/>
        <v>1</v>
      </c>
      <c r="S281" s="12"/>
      <c r="T281" s="12" t="e">
        <f t="array" aca="1" ref="T281" ca="1">_xludf.IFNA(LOOKUP(2,1/(C281:Q281&lt;&gt;""),COLUMN(C281:Q281))-2,0)</f>
        <v>#NAME?</v>
      </c>
      <c r="U281" s="12">
        <f t="shared" si="4"/>
        <v>15</v>
      </c>
      <c r="V281" s="12" t="e">
        <f t="shared" ca="1" si="5"/>
        <v>#NAME?</v>
      </c>
    </row>
    <row r="282" spans="1:22" ht="12.75">
      <c r="A282" s="9" t="str">
        <v>REE</v>
      </c>
      <c r="B282" s="9" t="str">
        <v>REE 222</v>
      </c>
      <c r="C282" s="10">
        <v>2020</v>
      </c>
      <c r="D282" s="10" t="str">
        <v>SPRING</v>
      </c>
      <c r="E282" s="10">
        <v>0</v>
      </c>
      <c r="F282" s="10">
        <v>0</v>
      </c>
      <c r="G282" s="10">
        <v>0</v>
      </c>
      <c r="H282" s="10">
        <v>0</v>
      </c>
      <c r="I282" s="10">
        <v>0</v>
      </c>
      <c r="J282" s="10">
        <v>0</v>
      </c>
      <c r="K282" s="10">
        <v>0</v>
      </c>
      <c r="L282" s="11">
        <v>0</v>
      </c>
      <c r="M282" s="11">
        <v>0</v>
      </c>
      <c r="N282" s="11">
        <v>0</v>
      </c>
      <c r="O282" s="10">
        <v>0</v>
      </c>
      <c r="P282" s="11">
        <v>0</v>
      </c>
      <c r="Q282" s="11">
        <v>0</v>
      </c>
      <c r="R282" s="12" t="b">
        <f t="shared" ca="1" si="3"/>
        <v>0</v>
      </c>
      <c r="S282" s="12"/>
      <c r="T282" s="12" t="e">
        <f t="array" aca="1" ref="T282" ca="1">_xludf.IFNA(LOOKUP(2,1/(C282:Q282&lt;&gt;""),COLUMN(C282:Q282))-2,0)</f>
        <v>#NAME?</v>
      </c>
      <c r="U282" s="12">
        <f t="shared" si="4"/>
        <v>15</v>
      </c>
      <c r="V282" s="12" t="e">
        <f t="shared" ca="1" si="5"/>
        <v>#NAME?</v>
      </c>
    </row>
    <row r="283" spans="1:22" ht="12.75">
      <c r="A283" s="9" t="str">
        <v>REE</v>
      </c>
      <c r="B283" s="9" t="str">
        <v>REE 308</v>
      </c>
      <c r="C283" s="10">
        <v>2020</v>
      </c>
      <c r="D283" s="10" t="str">
        <v>SPRING</v>
      </c>
      <c r="E283" s="10">
        <v>0</v>
      </c>
      <c r="F283" s="10">
        <v>0</v>
      </c>
      <c r="G283" s="10">
        <v>0</v>
      </c>
      <c r="H283" s="10">
        <v>0</v>
      </c>
      <c r="I283" s="10">
        <v>0</v>
      </c>
      <c r="J283" s="10">
        <v>0</v>
      </c>
      <c r="K283" s="10">
        <v>0</v>
      </c>
      <c r="L283" s="11">
        <v>0</v>
      </c>
      <c r="M283" s="11">
        <v>0</v>
      </c>
      <c r="N283" s="11">
        <v>0</v>
      </c>
      <c r="O283" s="10">
        <v>0</v>
      </c>
      <c r="P283" s="11">
        <v>0</v>
      </c>
      <c r="Q283" s="11">
        <v>0</v>
      </c>
      <c r="R283" s="12" t="b">
        <f t="shared" ca="1" si="3"/>
        <v>0</v>
      </c>
      <c r="S283" s="12"/>
      <c r="T283" s="12" t="e">
        <f t="array" aca="1" ref="T283" ca="1">_xludf.IFNA(LOOKUP(2,1/(C283:Q283&lt;&gt;""),COLUMN(C283:Q283))-2,0)</f>
        <v>#NAME?</v>
      </c>
      <c r="U283" s="12">
        <f t="shared" si="4"/>
        <v>15</v>
      </c>
      <c r="V283" s="12" t="e">
        <f t="shared" ca="1" si="5"/>
        <v>#NAME?</v>
      </c>
    </row>
    <row r="284" spans="1:22" ht="12.75">
      <c r="A284" s="9" t="str">
        <v>REE</v>
      </c>
      <c r="B284" s="9" t="str">
        <v>REE 309</v>
      </c>
      <c r="C284" s="10">
        <v>2020</v>
      </c>
      <c r="D284" s="10" t="str">
        <v>SPRING</v>
      </c>
      <c r="E284" s="10">
        <v>0</v>
      </c>
      <c r="F284" s="10">
        <v>0</v>
      </c>
      <c r="G284" s="10">
        <v>0</v>
      </c>
      <c r="H284" s="10">
        <v>0</v>
      </c>
      <c r="I284" s="10">
        <v>0</v>
      </c>
      <c r="J284" s="10">
        <v>0</v>
      </c>
      <c r="K284" s="10">
        <v>0</v>
      </c>
      <c r="L284" s="11">
        <v>0</v>
      </c>
      <c r="M284" s="11">
        <v>0</v>
      </c>
      <c r="N284" s="11">
        <v>0</v>
      </c>
      <c r="O284" s="10">
        <v>0</v>
      </c>
      <c r="P284" s="11">
        <v>0</v>
      </c>
      <c r="Q284" s="11">
        <v>0</v>
      </c>
      <c r="R284" s="12" t="b">
        <f t="shared" si="3"/>
        <v>1</v>
      </c>
      <c r="S284" s="12"/>
      <c r="T284" s="12" t="e">
        <f t="array" aca="1" ref="T284" ca="1">_xludf.IFNA(LOOKUP(2,1/(C284:Q284&lt;&gt;""),COLUMN(C284:Q284))-2,0)</f>
        <v>#NAME?</v>
      </c>
      <c r="U284" s="12">
        <f t="shared" si="4"/>
        <v>15</v>
      </c>
      <c r="V284" s="12" t="e">
        <f t="shared" ca="1" si="5"/>
        <v>#NAME?</v>
      </c>
    </row>
    <row r="285" spans="1:22" ht="12.75">
      <c r="A285" s="9" t="str">
        <v>REE</v>
      </c>
      <c r="B285" s="9" t="str">
        <v>REE 310</v>
      </c>
      <c r="C285" s="10">
        <v>2020</v>
      </c>
      <c r="D285" s="10" t="str">
        <v>SPRING</v>
      </c>
      <c r="E285" s="10">
        <v>0</v>
      </c>
      <c r="F285" s="10">
        <v>0</v>
      </c>
      <c r="G285" s="10">
        <v>0</v>
      </c>
      <c r="H285" s="10">
        <v>0</v>
      </c>
      <c r="I285" s="10">
        <v>0</v>
      </c>
      <c r="J285" s="10">
        <v>0</v>
      </c>
      <c r="K285" s="10">
        <v>0</v>
      </c>
      <c r="L285" s="11">
        <v>0</v>
      </c>
      <c r="M285" s="11">
        <v>0</v>
      </c>
      <c r="N285" s="11">
        <v>0</v>
      </c>
      <c r="O285" s="10">
        <v>0</v>
      </c>
      <c r="P285" s="11">
        <v>0</v>
      </c>
      <c r="Q285" s="11">
        <v>0</v>
      </c>
      <c r="R285" s="12" t="b">
        <f t="shared" ca="1" si="3"/>
        <v>0</v>
      </c>
      <c r="S285" s="12"/>
      <c r="T285" s="12" t="e">
        <f t="array" aca="1" ref="T285" ca="1">_xludf.IFNA(LOOKUP(2,1/(C285:Q285&lt;&gt;""),COLUMN(C285:Q285))-2,0)</f>
        <v>#NAME?</v>
      </c>
      <c r="U285" s="12">
        <f t="shared" si="4"/>
        <v>15</v>
      </c>
      <c r="V285" s="12" t="e">
        <f t="shared" ca="1" si="5"/>
        <v>#NAME?</v>
      </c>
    </row>
    <row r="286" spans="1:22" ht="12.75">
      <c r="A286" s="9" t="str">
        <v>REE</v>
      </c>
      <c r="B286" s="9" t="str">
        <v>REE 312</v>
      </c>
      <c r="C286" s="10">
        <v>2020</v>
      </c>
      <c r="D286" s="10" t="str">
        <v>SPRING</v>
      </c>
      <c r="E286" s="10">
        <v>0</v>
      </c>
      <c r="F286" s="10">
        <v>0</v>
      </c>
      <c r="G286" s="10">
        <v>0</v>
      </c>
      <c r="H286" s="10">
        <v>0</v>
      </c>
      <c r="I286" s="10">
        <v>0</v>
      </c>
      <c r="J286" s="10">
        <v>0</v>
      </c>
      <c r="K286" s="10">
        <v>0</v>
      </c>
      <c r="L286" s="11">
        <v>0</v>
      </c>
      <c r="M286" s="11">
        <v>0</v>
      </c>
      <c r="N286" s="11">
        <v>0</v>
      </c>
      <c r="O286" s="10">
        <v>0</v>
      </c>
      <c r="P286" s="11">
        <v>0</v>
      </c>
      <c r="Q286" s="11">
        <v>0</v>
      </c>
      <c r="R286" s="12" t="b">
        <f t="shared" ca="1" si="3"/>
        <v>0</v>
      </c>
      <c r="S286" s="12"/>
      <c r="T286" s="12" t="e">
        <f t="array" aca="1" ref="T286" ca="1">_xludf.IFNA(LOOKUP(2,1/(C286:Q286&lt;&gt;""),COLUMN(C286:Q286))-2,0)</f>
        <v>#NAME?</v>
      </c>
      <c r="U286" s="12">
        <f t="shared" si="4"/>
        <v>15</v>
      </c>
      <c r="V286" s="12" t="e">
        <f t="shared" ca="1" si="5"/>
        <v>#NAME?</v>
      </c>
    </row>
    <row r="287" spans="1:22" ht="12.75">
      <c r="A287" s="9" t="str">
        <v>REE</v>
      </c>
      <c r="B287" s="9" t="str">
        <v>REE 401</v>
      </c>
      <c r="C287" s="10">
        <v>2020</v>
      </c>
      <c r="D287" s="10" t="str">
        <v>SPRING</v>
      </c>
      <c r="E287" s="10">
        <v>0</v>
      </c>
      <c r="F287" s="10">
        <v>0</v>
      </c>
      <c r="G287" s="10">
        <v>0</v>
      </c>
      <c r="H287" s="10">
        <v>0</v>
      </c>
      <c r="I287" s="10">
        <v>0</v>
      </c>
      <c r="J287" s="10">
        <v>0</v>
      </c>
      <c r="K287" s="10">
        <v>0</v>
      </c>
      <c r="L287" s="11">
        <v>0</v>
      </c>
      <c r="M287" s="11">
        <v>0</v>
      </c>
      <c r="N287" s="11">
        <v>0</v>
      </c>
      <c r="O287" s="10">
        <v>0</v>
      </c>
      <c r="P287" s="11">
        <v>0</v>
      </c>
      <c r="Q287" s="11">
        <v>0</v>
      </c>
      <c r="R287" s="12" t="b">
        <f t="shared" si="3"/>
        <v>1</v>
      </c>
      <c r="S287" s="12"/>
      <c r="T287" s="12" t="e">
        <f t="array" aca="1" ref="T287" ca="1">_xludf.IFNA(LOOKUP(2,1/(C287:Q287&lt;&gt;""),COLUMN(C287:Q287))-2,0)</f>
        <v>#NAME?</v>
      </c>
      <c r="U287" s="12">
        <f t="shared" si="4"/>
        <v>15</v>
      </c>
      <c r="V287" s="12" t="e">
        <f t="shared" ca="1" si="5"/>
        <v>#NAME?</v>
      </c>
    </row>
    <row r="288" spans="1:22" ht="12.75">
      <c r="A288" s="9" t="str">
        <v>REE</v>
      </c>
      <c r="B288" s="9" t="str">
        <v>REE 405</v>
      </c>
      <c r="C288" s="10">
        <v>2020</v>
      </c>
      <c r="D288" s="10" t="str">
        <v>SPRING</v>
      </c>
      <c r="E288" s="10">
        <v>0</v>
      </c>
      <c r="F288" s="10">
        <v>0</v>
      </c>
      <c r="G288" s="10">
        <v>0</v>
      </c>
      <c r="H288" s="10">
        <v>0</v>
      </c>
      <c r="I288" s="10">
        <v>0</v>
      </c>
      <c r="J288" s="10">
        <v>0</v>
      </c>
      <c r="K288" s="10">
        <v>0</v>
      </c>
      <c r="L288" s="11">
        <v>0</v>
      </c>
      <c r="M288" s="11">
        <v>0</v>
      </c>
      <c r="N288" s="11">
        <v>0</v>
      </c>
      <c r="O288" s="10">
        <v>0</v>
      </c>
      <c r="P288" s="11">
        <v>0</v>
      </c>
      <c r="Q288" s="11">
        <v>0</v>
      </c>
      <c r="R288" s="12" t="b">
        <f t="shared" si="3"/>
        <v>1</v>
      </c>
      <c r="S288" s="12"/>
      <c r="T288" s="12" t="e">
        <f t="array" aca="1" ref="T288" ca="1">_xludf.IFNA(LOOKUP(2,1/(C288:Q288&lt;&gt;""),COLUMN(C288:Q288))-2,0)</f>
        <v>#NAME?</v>
      </c>
      <c r="U288" s="12">
        <f t="shared" si="4"/>
        <v>15</v>
      </c>
      <c r="V288" s="12" t="e">
        <f t="shared" ca="1" si="5"/>
        <v>#NAME?</v>
      </c>
    </row>
    <row r="289" spans="1:22" ht="12.75">
      <c r="A289" s="9" t="str">
        <v>REE</v>
      </c>
      <c r="B289" s="9" t="str">
        <v>REE 415</v>
      </c>
      <c r="C289" s="10">
        <v>2020</v>
      </c>
      <c r="D289" s="10" t="str">
        <v>SPRING</v>
      </c>
      <c r="E289" s="10">
        <v>0</v>
      </c>
      <c r="F289" s="10">
        <v>0</v>
      </c>
      <c r="G289" s="10">
        <v>0</v>
      </c>
      <c r="H289" s="10">
        <v>0</v>
      </c>
      <c r="I289" s="10">
        <v>0</v>
      </c>
      <c r="J289" s="10">
        <v>0</v>
      </c>
      <c r="K289" s="10">
        <v>0</v>
      </c>
      <c r="L289" s="11">
        <v>0</v>
      </c>
      <c r="M289" s="11">
        <v>0</v>
      </c>
      <c r="N289" s="11">
        <v>0</v>
      </c>
      <c r="O289" s="10">
        <v>0</v>
      </c>
      <c r="P289" s="11">
        <v>0</v>
      </c>
      <c r="Q289" s="11">
        <v>0</v>
      </c>
      <c r="R289" s="12" t="b">
        <f t="shared" ca="1" si="3"/>
        <v>0</v>
      </c>
      <c r="S289" s="12"/>
      <c r="T289" s="12" t="e">
        <f t="array" aca="1" ref="T289" ca="1">_xludf.IFNA(LOOKUP(2,1/(C289:Q289&lt;&gt;""),COLUMN(C289:Q289))-2,0)</f>
        <v>#NAME?</v>
      </c>
      <c r="U289" s="12">
        <f t="shared" si="4"/>
        <v>15</v>
      </c>
      <c r="V289" s="12" t="e">
        <f t="shared" ca="1" si="5"/>
        <v>#NAME?</v>
      </c>
    </row>
    <row r="290" spans="1:22" ht="12.75">
      <c r="A290" s="9" t="str">
        <v>REE</v>
      </c>
      <c r="B290" s="9" t="str">
        <v>REE 419</v>
      </c>
      <c r="C290" s="10">
        <v>2020</v>
      </c>
      <c r="D290" s="10" t="str">
        <v>SPRING</v>
      </c>
      <c r="E290" s="10">
        <v>0</v>
      </c>
      <c r="F290" s="10">
        <v>0</v>
      </c>
      <c r="G290" s="10">
        <v>0</v>
      </c>
      <c r="H290" s="10">
        <v>0</v>
      </c>
      <c r="I290" s="10">
        <v>0</v>
      </c>
      <c r="J290" s="10">
        <v>0</v>
      </c>
      <c r="K290" s="10">
        <v>0</v>
      </c>
      <c r="L290" s="11">
        <v>0</v>
      </c>
      <c r="M290" s="11">
        <v>0</v>
      </c>
      <c r="N290" s="11">
        <v>0</v>
      </c>
      <c r="O290" s="10">
        <v>0</v>
      </c>
      <c r="P290" s="11">
        <v>0</v>
      </c>
      <c r="Q290" s="11">
        <v>0</v>
      </c>
      <c r="R290" s="12" t="b">
        <f t="shared" ca="1" si="3"/>
        <v>0</v>
      </c>
      <c r="S290" s="12"/>
      <c r="T290" s="12" t="e">
        <f t="array" aca="1" ref="T290" ca="1">_xludf.IFNA(LOOKUP(2,1/(C290:Q290&lt;&gt;""),COLUMN(C290:Q290))-2,0)</f>
        <v>#NAME?</v>
      </c>
      <c r="U290" s="12">
        <f t="shared" si="4"/>
        <v>15</v>
      </c>
      <c r="V290" s="12" t="e">
        <f t="shared" ca="1" si="5"/>
        <v>#NAME?</v>
      </c>
    </row>
    <row r="291" spans="1:22" ht="12.75">
      <c r="A291" s="9" t="str">
        <v>REE</v>
      </c>
      <c r="B291" s="9" t="str">
        <v>REE 421</v>
      </c>
      <c r="C291" s="10">
        <v>2020</v>
      </c>
      <c r="D291" s="10" t="str">
        <v>SPRING</v>
      </c>
      <c r="E291" s="10">
        <v>0</v>
      </c>
      <c r="F291" s="10">
        <v>0</v>
      </c>
      <c r="G291" s="10">
        <v>0</v>
      </c>
      <c r="H291" s="10">
        <v>0</v>
      </c>
      <c r="I291" s="10">
        <v>0</v>
      </c>
      <c r="J291" s="10">
        <v>0</v>
      </c>
      <c r="K291" s="10">
        <v>0</v>
      </c>
      <c r="L291" s="11">
        <v>0</v>
      </c>
      <c r="M291" s="11">
        <v>0</v>
      </c>
      <c r="N291" s="11">
        <v>0</v>
      </c>
      <c r="O291" s="10">
        <v>0</v>
      </c>
      <c r="P291" s="11">
        <v>0</v>
      </c>
      <c r="Q291" s="11">
        <v>0</v>
      </c>
      <c r="R291" s="12" t="b">
        <f t="shared" ca="1" si="3"/>
        <v>0</v>
      </c>
      <c r="S291" s="12"/>
      <c r="T291" s="12" t="e">
        <f t="array" aca="1" ref="T291" ca="1">_xludf.IFNA(LOOKUP(2,1/(C291:Q291&lt;&gt;""),COLUMN(C291:Q291))-2,0)</f>
        <v>#NAME?</v>
      </c>
      <c r="U291" s="12">
        <f t="shared" si="4"/>
        <v>15</v>
      </c>
      <c r="V291" s="12" t="e">
        <f t="shared" ca="1" si="5"/>
        <v>#NAME?</v>
      </c>
    </row>
    <row r="292" spans="1:22" ht="12.75">
      <c r="A292" s="9" t="str">
        <v>REE</v>
      </c>
      <c r="B292" s="9" t="str">
        <v>REE 430</v>
      </c>
      <c r="C292" s="10">
        <v>2020</v>
      </c>
      <c r="D292" s="10" t="str">
        <v>SPRING</v>
      </c>
      <c r="E292" s="10">
        <v>0</v>
      </c>
      <c r="F292" s="10">
        <v>0</v>
      </c>
      <c r="G292" s="10">
        <v>0</v>
      </c>
      <c r="H292" s="10">
        <v>0</v>
      </c>
      <c r="I292" s="10">
        <v>0</v>
      </c>
      <c r="J292" s="10">
        <v>0</v>
      </c>
      <c r="K292" s="10">
        <v>0</v>
      </c>
      <c r="L292" s="11">
        <v>0</v>
      </c>
      <c r="M292" s="11">
        <v>0</v>
      </c>
      <c r="N292" s="11">
        <v>0</v>
      </c>
      <c r="O292" s="10">
        <v>0</v>
      </c>
      <c r="P292" s="11">
        <v>0</v>
      </c>
      <c r="Q292" s="11">
        <v>0</v>
      </c>
      <c r="R292" s="12" t="b">
        <f t="shared" ca="1" si="3"/>
        <v>0</v>
      </c>
      <c r="S292" s="12"/>
      <c r="T292" s="12" t="e">
        <f t="array" aca="1" ref="T292" ca="1">_xludf.IFNA(LOOKUP(2,1/(C292:Q292&lt;&gt;""),COLUMN(C292:Q292))-2,0)</f>
        <v>#NAME?</v>
      </c>
      <c r="U292" s="12">
        <f t="shared" si="4"/>
        <v>15</v>
      </c>
      <c r="V292" s="12" t="e">
        <f t="shared" ca="1" si="5"/>
        <v>#NAME?</v>
      </c>
    </row>
    <row r="293" spans="1:22" ht="12.75">
      <c r="A293" s="9" t="str">
        <v>REE</v>
      </c>
      <c r="B293" s="9" t="str">
        <v>REE 466</v>
      </c>
      <c r="C293" s="10">
        <v>2020</v>
      </c>
      <c r="D293" s="10" t="str">
        <v>SPRING</v>
      </c>
      <c r="E293" s="10">
        <v>0</v>
      </c>
      <c r="F293" s="10">
        <v>0</v>
      </c>
      <c r="G293" s="10">
        <v>0</v>
      </c>
      <c r="H293" s="10">
        <v>0</v>
      </c>
      <c r="I293" s="10">
        <v>0</v>
      </c>
      <c r="J293" s="10">
        <v>0</v>
      </c>
      <c r="K293" s="10">
        <v>0</v>
      </c>
      <c r="L293" s="11">
        <v>0</v>
      </c>
      <c r="M293" s="11">
        <v>0</v>
      </c>
      <c r="N293" s="11">
        <v>0</v>
      </c>
      <c r="O293" s="10">
        <v>0</v>
      </c>
      <c r="P293" s="11">
        <v>0</v>
      </c>
      <c r="Q293" s="11">
        <v>0</v>
      </c>
      <c r="R293" s="12" t="b">
        <f t="shared" si="3"/>
        <v>1</v>
      </c>
      <c r="S293" s="12"/>
      <c r="T293" s="12" t="e">
        <f t="array" aca="1" ref="T293" ca="1">_xludf.IFNA(LOOKUP(2,1/(C293:Q293&lt;&gt;""),COLUMN(C293:Q293))-2,0)</f>
        <v>#NAME?</v>
      </c>
      <c r="U293" s="12">
        <f t="shared" si="4"/>
        <v>15</v>
      </c>
      <c r="V293" s="12" t="e">
        <f t="shared" ca="1" si="5"/>
        <v>#NAME?</v>
      </c>
    </row>
    <row r="294" spans="1:22" ht="12.75">
      <c r="A294" s="9" t="str">
        <v>REE</v>
      </c>
      <c r="B294" s="9" t="str">
        <v>REE 503</v>
      </c>
      <c r="C294" s="10">
        <v>2020</v>
      </c>
      <c r="D294" s="10" t="str">
        <v>SPRING</v>
      </c>
      <c r="E294" s="10">
        <v>0</v>
      </c>
      <c r="F294" s="10">
        <v>0</v>
      </c>
      <c r="G294" s="10">
        <v>0</v>
      </c>
      <c r="H294" s="10">
        <v>0</v>
      </c>
      <c r="I294" s="10">
        <v>0</v>
      </c>
      <c r="J294" s="10">
        <v>0</v>
      </c>
      <c r="K294" s="10">
        <v>0</v>
      </c>
      <c r="L294" s="11">
        <v>0</v>
      </c>
      <c r="M294" s="11">
        <v>0</v>
      </c>
      <c r="N294" s="11">
        <v>0</v>
      </c>
      <c r="O294" s="10">
        <v>0</v>
      </c>
      <c r="P294" s="11">
        <v>0</v>
      </c>
      <c r="Q294" s="11">
        <v>0</v>
      </c>
      <c r="R294" s="12" t="b">
        <f t="shared" ca="1" si="3"/>
        <v>0</v>
      </c>
      <c r="S294" s="12"/>
      <c r="T294" s="12" t="e">
        <f t="array" aca="1" ref="T294" ca="1">_xludf.IFNA(LOOKUP(2,1/(C294:Q294&lt;&gt;""),COLUMN(C294:Q294))-2,0)</f>
        <v>#NAME?</v>
      </c>
      <c r="U294" s="12">
        <f t="shared" si="4"/>
        <v>15</v>
      </c>
      <c r="V294" s="12" t="e">
        <f t="shared" ca="1" si="5"/>
        <v>#NAME?</v>
      </c>
    </row>
    <row r="295" spans="1:22" ht="12.75">
      <c r="A295" s="9" t="str">
        <v>REE</v>
      </c>
      <c r="B295" s="9" t="str">
        <v>REE 520</v>
      </c>
      <c r="C295" s="10">
        <v>2020</v>
      </c>
      <c r="D295" s="10" t="str">
        <v>SPRING</v>
      </c>
      <c r="E295" s="10">
        <v>0</v>
      </c>
      <c r="F295" s="10">
        <v>0</v>
      </c>
      <c r="G295" s="10">
        <v>0</v>
      </c>
      <c r="H295" s="10">
        <v>0</v>
      </c>
      <c r="I295" s="10">
        <v>0</v>
      </c>
      <c r="J295" s="10">
        <v>0</v>
      </c>
      <c r="K295" s="10">
        <v>0</v>
      </c>
      <c r="L295" s="11">
        <v>0</v>
      </c>
      <c r="M295" s="11">
        <v>0</v>
      </c>
      <c r="N295" s="11">
        <v>0</v>
      </c>
      <c r="O295" s="10">
        <v>0</v>
      </c>
      <c r="P295" s="11">
        <v>0</v>
      </c>
      <c r="Q295" s="11">
        <v>0</v>
      </c>
      <c r="R295" s="12" t="b">
        <f t="shared" si="3"/>
        <v>1</v>
      </c>
      <c r="S295" s="12"/>
      <c r="T295" s="12" t="e">
        <f t="array" aca="1" ref="T295" ca="1">_xludf.IFNA(LOOKUP(2,1/(C295:Q295&lt;&gt;""),COLUMN(C295:Q295))-2,0)</f>
        <v>#NAME?</v>
      </c>
      <c r="U295" s="12">
        <f t="shared" si="4"/>
        <v>15</v>
      </c>
      <c r="V295" s="12" t="e">
        <f t="shared" ca="1" si="5"/>
        <v>#NAME?</v>
      </c>
    </row>
    <row r="296" spans="1:22" ht="12.75">
      <c r="A296" s="9" t="str">
        <v>REE</v>
      </c>
      <c r="B296" s="9" t="str">
        <v>REE 532</v>
      </c>
      <c r="C296" s="10">
        <v>2020</v>
      </c>
      <c r="D296" s="10" t="str">
        <v>SPRING</v>
      </c>
      <c r="E296" s="10">
        <v>0</v>
      </c>
      <c r="F296" s="10">
        <v>0</v>
      </c>
      <c r="G296" s="10">
        <v>0</v>
      </c>
      <c r="H296" s="10">
        <v>0</v>
      </c>
      <c r="I296" s="10">
        <v>0</v>
      </c>
      <c r="J296" s="10">
        <v>0</v>
      </c>
      <c r="K296" s="10">
        <v>0</v>
      </c>
      <c r="L296" s="11">
        <v>0</v>
      </c>
      <c r="M296" s="11">
        <v>0</v>
      </c>
      <c r="N296" s="11">
        <v>0</v>
      </c>
      <c r="O296" s="10">
        <v>0</v>
      </c>
      <c r="P296" s="11">
        <v>0</v>
      </c>
      <c r="Q296" s="11">
        <v>0</v>
      </c>
      <c r="R296" s="12" t="b">
        <f t="shared" si="3"/>
        <v>1</v>
      </c>
      <c r="S296" s="12"/>
      <c r="T296" s="12" t="e">
        <f t="array" aca="1" ref="T296" ca="1">_xludf.IFNA(LOOKUP(2,1/(C296:Q296&lt;&gt;""),COLUMN(C296:Q296))-2,0)</f>
        <v>#NAME?</v>
      </c>
      <c r="U296" s="12">
        <f t="shared" si="4"/>
        <v>15</v>
      </c>
      <c r="V296" s="12" t="e">
        <f t="shared" ca="1" si="5"/>
        <v>#NAME?</v>
      </c>
    </row>
    <row r="297" spans="1:22" ht="12.75">
      <c r="A297" s="9" t="str">
        <v>REE</v>
      </c>
      <c r="B297" s="9" t="str">
        <v>REE 534</v>
      </c>
      <c r="C297" s="10">
        <v>2020</v>
      </c>
      <c r="D297" s="10" t="str">
        <v>SPRING</v>
      </c>
      <c r="E297" s="10">
        <v>0</v>
      </c>
      <c r="F297" s="10">
        <v>0</v>
      </c>
      <c r="G297" s="10">
        <v>0</v>
      </c>
      <c r="H297" s="10">
        <v>0</v>
      </c>
      <c r="I297" s="10">
        <v>0</v>
      </c>
      <c r="J297" s="10">
        <v>0</v>
      </c>
      <c r="K297" s="10">
        <v>0</v>
      </c>
      <c r="L297" s="11">
        <v>0</v>
      </c>
      <c r="M297" s="11">
        <v>0</v>
      </c>
      <c r="N297" s="11">
        <v>0</v>
      </c>
      <c r="O297" s="10">
        <v>0</v>
      </c>
      <c r="P297" s="11">
        <v>0</v>
      </c>
      <c r="Q297" s="11">
        <v>0</v>
      </c>
      <c r="R297" s="12" t="b">
        <f t="shared" si="3"/>
        <v>1</v>
      </c>
      <c r="S297" s="12"/>
      <c r="T297" s="12" t="e">
        <f t="array" aca="1" ref="T297" ca="1">_xludf.IFNA(LOOKUP(2,1/(C297:Q297&lt;&gt;""),COLUMN(C297:Q297))-2,0)</f>
        <v>#NAME?</v>
      </c>
      <c r="U297" s="12">
        <f t="shared" si="4"/>
        <v>15</v>
      </c>
      <c r="V297" s="12" t="e">
        <f t="shared" ca="1" si="5"/>
        <v>#NAME?</v>
      </c>
    </row>
    <row r="298" spans="1:22" ht="12.75">
      <c r="A298" s="9" t="str">
        <v>REE</v>
      </c>
      <c r="B298" s="9" t="str">
        <v>REE 543</v>
      </c>
      <c r="C298" s="10">
        <v>2020</v>
      </c>
      <c r="D298" s="10" t="str">
        <v>SPRING</v>
      </c>
      <c r="E298" s="10">
        <v>0</v>
      </c>
      <c r="F298" s="10">
        <v>0</v>
      </c>
      <c r="G298" s="10">
        <v>0</v>
      </c>
      <c r="H298" s="10">
        <v>0</v>
      </c>
      <c r="I298" s="10">
        <v>0</v>
      </c>
      <c r="J298" s="10">
        <v>0</v>
      </c>
      <c r="K298" s="10">
        <v>0</v>
      </c>
      <c r="L298" s="11">
        <v>0</v>
      </c>
      <c r="M298" s="11">
        <v>0</v>
      </c>
      <c r="N298" s="11">
        <v>0</v>
      </c>
      <c r="O298" s="10">
        <v>0</v>
      </c>
      <c r="P298" s="11">
        <v>0</v>
      </c>
      <c r="Q298" s="11">
        <v>0</v>
      </c>
      <c r="R298" s="12" t="b">
        <f t="shared" ca="1" si="3"/>
        <v>0</v>
      </c>
      <c r="S298" s="12"/>
      <c r="T298" s="12" t="e">
        <f t="array" aca="1" ref="T298" ca="1">_xludf.IFNA(LOOKUP(2,1/(C298:Q298&lt;&gt;""),COLUMN(C298:Q298))-2,0)</f>
        <v>#NAME?</v>
      </c>
      <c r="U298" s="12">
        <f t="shared" si="4"/>
        <v>15</v>
      </c>
      <c r="V298" s="12" t="e">
        <f t="shared" ca="1" si="5"/>
        <v>#NAME?</v>
      </c>
    </row>
    <row r="299" spans="1:22" ht="12.75">
      <c r="A299" s="9" t="str">
        <v>SPC</v>
      </c>
      <c r="B299" s="9" t="str">
        <v>ENGR 201</v>
      </c>
      <c r="C299" s="10">
        <v>2020</v>
      </c>
      <c r="D299" s="10" t="str">
        <v>SPRING</v>
      </c>
      <c r="E299" s="10">
        <v>0</v>
      </c>
      <c r="F299" s="10">
        <v>0</v>
      </c>
      <c r="G299" s="10">
        <v>0</v>
      </c>
      <c r="H299" s="10">
        <v>0</v>
      </c>
      <c r="I299" s="10">
        <v>0</v>
      </c>
      <c r="J299" s="10">
        <v>0</v>
      </c>
      <c r="K299" s="10">
        <v>0</v>
      </c>
      <c r="L299" s="11">
        <v>0</v>
      </c>
      <c r="M299" s="11">
        <v>0</v>
      </c>
      <c r="N299" s="11">
        <v>0</v>
      </c>
      <c r="O299" s="10">
        <v>0</v>
      </c>
      <c r="P299" s="11">
        <v>0</v>
      </c>
      <c r="Q299" s="11">
        <v>0</v>
      </c>
      <c r="R299" s="12" t="b">
        <f t="shared" si="3"/>
        <v>1</v>
      </c>
      <c r="S299" s="12"/>
      <c r="T299" s="12" t="e">
        <f t="array" aca="1" ref="T299" ca="1">_xludf.IFNA(LOOKUP(2,1/(C299:Q299&lt;&gt;""),COLUMN(C299:Q299))-2,0)</f>
        <v>#NAME?</v>
      </c>
      <c r="U299" s="12">
        <f t="shared" si="4"/>
        <v>15</v>
      </c>
      <c r="V299" s="12" t="e">
        <f t="shared" ca="1" si="5"/>
        <v>#NAME?</v>
      </c>
    </row>
    <row r="300" spans="1:22" ht="12.75">
      <c r="A300" s="9" t="str">
        <v>SPC</v>
      </c>
      <c r="B300" s="9" t="str">
        <v>ENGR 332</v>
      </c>
      <c r="C300" s="10">
        <v>2020</v>
      </c>
      <c r="D300" s="10" t="str">
        <v>SPRING</v>
      </c>
      <c r="E300" s="10">
        <v>0</v>
      </c>
      <c r="F300" s="10">
        <v>0</v>
      </c>
      <c r="G300" s="10">
        <v>0</v>
      </c>
      <c r="H300" s="10">
        <v>0</v>
      </c>
      <c r="I300" s="10">
        <v>0</v>
      </c>
      <c r="J300" s="10">
        <v>0</v>
      </c>
      <c r="K300" s="10">
        <v>0</v>
      </c>
      <c r="L300" s="11">
        <v>0</v>
      </c>
      <c r="M300" s="11">
        <v>0</v>
      </c>
      <c r="N300" s="11">
        <v>0</v>
      </c>
      <c r="O300" s="10">
        <v>0</v>
      </c>
      <c r="P300" s="11">
        <v>0</v>
      </c>
      <c r="Q300" s="11">
        <v>0</v>
      </c>
      <c r="R300" s="12" t="b">
        <f t="shared" si="3"/>
        <v>1</v>
      </c>
      <c r="S300" s="12"/>
      <c r="T300" s="12" t="e">
        <f t="array" aca="1" ref="T300" ca="1">_xludf.IFNA(LOOKUP(2,1/(C300:Q300&lt;&gt;""),COLUMN(C300:Q300))-2,0)</f>
        <v>#NAME?</v>
      </c>
      <c r="U300" s="12">
        <f t="shared" si="4"/>
        <v>15</v>
      </c>
      <c r="V300" s="12" t="e">
        <f t="shared" ca="1" si="5"/>
        <v>#NAME?</v>
      </c>
    </row>
    <row r="301" spans="1:22" ht="12.75">
      <c r="A301" s="9" t="str">
        <v>SPC</v>
      </c>
      <c r="B301" s="9" t="str">
        <v>SPC 201</v>
      </c>
      <c r="C301" s="10">
        <v>2020</v>
      </c>
      <c r="D301" s="10" t="str">
        <v>SPRING</v>
      </c>
      <c r="E301" s="10">
        <v>0</v>
      </c>
      <c r="F301" s="10">
        <v>0</v>
      </c>
      <c r="G301" s="10">
        <v>0</v>
      </c>
      <c r="H301" s="10">
        <v>0</v>
      </c>
      <c r="I301" s="10">
        <v>0</v>
      </c>
      <c r="J301" s="10">
        <v>0</v>
      </c>
      <c r="K301" s="10">
        <v>0</v>
      </c>
      <c r="L301" s="11">
        <v>0</v>
      </c>
      <c r="M301" s="11">
        <v>0</v>
      </c>
      <c r="N301" s="11">
        <v>0</v>
      </c>
      <c r="O301" s="10">
        <v>0</v>
      </c>
      <c r="P301" s="11">
        <v>0</v>
      </c>
      <c r="Q301" s="11">
        <v>0</v>
      </c>
      <c r="R301" s="12" t="b">
        <f t="shared" si="3"/>
        <v>1</v>
      </c>
      <c r="S301" s="12"/>
      <c r="T301" s="12" t="e">
        <f t="array" aca="1" ref="T301" ca="1">_xludf.IFNA(LOOKUP(2,1/(C301:Q301&lt;&gt;""),COLUMN(C301:Q301))-2,0)</f>
        <v>#NAME?</v>
      </c>
      <c r="U301" s="12">
        <f t="shared" si="4"/>
        <v>15</v>
      </c>
      <c r="V301" s="12" t="e">
        <f t="shared" ca="1" si="5"/>
        <v>#NAME?</v>
      </c>
    </row>
    <row r="302" spans="1:22" ht="12.75">
      <c r="A302" s="9" t="str">
        <v>SPC</v>
      </c>
      <c r="B302" s="9" t="str">
        <v>SPC 208</v>
      </c>
      <c r="C302" s="10">
        <v>2020</v>
      </c>
      <c r="D302" s="10" t="str">
        <v>SPRING</v>
      </c>
      <c r="E302" s="10">
        <v>0</v>
      </c>
      <c r="F302" s="10">
        <v>0</v>
      </c>
      <c r="G302" s="10">
        <v>0</v>
      </c>
      <c r="H302" s="10">
        <v>0</v>
      </c>
      <c r="I302" s="10">
        <v>0</v>
      </c>
      <c r="J302" s="10">
        <v>0</v>
      </c>
      <c r="K302" s="10">
        <v>0</v>
      </c>
      <c r="L302" s="11">
        <v>0</v>
      </c>
      <c r="M302" s="11">
        <v>0</v>
      </c>
      <c r="N302" s="11">
        <v>0</v>
      </c>
      <c r="O302" s="10">
        <v>0</v>
      </c>
      <c r="P302" s="11">
        <v>0</v>
      </c>
      <c r="Q302" s="11">
        <v>0</v>
      </c>
      <c r="R302" s="12" t="b">
        <f t="shared" si="3"/>
        <v>1</v>
      </c>
      <c r="S302" s="12"/>
      <c r="T302" s="12" t="e">
        <f t="array" aca="1" ref="T302" ca="1">_xludf.IFNA(LOOKUP(2,1/(C302:Q302&lt;&gt;""),COLUMN(C302:Q302))-2,0)</f>
        <v>#NAME?</v>
      </c>
      <c r="U302" s="12">
        <f t="shared" si="4"/>
        <v>15</v>
      </c>
      <c r="V302" s="12" t="e">
        <f t="shared" ca="1" si="5"/>
        <v>#NAME?</v>
      </c>
    </row>
    <row r="303" spans="1:22" ht="12.75">
      <c r="A303" s="9" t="str">
        <v>SPC</v>
      </c>
      <c r="B303" s="9" t="str">
        <v>SPC 209</v>
      </c>
      <c r="C303" s="10">
        <v>2020</v>
      </c>
      <c r="D303" s="10" t="str">
        <v>SPRING</v>
      </c>
      <c r="E303" s="10">
        <v>0</v>
      </c>
      <c r="F303" s="10">
        <v>0</v>
      </c>
      <c r="G303" s="10">
        <v>0</v>
      </c>
      <c r="H303" s="10">
        <v>0</v>
      </c>
      <c r="I303" s="10">
        <v>0</v>
      </c>
      <c r="J303" s="10">
        <v>0</v>
      </c>
      <c r="K303" s="10">
        <v>0</v>
      </c>
      <c r="L303" s="11">
        <v>0</v>
      </c>
      <c r="M303" s="11">
        <v>0</v>
      </c>
      <c r="N303" s="11">
        <v>0</v>
      </c>
      <c r="O303" s="10">
        <v>0</v>
      </c>
      <c r="P303" s="11">
        <v>0</v>
      </c>
      <c r="Q303" s="11">
        <v>0</v>
      </c>
      <c r="R303" s="12" t="b">
        <f t="shared" si="3"/>
        <v>1</v>
      </c>
      <c r="S303" s="12"/>
      <c r="T303" s="12" t="e">
        <f t="array" aca="1" ref="T303" ca="1">_xludf.IFNA(LOOKUP(2,1/(C303:Q303&lt;&gt;""),COLUMN(C303:Q303))-2,0)</f>
        <v>#NAME?</v>
      </c>
      <c r="U303" s="12">
        <f t="shared" si="4"/>
        <v>15</v>
      </c>
      <c r="V303" s="12" t="e">
        <f t="shared" ca="1" si="5"/>
        <v>#NAME?</v>
      </c>
    </row>
    <row r="304" spans="1:22" ht="12.75">
      <c r="A304" s="9" t="str">
        <v>SPC</v>
      </c>
      <c r="B304" s="9" t="str">
        <v>SPC 408</v>
      </c>
      <c r="C304" s="10">
        <v>2020</v>
      </c>
      <c r="D304" s="10" t="str">
        <v>SPRING</v>
      </c>
      <c r="E304" s="10">
        <v>0</v>
      </c>
      <c r="F304" s="10">
        <v>0</v>
      </c>
      <c r="G304" s="10">
        <v>0</v>
      </c>
      <c r="H304" s="10">
        <v>0</v>
      </c>
      <c r="I304" s="10">
        <v>0</v>
      </c>
      <c r="J304" s="10">
        <v>0</v>
      </c>
      <c r="K304" s="10">
        <v>0</v>
      </c>
      <c r="L304" s="11">
        <v>0</v>
      </c>
      <c r="M304" s="11">
        <v>0</v>
      </c>
      <c r="N304" s="11">
        <v>0</v>
      </c>
      <c r="O304" s="10">
        <v>0</v>
      </c>
      <c r="P304" s="11">
        <v>0</v>
      </c>
      <c r="Q304" s="11">
        <v>0</v>
      </c>
      <c r="R304" s="12" t="b">
        <f t="shared" ca="1" si="3"/>
        <v>0</v>
      </c>
      <c r="S304" s="12"/>
      <c r="T304" s="12" t="e">
        <f t="array" aca="1" ref="T304" ca="1">_xludf.IFNA(LOOKUP(2,1/(C304:Q304&lt;&gt;""),COLUMN(C304:Q304))-2,0)</f>
        <v>#NAME?</v>
      </c>
      <c r="U304" s="12">
        <f t="shared" si="4"/>
        <v>15</v>
      </c>
      <c r="V304" s="12" t="e">
        <f t="shared" ca="1" si="5"/>
        <v>#NAME?</v>
      </c>
    </row>
    <row r="305" spans="1:22" ht="12.75">
      <c r="A305" s="9" t="str">
        <v>SPC</v>
      </c>
      <c r="B305" s="9" t="str">
        <v>SPC 409</v>
      </c>
      <c r="C305" s="10">
        <v>2020</v>
      </c>
      <c r="D305" s="10" t="str">
        <v>SPRING</v>
      </c>
      <c r="E305" s="10">
        <v>0</v>
      </c>
      <c r="F305" s="10">
        <v>0</v>
      </c>
      <c r="G305" s="10">
        <v>0</v>
      </c>
      <c r="H305" s="10">
        <v>0</v>
      </c>
      <c r="I305" s="10">
        <v>0</v>
      </c>
      <c r="J305" s="10">
        <v>0</v>
      </c>
      <c r="K305" s="10">
        <v>0</v>
      </c>
      <c r="L305" s="11">
        <v>0</v>
      </c>
      <c r="M305" s="11">
        <v>0</v>
      </c>
      <c r="N305" s="11">
        <v>0</v>
      </c>
      <c r="O305" s="10">
        <v>0</v>
      </c>
      <c r="P305" s="11">
        <v>0</v>
      </c>
      <c r="Q305" s="11">
        <v>0</v>
      </c>
      <c r="R305" s="12" t="b">
        <f t="shared" ca="1" si="3"/>
        <v>0</v>
      </c>
      <c r="S305" s="12"/>
      <c r="T305" s="12" t="e">
        <f t="array" aca="1" ref="T305" ca="1">_xludf.IFNA(LOOKUP(2,1/(C305:Q305&lt;&gt;""),COLUMN(C305:Q305))-2,0)</f>
        <v>#NAME?</v>
      </c>
      <c r="U305" s="12">
        <f t="shared" si="4"/>
        <v>15</v>
      </c>
      <c r="V305" s="12" t="e">
        <f t="shared" ca="1" si="5"/>
        <v>#NAME?</v>
      </c>
    </row>
    <row r="306" spans="1:22" ht="12.75">
      <c r="A306" s="9" t="str">
        <v>SPC</v>
      </c>
      <c r="B306" s="9" t="str">
        <v>SPC 413</v>
      </c>
      <c r="C306" s="10">
        <v>2020</v>
      </c>
      <c r="D306" s="10" t="str">
        <v>SPRING</v>
      </c>
      <c r="E306" s="10">
        <v>0</v>
      </c>
      <c r="F306" s="10">
        <v>0</v>
      </c>
      <c r="G306" s="10">
        <v>0</v>
      </c>
      <c r="H306" s="10">
        <v>0</v>
      </c>
      <c r="I306" s="10">
        <v>0</v>
      </c>
      <c r="J306" s="10">
        <v>0</v>
      </c>
      <c r="K306" s="10">
        <v>0</v>
      </c>
      <c r="L306" s="11">
        <v>0</v>
      </c>
      <c r="M306" s="11">
        <v>0</v>
      </c>
      <c r="N306" s="11">
        <v>0</v>
      </c>
      <c r="O306" s="10">
        <v>0</v>
      </c>
      <c r="P306" s="11">
        <v>0</v>
      </c>
      <c r="Q306" s="11">
        <v>0</v>
      </c>
      <c r="R306" s="12" t="b">
        <f t="shared" ca="1" si="3"/>
        <v>0</v>
      </c>
      <c r="S306" s="12"/>
      <c r="T306" s="12" t="e">
        <f t="array" aca="1" ref="T306" ca="1">_xludf.IFNA(LOOKUP(2,1/(C306:Q306&lt;&gt;""),COLUMN(C306:Q306))-2,0)</f>
        <v>#NAME?</v>
      </c>
      <c r="U306" s="12">
        <f t="shared" si="4"/>
        <v>15</v>
      </c>
      <c r="V306" s="12" t="e">
        <f t="shared" ca="1" si="5"/>
        <v>#NAME?</v>
      </c>
    </row>
    <row r="307" spans="1:22" ht="12.75">
      <c r="A307" s="9" t="str">
        <v>SPC</v>
      </c>
      <c r="B307" s="9" t="str">
        <v>SPC 491</v>
      </c>
      <c r="C307" s="10">
        <v>2020</v>
      </c>
      <c r="D307" s="10" t="str">
        <v>SPRING</v>
      </c>
      <c r="E307" s="10">
        <v>0</v>
      </c>
      <c r="F307" s="10">
        <v>0</v>
      </c>
      <c r="G307" s="10">
        <v>0</v>
      </c>
      <c r="H307" s="10">
        <v>0</v>
      </c>
      <c r="I307" s="10">
        <v>0</v>
      </c>
      <c r="J307" s="10">
        <v>0</v>
      </c>
      <c r="K307" s="10">
        <v>0</v>
      </c>
      <c r="L307" s="11">
        <v>0</v>
      </c>
      <c r="M307" s="11">
        <v>0</v>
      </c>
      <c r="N307" s="11">
        <v>0</v>
      </c>
      <c r="O307" s="10">
        <v>0</v>
      </c>
      <c r="P307" s="11">
        <v>0</v>
      </c>
      <c r="Q307" s="11">
        <v>0</v>
      </c>
      <c r="R307" s="12" t="b">
        <f t="shared" si="3"/>
        <v>1</v>
      </c>
      <c r="S307" s="12"/>
      <c r="T307" s="12" t="e">
        <f t="array" aca="1" ref="T307" ca="1">_xludf.IFNA(LOOKUP(2,1/(C307:Q307&lt;&gt;""),COLUMN(C307:Q307))-2,0)</f>
        <v>#NAME?</v>
      </c>
      <c r="U307" s="12">
        <f t="shared" si="4"/>
        <v>15</v>
      </c>
      <c r="V307" s="12" t="e">
        <f t="shared" ca="1" si="5"/>
        <v>#NAME?</v>
      </c>
    </row>
    <row r="308" spans="1:22" ht="12.75">
      <c r="A308" s="9" t="str">
        <v>SPC</v>
      </c>
      <c r="B308" s="9" t="str">
        <v>SPC 506</v>
      </c>
      <c r="C308" s="10">
        <v>2020</v>
      </c>
      <c r="D308" s="10" t="str">
        <v>SPRING</v>
      </c>
      <c r="E308" s="10">
        <v>0</v>
      </c>
      <c r="F308" s="10">
        <v>0</v>
      </c>
      <c r="G308" s="10">
        <v>0</v>
      </c>
      <c r="H308" s="10">
        <v>0</v>
      </c>
      <c r="I308" s="10">
        <v>0</v>
      </c>
      <c r="J308" s="10">
        <v>0</v>
      </c>
      <c r="K308" s="10">
        <v>0</v>
      </c>
      <c r="L308" s="11">
        <v>0</v>
      </c>
      <c r="M308" s="11">
        <v>0</v>
      </c>
      <c r="N308" s="11">
        <v>0</v>
      </c>
      <c r="O308" s="10">
        <v>0</v>
      </c>
      <c r="P308" s="11">
        <v>0</v>
      </c>
      <c r="Q308" s="11">
        <v>0</v>
      </c>
      <c r="R308" s="12" t="b">
        <f t="shared" ca="1" si="3"/>
        <v>0</v>
      </c>
      <c r="S308" s="12"/>
      <c r="T308" s="12" t="e">
        <f t="array" aca="1" ref="T308" ca="1">_xludf.IFNA(LOOKUP(2,1/(C308:Q308&lt;&gt;""),COLUMN(C308:Q308))-2,0)</f>
        <v>#NAME?</v>
      </c>
      <c r="U308" s="12">
        <f t="shared" si="4"/>
        <v>15</v>
      </c>
      <c r="V308" s="12" t="e">
        <f t="shared" ca="1" si="5"/>
        <v>#NAME?</v>
      </c>
    </row>
    <row r="309" spans="1:22" ht="12.75">
      <c r="A309" s="9" t="str">
        <v>SPC</v>
      </c>
      <c r="B309" s="9" t="str">
        <v>SPC 510</v>
      </c>
      <c r="C309" s="10">
        <v>2020</v>
      </c>
      <c r="D309" s="10" t="str">
        <v>SPRING</v>
      </c>
      <c r="E309" s="10">
        <v>0</v>
      </c>
      <c r="F309" s="10">
        <v>0</v>
      </c>
      <c r="G309" s="10">
        <v>0</v>
      </c>
      <c r="H309" s="10">
        <v>0</v>
      </c>
      <c r="I309" s="10">
        <v>0</v>
      </c>
      <c r="J309" s="10">
        <v>0</v>
      </c>
      <c r="K309" s="10">
        <v>0</v>
      </c>
      <c r="L309" s="11">
        <v>0</v>
      </c>
      <c r="M309" s="11">
        <v>0</v>
      </c>
      <c r="N309" s="11">
        <v>0</v>
      </c>
      <c r="O309" s="10">
        <v>0</v>
      </c>
      <c r="P309" s="11">
        <v>0</v>
      </c>
      <c r="Q309" s="11">
        <v>0</v>
      </c>
      <c r="R309" s="12" t="b">
        <f t="shared" ca="1" si="3"/>
        <v>0</v>
      </c>
      <c r="S309" s="12"/>
      <c r="T309" s="12" t="e">
        <f t="array" aca="1" ref="T309" ca="1">_xludf.IFNA(LOOKUP(2,1/(C309:Q309&lt;&gt;""),COLUMN(C309:Q309))-2,0)</f>
        <v>#NAME?</v>
      </c>
      <c r="U309" s="12">
        <f t="shared" si="4"/>
        <v>15</v>
      </c>
      <c r="V309" s="12" t="e">
        <f t="shared" ca="1" si="5"/>
        <v>#NAME?</v>
      </c>
    </row>
    <row r="310" spans="1:22" ht="12.75">
      <c r="A310" s="9" t="str">
        <v>SPC</v>
      </c>
      <c r="B310" s="9" t="str">
        <v>SPC 527</v>
      </c>
      <c r="C310" s="10">
        <v>2020</v>
      </c>
      <c r="D310" s="10" t="str">
        <v>SPRING</v>
      </c>
      <c r="E310" s="10">
        <v>0</v>
      </c>
      <c r="F310" s="10">
        <v>0</v>
      </c>
      <c r="G310" s="10">
        <v>0</v>
      </c>
      <c r="H310" s="10">
        <v>0</v>
      </c>
      <c r="I310" s="10">
        <v>0</v>
      </c>
      <c r="J310" s="10">
        <v>0</v>
      </c>
      <c r="K310" s="10">
        <v>0</v>
      </c>
      <c r="L310" s="11">
        <v>0</v>
      </c>
      <c r="M310" s="11">
        <v>0</v>
      </c>
      <c r="N310" s="11">
        <v>0</v>
      </c>
      <c r="O310" s="10">
        <v>0</v>
      </c>
      <c r="P310" s="11">
        <v>0</v>
      </c>
      <c r="Q310" s="11">
        <v>0</v>
      </c>
      <c r="R310" s="12" t="b">
        <f t="shared" ca="1" si="3"/>
        <v>0</v>
      </c>
      <c r="S310" s="12"/>
      <c r="T310" s="12" t="e">
        <f t="array" aca="1" ref="T310" ca="1">_xludf.IFNA(LOOKUP(2,1/(C310:Q310&lt;&gt;""),COLUMN(C310:Q310))-2,0)</f>
        <v>#NAME?</v>
      </c>
      <c r="U310" s="12">
        <f t="shared" si="4"/>
        <v>15</v>
      </c>
      <c r="V310" s="12" t="e">
        <f t="shared" ca="1" si="5"/>
        <v>#NAME?</v>
      </c>
    </row>
    <row r="311" spans="1:22" ht="12.75">
      <c r="A311" s="9" t="str">
        <v>SPC</v>
      </c>
      <c r="B311" s="9" t="str">
        <v>SPC 560</v>
      </c>
      <c r="C311" s="10">
        <v>2020</v>
      </c>
      <c r="D311" s="10" t="str">
        <v>SPRING</v>
      </c>
      <c r="E311" s="10">
        <v>0</v>
      </c>
      <c r="F311" s="10">
        <v>0</v>
      </c>
      <c r="G311" s="10">
        <v>0</v>
      </c>
      <c r="H311" s="10">
        <v>0</v>
      </c>
      <c r="I311" s="10">
        <v>0</v>
      </c>
      <c r="J311" s="10">
        <v>0</v>
      </c>
      <c r="K311" s="10">
        <v>0</v>
      </c>
      <c r="L311" s="11">
        <v>0</v>
      </c>
      <c r="M311" s="11">
        <v>0</v>
      </c>
      <c r="N311" s="11">
        <v>0</v>
      </c>
      <c r="O311" s="10">
        <v>0</v>
      </c>
      <c r="P311" s="11">
        <v>0</v>
      </c>
      <c r="Q311" s="11">
        <v>0</v>
      </c>
      <c r="R311" s="12" t="b">
        <f t="shared" ca="1" si="3"/>
        <v>0</v>
      </c>
      <c r="S311" s="12"/>
      <c r="T311" s="12" t="e">
        <f t="array" aca="1" ref="T311" ca="1">_xludf.IFNA(LOOKUP(2,1/(C311:Q311&lt;&gt;""),COLUMN(C311:Q311))-2,0)</f>
        <v>#NAME?</v>
      </c>
      <c r="U311" s="12">
        <f t="shared" si="4"/>
        <v>15</v>
      </c>
      <c r="V311" s="12" t="e">
        <f t="shared" ca="1" si="5"/>
        <v>#NAME?</v>
      </c>
    </row>
  </sheetData>
  <customSheetViews>
    <customSheetView guid="{5AD1DB9D-5AA6-4240-BF2F-0293C0D5B73F}" filter="1" showAutoFilter="1">
      <pageMargins left="0.7" right="0.7" top="0.75" bottom="0.75" header="0.3" footer="0.3"/>
      <autoFilter ref="A1:Q244"/>
    </customSheetView>
  </customSheetViews>
  <conditionalFormatting sqref="B2:B311">
    <cfRule type="expression" dxfId="21" priority="1">
      <formula>AND($V2,$R2)</formula>
    </cfRule>
  </conditionalFormatting>
  <conditionalFormatting sqref="B2:B311">
    <cfRule type="expression" dxfId="20" priority="2">
      <formula>$R2</formula>
    </cfRule>
  </conditionalFormatting>
  <conditionalFormatting sqref="B2:B311">
    <cfRule type="expression" dxfId="19" priority="3">
      <formula>COUNTIF(B:B,B2)&gt;1</formula>
    </cfRule>
  </conditionalFormatting>
  <conditionalFormatting sqref="A2:A311">
    <cfRule type="cellIs" dxfId="18" priority="4" operator="equal">
      <formula>"BMS"</formula>
    </cfRule>
  </conditionalFormatting>
  <conditionalFormatting sqref="A2:A311">
    <cfRule type="cellIs" dxfId="17" priority="5" operator="equal">
      <formula>"CIE"</formula>
    </cfRule>
  </conditionalFormatting>
  <conditionalFormatting sqref="A2:A311">
    <cfRule type="cellIs" dxfId="16" priority="6" operator="equal">
      <formula>"ENV"</formula>
    </cfRule>
  </conditionalFormatting>
  <conditionalFormatting sqref="A2:A311">
    <cfRule type="cellIs" dxfId="15" priority="7" operator="equal">
      <formula>"GenEd"</formula>
    </cfRule>
  </conditionalFormatting>
  <conditionalFormatting sqref="A2:A311">
    <cfRule type="cellIs" dxfId="14" priority="8" operator="equal">
      <formula>"MATH"</formula>
    </cfRule>
  </conditionalFormatting>
  <conditionalFormatting sqref="A2:A311">
    <cfRule type="cellIs" dxfId="13" priority="9" operator="equal">
      <formula>"MATSCI"</formula>
    </cfRule>
  </conditionalFormatting>
  <conditionalFormatting sqref="A2:A311">
    <cfRule type="cellIs" dxfId="12" priority="10" operator="equal">
      <formula>"NANENG"</formula>
    </cfRule>
  </conditionalFormatting>
  <conditionalFormatting sqref="A2:A311">
    <cfRule type="cellIs" dxfId="11" priority="11" operator="equal">
      <formula>"NANOSC"</formula>
    </cfRule>
  </conditionalFormatting>
  <conditionalFormatting sqref="A2:A311">
    <cfRule type="cellIs" dxfId="10" priority="12" operator="equal">
      <formula>"PEU"</formula>
    </cfRule>
  </conditionalFormatting>
  <conditionalFormatting sqref="A2:A311">
    <cfRule type="cellIs" dxfId="9" priority="13" operator="equal">
      <formula>"REE"</formula>
    </cfRule>
  </conditionalFormatting>
  <dataValidations count="1">
    <dataValidation type="list" allowBlank="1" showErrorMessage="1" sqref="A2:A311">
      <formula1>Programs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174"/>
  <sheetViews>
    <sheetView showGridLines="0" workbookViewId="0">
      <pane ySplit="1" topLeftCell="A2" activePane="bottomLeft" state="frozen"/>
      <selection pane="bottomLeft" activeCell="B3" sqref="B3"/>
    </sheetView>
  </sheetViews>
  <sheetFormatPr defaultColWidth="14.42578125" defaultRowHeight="15.75" customHeight="1"/>
  <cols>
    <col min="1" max="1" width="8.5703125" customWidth="1"/>
    <col min="2" max="2" width="5.5703125" customWidth="1"/>
    <col min="3" max="3" width="4.42578125" customWidth="1"/>
    <col min="4" max="4" width="8.42578125" customWidth="1"/>
    <col min="5" max="5" width="4.85546875" customWidth="1"/>
    <col min="6" max="6" width="4.42578125" customWidth="1"/>
    <col min="7" max="7" width="8.42578125" customWidth="1"/>
    <col min="8" max="8" width="4.85546875" customWidth="1"/>
    <col min="9" max="9" width="4.42578125" customWidth="1"/>
    <col min="10" max="10" width="8.140625" customWidth="1"/>
    <col min="11" max="11" width="4.85546875" customWidth="1"/>
    <col min="12" max="12" width="4.42578125" customWidth="1"/>
    <col min="13" max="13" width="8.140625" customWidth="1"/>
    <col min="14" max="14" width="4.85546875" customWidth="1"/>
    <col min="15" max="15" width="4.42578125" customWidth="1"/>
    <col min="16" max="16" width="9.5703125" customWidth="1"/>
    <col min="17" max="17" width="4.85546875" customWidth="1"/>
    <col min="18" max="18" width="4.42578125" customWidth="1"/>
    <col min="19" max="19" width="10.42578125" customWidth="1"/>
    <col min="20" max="20" width="4.85546875" customWidth="1"/>
    <col min="21" max="21" width="4.42578125" customWidth="1"/>
    <col min="22" max="22" width="10.42578125" customWidth="1"/>
    <col min="23" max="23" width="4.85546875" customWidth="1"/>
    <col min="24" max="24" width="4.42578125" customWidth="1"/>
    <col min="25" max="25" width="8.140625" customWidth="1"/>
    <col min="26" max="26" width="4.85546875" customWidth="1"/>
    <col min="27" max="27" width="4.42578125" customWidth="1"/>
    <col min="28" max="28" width="8.42578125" customWidth="1"/>
    <col min="29" max="29" width="4.5703125" customWidth="1"/>
    <col min="30" max="30" width="4.42578125" customWidth="1"/>
    <col min="31" max="31" width="8.42578125" customWidth="1"/>
    <col min="32" max="32" width="4" customWidth="1"/>
    <col min="33" max="33" width="4.42578125" customWidth="1"/>
    <col min="34" max="46" width="14.42578125" hidden="1"/>
  </cols>
  <sheetData>
    <row r="1" spans="1:46" ht="13.5" customHeight="1">
      <c r="A1" s="2" t="s">
        <v>17</v>
      </c>
      <c r="B1" s="5" t="str">
        <f ca="1">COUNTIF(B2:B174,TRUE)&amp;" / "&amp;COUNTA(A2:A174)</f>
        <v>27 / 27</v>
      </c>
      <c r="C1" s="8"/>
      <c r="D1" s="2" t="s">
        <v>307</v>
      </c>
      <c r="E1" s="5" t="str">
        <f ca="1">COUNTIF(E2:E174,TRUE)&amp;" / "&amp;COUNTA(D2:D174)</f>
        <v>19 / 19</v>
      </c>
      <c r="F1" s="8"/>
      <c r="G1" s="2" t="s">
        <v>562</v>
      </c>
      <c r="H1" s="5" t="str">
        <f ca="1">COUNTIF(H2:H174,TRUE)&amp;" / "&amp;COUNTA(G2:G174)</f>
        <v>16 / 16</v>
      </c>
      <c r="I1" s="8"/>
      <c r="J1" s="2" t="s">
        <v>803</v>
      </c>
      <c r="K1" s="5" t="str">
        <f ca="1">COUNTIF(K2:K174,TRUE)&amp;" / "&amp;COUNTA(J2:J174)</f>
        <v>17 / 17</v>
      </c>
      <c r="L1" s="8"/>
      <c r="M1" s="2" t="s">
        <v>945</v>
      </c>
      <c r="N1" s="5" t="str">
        <f ca="1">COUNTIF(N2:N174,TRUE)&amp;" / "&amp;COUNTA(M2:M174)</f>
        <v>9 / 9</v>
      </c>
      <c r="O1" s="8"/>
      <c r="P1" s="2" t="s">
        <v>1019</v>
      </c>
      <c r="Q1" s="5" t="str">
        <f ca="1">COUNTIF(Q2:Q174,TRUE)&amp;" / "&amp;COUNTA(P2:P174)</f>
        <v>11 / 11</v>
      </c>
      <c r="R1" s="8"/>
      <c r="S1" s="2" t="s">
        <v>1151</v>
      </c>
      <c r="T1" s="5" t="str">
        <f ca="1">COUNTIF(T2:T174,TRUE)&amp;" / "&amp;COUNTA(S2:S174)</f>
        <v>16 / 16</v>
      </c>
      <c r="U1" s="8"/>
      <c r="V1" s="2" t="s">
        <v>1340</v>
      </c>
      <c r="W1" s="5" t="str">
        <f ca="1">COUNTIF(W2:W174,TRUE)&amp;" / "&amp;COUNTA(V2:V174)</f>
        <v>20 / 20</v>
      </c>
      <c r="X1" s="8"/>
      <c r="Y1" s="2" t="s">
        <v>1411</v>
      </c>
      <c r="Z1" s="5" t="str">
        <f ca="1">COUNTIF(Z2:Z174,TRUE)&amp;" / "&amp;COUNTA(Y2:Y174)</f>
        <v>15 / 15</v>
      </c>
      <c r="AA1" s="8"/>
      <c r="AB1" s="2" t="s">
        <v>1552</v>
      </c>
      <c r="AC1" s="5" t="str">
        <f ca="1">COUNTIF(AC2:AC174,TRUE)&amp;" / "&amp;COUNTA(AB2:AB174)</f>
        <v>11 / 11</v>
      </c>
      <c r="AD1" s="8"/>
      <c r="AE1" s="2" t="s">
        <v>1576</v>
      </c>
      <c r="AF1" s="5" t="str">
        <f ca="1">COUNTIF(AF2:AF174,TRUE)&amp;" / "&amp;COUNTA(AE2:AE174)</f>
        <v>5 / 5</v>
      </c>
      <c r="AG1" s="8"/>
      <c r="AH1" s="13"/>
      <c r="AI1" s="13"/>
      <c r="AJ1" s="13" t="str">
        <f ca="1">IFERROR(__xludf.DUMMYFUNCTION("TRANSPOSE(SORT(UNIQUE(AI2:AI174),1,1))"),"BMS")</f>
        <v>BMS</v>
      </c>
      <c r="AK1" s="13" t="str">
        <f ca="1">IFERROR(__xludf.DUMMYFUNCTION("""COMPUTED_VALUE"""),"CIE")</f>
        <v>CIE</v>
      </c>
      <c r="AL1" s="13" t="str">
        <f ca="1">IFERROR(__xludf.DUMMYFUNCTION("""COMPUTED_VALUE"""),"ENV")</f>
        <v>ENV</v>
      </c>
      <c r="AM1" s="13" t="str">
        <f ca="1">IFERROR(__xludf.DUMMYFUNCTION("""COMPUTED_VALUE"""),"GenEd")</f>
        <v>GenEd</v>
      </c>
      <c r="AN1" s="13" t="str">
        <f ca="1">IFERROR(__xludf.DUMMYFUNCTION("""COMPUTED_VALUE"""),"MATH")</f>
        <v>MATH</v>
      </c>
      <c r="AO1" s="13" t="str">
        <f ca="1">IFERROR(__xludf.DUMMYFUNCTION("""COMPUTED_VALUE"""),"MATSCI")</f>
        <v>MATSCI</v>
      </c>
      <c r="AP1" s="13" t="str">
        <f ca="1">IFERROR(__xludf.DUMMYFUNCTION("""COMPUTED_VALUE"""),"NANENG")</f>
        <v>NANENG</v>
      </c>
      <c r="AQ1" s="13" t="str">
        <f ca="1">IFERROR(__xludf.DUMMYFUNCTION("""COMPUTED_VALUE"""),"NANOSC")</f>
        <v>NANOSC</v>
      </c>
      <c r="AR1" s="13" t="str">
        <f ca="1">IFERROR(__xludf.DUMMYFUNCTION("""COMPUTED_VALUE"""),"PEU")</f>
        <v>PEU</v>
      </c>
      <c r="AS1" s="13" t="str">
        <f ca="1">IFERROR(__xludf.DUMMYFUNCTION("""COMPUTED_VALUE"""),"REE")</f>
        <v>REE</v>
      </c>
      <c r="AT1" s="13" t="str">
        <f ca="1">IFERROR(__xludf.DUMMYFUNCTION("""COMPUTED_VALUE"""),"SPC")</f>
        <v>SPC</v>
      </c>
    </row>
    <row r="2" spans="1:46" ht="13.5" customHeight="1">
      <c r="A2" s="14" t="str">
        <f ca="1">IFERROR(__xludf.DUMMYFUNCTION("FILTER($AH:$AH,$AI:$AI=A$1)"),"BIOL 101")</f>
        <v>BIOL 101</v>
      </c>
      <c r="B2" s="15" t="b">
        <f ca="1">IF(COUNTA(OFFSET(Database!$A$1,MATCH(A2,Database!$B:$B,0)-1,2,1,15))&gt;1,TRUE,FALSE)</f>
        <v>1</v>
      </c>
      <c r="C2" s="16"/>
      <c r="D2" s="14" t="str">
        <f ca="1">IFERROR(__xludf.DUMMYFUNCTION("FILTER($AH:$AH,$AI:$AI=D$1)"),"CIE 202")</f>
        <v>CIE 202</v>
      </c>
      <c r="E2" s="15" t="b">
        <f ca="1">IF(COUNTA(OFFSET(Database!$A$1,MATCH(D2,Database!$B:$B,0)-1,2,1,15))&gt;1,TRUE,FALSE)</f>
        <v>1</v>
      </c>
      <c r="F2" s="16"/>
      <c r="G2" s="14" t="str">
        <f ca="1">IFERROR(__xludf.DUMMYFUNCTION("FILTER($AH:$AH,$AI:$AI=G$1)"),"ENV 220")</f>
        <v>ENV 220</v>
      </c>
      <c r="H2" s="15" t="b">
        <f ca="1">IF(COUNTA(OFFSET(Database!$A$1,MATCH(G2,Database!$B:$B,0)-1,2,1,15))&gt;1,TRUE,FALSE)</f>
        <v>1</v>
      </c>
      <c r="I2" s="16"/>
      <c r="J2" s="14" t="str">
        <f ca="1">IFERROR(__xludf.DUMMYFUNCTION("FILTER($AH:$AH,$AI:$AI=J$1)"),"ENG 151")</f>
        <v>ENG 151</v>
      </c>
      <c r="K2" s="15" t="b">
        <f ca="1">IF(COUNTA(OFFSET(Database!$A$1,MATCH(J2,Database!$B:$B,0)-1,2,1,15))&gt;1,TRUE,FALSE)</f>
        <v>1</v>
      </c>
      <c r="L2" s="16"/>
      <c r="M2" s="14" t="str">
        <f ca="1">IFERROR(__xludf.DUMMYFUNCTION("FILTER($AH:$AH,$AI:$AI=M$1)"),"Math 101")</f>
        <v>Math 101</v>
      </c>
      <c r="N2" s="15" t="b">
        <f ca="1">IF(COUNTA(OFFSET(Database!$A$1,MATCH(M2,Database!$B:$B,0)-1,2,1,15))&gt;1,TRUE,FALSE)</f>
        <v>1</v>
      </c>
      <c r="O2" s="16"/>
      <c r="P2" s="14" t="str">
        <f ca="1">IFERROR(__xludf.DUMMYFUNCTION("FILTER($AH:$AH,$AI:$AI=P$1)"),"MATSCI 201")</f>
        <v>MATSCI 201</v>
      </c>
      <c r="Q2" s="15" t="b">
        <f ca="1">IF(COUNTA(OFFSET(Database!$A$1,MATCH(P2,Database!$B:$B,0)-1,2,1,15))&gt;1,TRUE,FALSE)</f>
        <v>1</v>
      </c>
      <c r="R2" s="16"/>
      <c r="S2" s="14" t="str">
        <f ca="1">IFERROR(__xludf.DUMMYFUNCTION("FILTER($AH:$AH,$AI:$AI=S$1)"),"NANENG 204")</f>
        <v>NANENG 204</v>
      </c>
      <c r="T2" s="15" t="b">
        <f ca="1">IF(COUNTA(OFFSET(Database!$A$1,MATCH(S2,Database!$B:$B,0)-1,2,1,15))&gt;1,TRUE,FALSE)</f>
        <v>1</v>
      </c>
      <c r="U2" s="16"/>
      <c r="V2" s="14" t="str">
        <f ca="1">IFERROR(__xludf.DUMMYFUNCTION("FILTER($AH:$AH,$AI:$AI=V$1)"),"CHEM 101")</f>
        <v>CHEM 101</v>
      </c>
      <c r="W2" s="15" t="b">
        <f ca="1">IF(COUNTA(OFFSET(Database!$A$1,MATCH(V2,Database!$B:$B,0)-1,2,1,15))&gt;1,TRUE,FALSE)</f>
        <v>1</v>
      </c>
      <c r="X2" s="16"/>
      <c r="Y2" s="14" t="str">
        <f ca="1">IFERROR(__xludf.DUMMYFUNCTION("FILTER($AH:$AH,$AI:$AI=Y$1)"),"PEU 205")</f>
        <v>PEU 205</v>
      </c>
      <c r="Z2" s="15" t="b">
        <f ca="1">IF(COUNTA(OFFSET(Database!$A$1,MATCH(Y2,Database!$B:$B,0)-1,2,1,15))&gt;1,TRUE,FALSE)</f>
        <v>1</v>
      </c>
      <c r="AA2" s="16"/>
      <c r="AB2" s="14" t="str">
        <f ca="1">IFERROR(__xludf.DUMMYFUNCTION("FILTER($AH:$AH,$AI:$AI=AB$1)"),"ENGR 201")</f>
        <v>ENGR 201</v>
      </c>
      <c r="AC2" s="15" t="b">
        <f ca="1">IF(COUNTA(OFFSET(Database!$A$1,MATCH(AB2,Database!$B:$B,0)-1,2,1,15))&gt;1,TRUE,FALSE)</f>
        <v>1</v>
      </c>
      <c r="AD2" s="16"/>
      <c r="AE2" s="14" t="str">
        <f ca="1">IFERROR(__xludf.DUMMYFUNCTION("FILTER($AH:$AH,$AI:$AI=AE$1)"),"ENGR 332")</f>
        <v>ENGR 332</v>
      </c>
      <c r="AF2" s="15" t="b">
        <f ca="1">IF(COUNTA(OFFSET(Database!$A$1,MATCH(AE2,Database!$B:$B,0)-1,2,1,15))&gt;1,TRUE,FALSE)</f>
        <v>1</v>
      </c>
      <c r="AG2" s="16"/>
      <c r="AH2" s="18" t="s">
        <v>18</v>
      </c>
      <c r="AI2" s="18" t="s">
        <v>17</v>
      </c>
      <c r="AJ2" s="18" t="str">
        <f>VLOOKUP(AH2,Database!B:B,1,0)</f>
        <v>BIOL 101</v>
      </c>
      <c r="AK2" s="18"/>
      <c r="AL2" s="18"/>
      <c r="AM2" s="18"/>
      <c r="AN2" s="18"/>
      <c r="AO2" s="18"/>
      <c r="AP2" s="18"/>
      <c r="AQ2" s="18"/>
      <c r="AR2" s="18"/>
      <c r="AS2" s="18"/>
      <c r="AT2" s="18"/>
    </row>
    <row r="3" spans="1:46" ht="13.5" customHeight="1">
      <c r="A3" s="14" t="str">
        <f ca="1">IFERROR(__xludf.DUMMYFUNCTION("""COMPUTED_VALUE"""),"BIOL 111")</f>
        <v>BIOL 111</v>
      </c>
      <c r="B3" s="15" t="b">
        <f ca="1">IF(COUNTA(OFFSET(Database!$A$1,MATCH(A3,Database!$B:$B,0)-1,2,1,15))&gt;1,TRUE,FALSE)</f>
        <v>1</v>
      </c>
      <c r="C3" s="16"/>
      <c r="D3" s="14" t="str">
        <f ca="1">IFERROR(__xludf.DUMMYFUNCTION("""COMPUTED_VALUE"""),"CIE 205")</f>
        <v>CIE 205</v>
      </c>
      <c r="E3" s="15" t="b">
        <f ca="1">IF(COUNTA(OFFSET(Database!$A$1,MATCH(D3,Database!$B:$B,0)-1,2,1,15))&gt;1,TRUE,FALSE)</f>
        <v>1</v>
      </c>
      <c r="F3" s="16"/>
      <c r="G3" s="14" t="str">
        <f ca="1">IFERROR(__xludf.DUMMYFUNCTION("""COMPUTED_VALUE"""),"ENV 221")</f>
        <v>ENV 221</v>
      </c>
      <c r="H3" s="15" t="b">
        <f ca="1">IF(COUNTA(OFFSET(Database!$A$1,MATCH(G3,Database!$B:$B,0)-1,2,1,15))&gt;1,TRUE,FALSE)</f>
        <v>1</v>
      </c>
      <c r="I3" s="16"/>
      <c r="J3" s="14" t="str">
        <f ca="1">IFERROR(__xludf.DUMMYFUNCTION("""COMPUTED_VALUE"""),"ENG 152")</f>
        <v>ENG 152</v>
      </c>
      <c r="K3" s="15" t="b">
        <f ca="1">IF(COUNTA(OFFSET(Database!$A$1,MATCH(J3,Database!$B:$B,0)-1,2,1,15))&gt;1,TRUE,FALSE)</f>
        <v>1</v>
      </c>
      <c r="L3" s="16"/>
      <c r="M3" s="14" t="str">
        <f ca="1">IFERROR(__xludf.DUMMYFUNCTION("""COMPUTED_VALUE"""),"Math 201")</f>
        <v>Math 201</v>
      </c>
      <c r="N3" s="15" t="b">
        <f ca="1">IF(COUNTA(OFFSET(Database!$A$1,MATCH(M3,Database!$B:$B,0)-1,2,1,15))&gt;1,TRUE,FALSE)</f>
        <v>1</v>
      </c>
      <c r="O3" s="16"/>
      <c r="P3" s="14" t="str">
        <f ca="1">IFERROR(__xludf.DUMMYFUNCTION("""COMPUTED_VALUE"""),"MATSCI 204")</f>
        <v>MATSCI 204</v>
      </c>
      <c r="Q3" s="15" t="b">
        <f ca="1">IF(COUNTA(OFFSET(Database!$A$1,MATCH(P3,Database!$B:$B,0)-1,2,1,15))&gt;1,TRUE,FALSE)</f>
        <v>1</v>
      </c>
      <c r="R3" s="16"/>
      <c r="S3" s="14" t="str">
        <f ca="1">IFERROR(__xludf.DUMMYFUNCTION("""COMPUTED_VALUE"""),"NANENG 305")</f>
        <v>NANENG 305</v>
      </c>
      <c r="T3" s="15" t="b">
        <f ca="1">IF(COUNTA(OFFSET(Database!$A$1,MATCH(S3,Database!$B:$B,0)-1,2,1,15))&gt;1,TRUE,FALSE)</f>
        <v>1</v>
      </c>
      <c r="U3" s="16"/>
      <c r="V3" s="14" t="str">
        <f ca="1">IFERROR(__xludf.DUMMYFUNCTION("""COMPUTED_VALUE"""),"CHEM 102")</f>
        <v>CHEM 102</v>
      </c>
      <c r="W3" s="15" t="b">
        <f ca="1">IF(COUNTA(OFFSET(Database!$A$1,MATCH(V3,Database!$B:$B,0)-1,2,1,15))&gt;1,TRUE,FALSE)</f>
        <v>1</v>
      </c>
      <c r="X3" s="16"/>
      <c r="Y3" s="14" t="str">
        <f ca="1">IFERROR(__xludf.DUMMYFUNCTION("""COMPUTED_VALUE"""),"PEU 228")</f>
        <v>PEU 228</v>
      </c>
      <c r="Z3" s="15" t="b">
        <f ca="1">IF(COUNTA(OFFSET(Database!$A$1,MATCH(Y3,Database!$B:$B,0)-1,2,1,15))&gt;1,TRUE,FALSE)</f>
        <v>1</v>
      </c>
      <c r="AA3" s="16"/>
      <c r="AB3" s="14" t="str">
        <f ca="1">IFERROR(__xludf.DUMMYFUNCTION("""COMPUTED_VALUE"""),"ENGR 219")</f>
        <v>ENGR 219</v>
      </c>
      <c r="AC3" s="15" t="b">
        <f ca="1">IF(COUNTA(OFFSET(Database!$A$1,MATCH(AB3,Database!$B:$B,0)-1,2,1,15))&gt;1,TRUE,FALSE)</f>
        <v>1</v>
      </c>
      <c r="AD3" s="16"/>
      <c r="AE3" s="14" t="str">
        <f ca="1">IFERROR(__xludf.DUMMYFUNCTION("""COMPUTED_VALUE"""),"SPC 201")</f>
        <v>SPC 201</v>
      </c>
      <c r="AF3" s="15" t="b">
        <f ca="1">IF(COUNTA(OFFSET(Database!$A$1,MATCH(AE3,Database!$B:$B,0)-1,2,1,15))&gt;1,TRUE,FALSE)</f>
        <v>1</v>
      </c>
      <c r="AG3" s="16"/>
      <c r="AH3" s="18" t="s">
        <v>33</v>
      </c>
      <c r="AI3" s="18" t="s">
        <v>17</v>
      </c>
      <c r="AJ3" s="18" t="str">
        <f>VLOOKUP(AH3,Database!B:B,1,0)</f>
        <v>BIOL 111</v>
      </c>
      <c r="AK3" s="18"/>
      <c r="AL3" s="18"/>
      <c r="AM3" s="18"/>
      <c r="AN3" s="18"/>
      <c r="AO3" s="18"/>
      <c r="AP3" s="18"/>
      <c r="AQ3" s="18"/>
      <c r="AR3" s="18"/>
      <c r="AS3" s="18"/>
      <c r="AT3" s="18"/>
    </row>
    <row r="4" spans="1:46" ht="13.5" customHeight="1">
      <c r="A4" s="14" t="str">
        <f ca="1">IFERROR(__xludf.DUMMYFUNCTION("""COMPUTED_VALUE"""),"BMS 201")</f>
        <v>BMS 201</v>
      </c>
      <c r="B4" s="15" t="b">
        <f ca="1">IF(COUNTA(OFFSET(Database!$A$1,MATCH(A4,Database!$B:$B,0)-1,2,1,15))&gt;1,TRUE,FALSE)</f>
        <v>1</v>
      </c>
      <c r="C4" s="16"/>
      <c r="D4" s="14" t="str">
        <f ca="1">IFERROR(__xludf.DUMMYFUNCTION("""COMPUTED_VALUE"""),"CIE 239")</f>
        <v>CIE 239</v>
      </c>
      <c r="E4" s="15" t="b">
        <f ca="1">IF(COUNTA(OFFSET(Database!$A$1,MATCH(D4,Database!$B:$B,0)-1,2,1,15))&gt;1,TRUE,FALSE)</f>
        <v>1</v>
      </c>
      <c r="F4" s="16"/>
      <c r="G4" s="14" t="str">
        <f ca="1">IFERROR(__xludf.DUMMYFUNCTION("""COMPUTED_VALUE"""),"ENV 319")</f>
        <v>ENV 319</v>
      </c>
      <c r="H4" s="15" t="b">
        <f ca="1">IF(COUNTA(OFFSET(Database!$A$1,MATCH(G4,Database!$B:$B,0)-1,2,1,15))&gt;1,TRUE,FALSE)</f>
        <v>1</v>
      </c>
      <c r="I4" s="16"/>
      <c r="J4" s="14" t="str">
        <f ca="1">IFERROR(__xludf.DUMMYFUNCTION("""COMPUTED_VALUE"""),"ENGL 202")</f>
        <v>ENGL 202</v>
      </c>
      <c r="K4" s="15" t="b">
        <f ca="1">IF(COUNTA(OFFSET(Database!$A$1,MATCH(J4,Database!$B:$B,0)-1,2,1,15))&gt;1,TRUE,FALSE)</f>
        <v>1</v>
      </c>
      <c r="L4" s="16"/>
      <c r="M4" s="14" t="str">
        <f ca="1">IFERROR(__xludf.DUMMYFUNCTION("""COMPUTED_VALUE"""),"MATH 201")</f>
        <v>MATH 201</v>
      </c>
      <c r="N4" s="15" t="b">
        <f ca="1">IF(COUNTA(OFFSET(Database!$A$1,MATCH(M4,Database!$B:$B,0)-1,2,1,15))&gt;1,TRUE,FALSE)</f>
        <v>1</v>
      </c>
      <c r="O4" s="16"/>
      <c r="P4" s="14" t="str">
        <f ca="1">IFERROR(__xludf.DUMMYFUNCTION("""COMPUTED_VALUE"""),"MATSCI 214")</f>
        <v>MATSCI 214</v>
      </c>
      <c r="Q4" s="15" t="b">
        <f ca="1">IF(COUNTA(OFFSET(Database!$A$1,MATCH(P4,Database!$B:$B,0)-1,2,1,15))&gt;1,TRUE,FALSE)</f>
        <v>1</v>
      </c>
      <c r="R4" s="16"/>
      <c r="S4" s="14" t="str">
        <f ca="1">IFERROR(__xludf.DUMMYFUNCTION("""COMPUTED_VALUE"""),"NANENG 312")</f>
        <v>NANENG 312</v>
      </c>
      <c r="T4" s="15" t="b">
        <f ca="1">IF(COUNTA(OFFSET(Database!$A$1,MATCH(S4,Database!$B:$B,0)-1,2,1,15))&gt;1,TRUE,FALSE)</f>
        <v>1</v>
      </c>
      <c r="U4" s="16"/>
      <c r="V4" s="14" t="str">
        <f ca="1">IFERROR(__xludf.DUMMYFUNCTION("""COMPUTED_VALUE"""),"CHEM 111")</f>
        <v>CHEM 111</v>
      </c>
      <c r="W4" s="15" t="b">
        <f ca="1">IF(COUNTA(OFFSET(Database!$A$1,MATCH(V4,Database!$B:$B,0)-1,2,1,15))&gt;1,TRUE,FALSE)</f>
        <v>1</v>
      </c>
      <c r="X4" s="16"/>
      <c r="Y4" s="14" t="str">
        <f ca="1">IFERROR(__xludf.DUMMYFUNCTION("""COMPUTED_VALUE"""),"PEU 311")</f>
        <v>PEU 311</v>
      </c>
      <c r="Z4" s="15" t="b">
        <f ca="1">IF(COUNTA(OFFSET(Database!$A$1,MATCH(Y4,Database!$B:$B,0)-1,2,1,15))&gt;1,TRUE,FALSE)</f>
        <v>1</v>
      </c>
      <c r="AA4" s="16"/>
      <c r="AB4" s="14" t="str">
        <f ca="1">IFERROR(__xludf.DUMMYFUNCTION("""COMPUTED_VALUE"""),"REE 201")</f>
        <v>REE 201</v>
      </c>
      <c r="AC4" s="15" t="b">
        <f ca="1">IF(COUNTA(OFFSET(Database!$A$1,MATCH(AB4,Database!$B:$B,0)-1,2,1,15))&gt;1,TRUE,FALSE)</f>
        <v>1</v>
      </c>
      <c r="AD4" s="16"/>
      <c r="AE4" s="14" t="str">
        <f ca="1">IFERROR(__xludf.DUMMYFUNCTION("""COMPUTED_VALUE"""),"SPC 208")</f>
        <v>SPC 208</v>
      </c>
      <c r="AF4" s="15" t="b">
        <f ca="1">IF(COUNTA(OFFSET(Database!$A$1,MATCH(AE4,Database!$B:$B,0)-1,2,1,15))&gt;1,TRUE,FALSE)</f>
        <v>1</v>
      </c>
      <c r="AG4" s="16"/>
      <c r="AH4" s="18" t="s">
        <v>44</v>
      </c>
      <c r="AI4" s="18" t="s">
        <v>17</v>
      </c>
      <c r="AJ4" s="18" t="str">
        <f>VLOOKUP(AH4,Database!B:B,1,0)</f>
        <v>BMS 201</v>
      </c>
      <c r="AK4" s="18"/>
      <c r="AL4" s="18"/>
      <c r="AM4" s="18"/>
      <c r="AN4" s="18"/>
      <c r="AO4" s="18"/>
      <c r="AP4" s="18"/>
      <c r="AQ4" s="18"/>
      <c r="AR4" s="18"/>
      <c r="AS4" s="18"/>
      <c r="AT4" s="18"/>
    </row>
    <row r="5" spans="1:46" ht="13.5" customHeight="1">
      <c r="A5" s="14" t="str">
        <f ca="1">IFERROR(__xludf.DUMMYFUNCTION("""COMPUTED_VALUE"""),"BMS 202")</f>
        <v>BMS 202</v>
      </c>
      <c r="B5" s="15" t="b">
        <f ca="1">IF(COUNTA(OFFSET(Database!$A$1,MATCH(A5,Database!$B:$B,0)-1,2,1,15))&gt;1,TRUE,FALSE)</f>
        <v>1</v>
      </c>
      <c r="C5" s="16"/>
      <c r="D5" s="14" t="str">
        <f ca="1">IFERROR(__xludf.DUMMYFUNCTION("""COMPUTED_VALUE"""),"CIE 301")</f>
        <v>CIE 301</v>
      </c>
      <c r="E5" s="15" t="b">
        <f ca="1">IF(COUNTA(OFFSET(Database!$A$1,MATCH(D5,Database!$B:$B,0)-1,2,1,15))&gt;1,TRUE,FALSE)</f>
        <v>1</v>
      </c>
      <c r="F5" s="16"/>
      <c r="G5" s="14" t="str">
        <f ca="1">IFERROR(__xludf.DUMMYFUNCTION("""COMPUTED_VALUE"""),"ENV 330")</f>
        <v>ENV 330</v>
      </c>
      <c r="H5" s="15" t="b">
        <f ca="1">IF(COUNTA(OFFSET(Database!$A$1,MATCH(G5,Database!$B:$B,0)-1,2,1,15))&gt;1,TRUE,FALSE)</f>
        <v>1</v>
      </c>
      <c r="I5" s="16"/>
      <c r="J5" s="14" t="str">
        <f ca="1">IFERROR(__xludf.DUMMYFUNCTION("""COMPUTED_VALUE"""),"PHIL 301")</f>
        <v>PHIL 301</v>
      </c>
      <c r="K5" s="15" t="b">
        <f ca="1">IF(COUNTA(OFFSET(Database!$A$1,MATCH(J5,Database!$B:$B,0)-1,2,1,15))&gt;1,TRUE,FALSE)</f>
        <v>1</v>
      </c>
      <c r="L5" s="16"/>
      <c r="M5" s="14" t="str">
        <f ca="1">IFERROR(__xludf.DUMMYFUNCTION("""COMPUTED_VALUE"""),"Math 203")</f>
        <v>Math 203</v>
      </c>
      <c r="N5" s="15" t="b">
        <f ca="1">IF(COUNTA(OFFSET(Database!$A$1,MATCH(M5,Database!$B:$B,0)-1,2,1,15))&gt;1,TRUE,FALSE)</f>
        <v>1</v>
      </c>
      <c r="O5" s="16"/>
      <c r="P5" s="14" t="str">
        <f ca="1">IFERROR(__xludf.DUMMYFUNCTION("""COMPUTED_VALUE"""),"MATSCI 303")</f>
        <v>MATSCI 303</v>
      </c>
      <c r="Q5" s="15" t="b">
        <f ca="1">IF(COUNTA(OFFSET(Database!$A$1,MATCH(P5,Database!$B:$B,0)-1,2,1,15))&gt;1,TRUE,FALSE)</f>
        <v>1</v>
      </c>
      <c r="R5" s="16"/>
      <c r="S5" s="14" t="str">
        <f ca="1">IFERROR(__xludf.DUMMYFUNCTION("""COMPUTED_VALUE"""),"NANENG 322")</f>
        <v>NANENG 322</v>
      </c>
      <c r="T5" s="15" t="b">
        <f ca="1">IF(COUNTA(OFFSET(Database!$A$1,MATCH(S5,Database!$B:$B,0)-1,2,1,15))&gt;1,TRUE,FALSE)</f>
        <v>1</v>
      </c>
      <c r="U5" s="16"/>
      <c r="V5" s="14" t="str">
        <f ca="1">IFERROR(__xludf.DUMMYFUNCTION("""COMPUTED_VALUE"""),"CHEM 112")</f>
        <v>CHEM 112</v>
      </c>
      <c r="W5" s="15" t="b">
        <f ca="1">IF(COUNTA(OFFSET(Database!$A$1,MATCH(V5,Database!$B:$B,0)-1,2,1,15))&gt;1,TRUE,FALSE)</f>
        <v>1</v>
      </c>
      <c r="X5" s="16"/>
      <c r="Y5" s="14" t="str">
        <f ca="1">IFERROR(__xludf.DUMMYFUNCTION("""COMPUTED_VALUE"""),"PEU 323")</f>
        <v>PEU 323</v>
      </c>
      <c r="Z5" s="15" t="b">
        <f ca="1">IF(COUNTA(OFFSET(Database!$A$1,MATCH(Y5,Database!$B:$B,0)-1,2,1,15))&gt;1,TRUE,FALSE)</f>
        <v>1</v>
      </c>
      <c r="AA5" s="16"/>
      <c r="AB5" s="14" t="str">
        <f ca="1">IFERROR(__xludf.DUMMYFUNCTION("""COMPUTED_VALUE"""),"REE 209")</f>
        <v>REE 209</v>
      </c>
      <c r="AC5" s="15" t="b">
        <f ca="1">IF(COUNTA(OFFSET(Database!$A$1,MATCH(AB5,Database!$B:$B,0)-1,2,1,15))&gt;1,TRUE,FALSE)</f>
        <v>1</v>
      </c>
      <c r="AD5" s="16"/>
      <c r="AE5" s="14" t="str">
        <f ca="1">IFERROR(__xludf.DUMMYFUNCTION("""COMPUTED_VALUE"""),"SPC 209")</f>
        <v>SPC 209</v>
      </c>
      <c r="AF5" s="15" t="b">
        <f ca="1">IF(COUNTA(OFFSET(Database!$A$1,MATCH(AE5,Database!$B:$B,0)-1,2,1,15))&gt;1,TRUE,FALSE)</f>
        <v>1</v>
      </c>
      <c r="AG5" s="16"/>
      <c r="AH5" s="18" t="s">
        <v>49</v>
      </c>
      <c r="AI5" s="18" t="s">
        <v>17</v>
      </c>
      <c r="AJ5" s="18" t="str">
        <f>VLOOKUP(AH5,Database!B:B,1,0)</f>
        <v>BMS 202</v>
      </c>
      <c r="AK5" s="18"/>
      <c r="AL5" s="18"/>
      <c r="AM5" s="18"/>
      <c r="AN5" s="18"/>
      <c r="AO5" s="18"/>
      <c r="AP5" s="18"/>
      <c r="AQ5" s="18"/>
      <c r="AR5" s="18"/>
      <c r="AS5" s="18"/>
      <c r="AT5" s="18"/>
    </row>
    <row r="6" spans="1:46" ht="13.5" customHeight="1">
      <c r="A6" s="14" t="str">
        <f ca="1">IFERROR(__xludf.DUMMYFUNCTION("""COMPUTED_VALUE"""),"BMS 211")</f>
        <v>BMS 211</v>
      </c>
      <c r="B6" s="15" t="b">
        <f ca="1">IF(COUNTA(OFFSET(Database!$A$1,MATCH(A6,Database!$B:$B,0)-1,2,1,15))&gt;1,TRUE,FALSE)</f>
        <v>1</v>
      </c>
      <c r="C6" s="16"/>
      <c r="D6" s="14" t="str">
        <f ca="1">IFERROR(__xludf.DUMMYFUNCTION("""COMPUTED_VALUE"""),"CIE 327")</f>
        <v>CIE 327</v>
      </c>
      <c r="E6" s="15" t="b">
        <f ca="1">IF(COUNTA(OFFSET(Database!$A$1,MATCH(D6,Database!$B:$B,0)-1,2,1,15))&gt;1,TRUE,FALSE)</f>
        <v>1</v>
      </c>
      <c r="F6" s="16"/>
      <c r="G6" s="14" t="str">
        <f ca="1">IFERROR(__xludf.DUMMYFUNCTION("""COMPUTED_VALUE"""),"ENV 350")</f>
        <v>ENV 350</v>
      </c>
      <c r="H6" s="15" t="b">
        <f ca="1">IF(COUNTA(OFFSET(Database!$A$1,MATCH(G6,Database!$B:$B,0)-1,2,1,15))&gt;1,TRUE,FALSE)</f>
        <v>1</v>
      </c>
      <c r="I6" s="16"/>
      <c r="J6" s="14" t="str">
        <f ca="1">IFERROR(__xludf.DUMMYFUNCTION("""COMPUTED_VALUE"""),"SCH 201")</f>
        <v>SCH 201</v>
      </c>
      <c r="K6" s="15" t="b">
        <f ca="1">IF(COUNTA(OFFSET(Database!$A$1,MATCH(J6,Database!$B:$B,0)-1,2,1,15))&gt;1,TRUE,FALSE)</f>
        <v>1</v>
      </c>
      <c r="L6" s="16"/>
      <c r="M6" s="14" t="str">
        <f ca="1">IFERROR(__xludf.DUMMYFUNCTION("""COMPUTED_VALUE"""),"Math 302")</f>
        <v>Math 302</v>
      </c>
      <c r="N6" s="15" t="b">
        <f ca="1">IF(COUNTA(OFFSET(Database!$A$1,MATCH(M6,Database!$B:$B,0)-1,2,1,15))&gt;1,TRUE,FALSE)</f>
        <v>1</v>
      </c>
      <c r="O6" s="16"/>
      <c r="P6" s="14" t="str">
        <f ca="1">IFERROR(__xludf.DUMMYFUNCTION("""COMPUTED_VALUE"""),"MATSCI 318")</f>
        <v>MATSCI 318</v>
      </c>
      <c r="Q6" s="15" t="b">
        <f ca="1">IF(COUNTA(OFFSET(Database!$A$1,MATCH(P6,Database!$B:$B,0)-1,2,1,15))&gt;1,TRUE,FALSE)</f>
        <v>1</v>
      </c>
      <c r="R6" s="16"/>
      <c r="S6" s="14" t="str">
        <f ca="1">IFERROR(__xludf.DUMMYFUNCTION("""COMPUTED_VALUE"""),"NANENG 331")</f>
        <v>NANENG 331</v>
      </c>
      <c r="T6" s="15" t="b">
        <f ca="1">IF(COUNTA(OFFSET(Database!$A$1,MATCH(S6,Database!$B:$B,0)-1,2,1,15))&gt;1,TRUE,FALSE)</f>
        <v>1</v>
      </c>
      <c r="U6" s="16"/>
      <c r="V6" s="14" t="str">
        <f ca="1">IFERROR(__xludf.DUMMYFUNCTION("""COMPUTED_VALUE"""),"CHEM 201")</f>
        <v>CHEM 201</v>
      </c>
      <c r="W6" s="15" t="b">
        <f ca="1">IF(COUNTA(OFFSET(Database!$A$1,MATCH(V6,Database!$B:$B,0)-1,2,1,15))&gt;1,TRUE,FALSE)</f>
        <v>1</v>
      </c>
      <c r="X6" s="16"/>
      <c r="Y6" s="14" t="str">
        <f ca="1">IFERROR(__xludf.DUMMYFUNCTION("""COMPUTED_VALUE"""),"PEU 346")</f>
        <v>PEU 346</v>
      </c>
      <c r="Z6" s="15" t="b">
        <f ca="1">IF(COUNTA(OFFSET(Database!$A$1,MATCH(Y6,Database!$B:$B,0)-1,2,1,15))&gt;1,TRUE,FALSE)</f>
        <v>1</v>
      </c>
      <c r="AA6" s="16"/>
      <c r="AB6" s="14" t="str">
        <f ca="1">IFERROR(__xludf.DUMMYFUNCTION("""COMPUTED_VALUE"""),"REE 309")</f>
        <v>REE 309</v>
      </c>
      <c r="AC6" s="15" t="b">
        <f ca="1">IF(COUNTA(OFFSET(Database!$A$1,MATCH(AB6,Database!$B:$B,0)-1,2,1,15))&gt;1,TRUE,FALSE)</f>
        <v>1</v>
      </c>
      <c r="AD6" s="16"/>
      <c r="AE6" s="14" t="str">
        <f ca="1">IFERROR(__xludf.DUMMYFUNCTION("""COMPUTED_VALUE"""),"SPC 491")</f>
        <v>SPC 491</v>
      </c>
      <c r="AF6" s="15" t="b">
        <f ca="1">IF(COUNTA(OFFSET(Database!$A$1,MATCH(AE6,Database!$B:$B,0)-1,2,1,15))&gt;1,TRUE,FALSE)</f>
        <v>1</v>
      </c>
      <c r="AG6" s="16"/>
      <c r="AH6" s="18" t="s">
        <v>72</v>
      </c>
      <c r="AI6" s="18" t="s">
        <v>17</v>
      </c>
      <c r="AJ6" s="18" t="str">
        <f>VLOOKUP(AH6,Database!B:B,1,0)</f>
        <v>BMS 211</v>
      </c>
      <c r="AK6" s="18"/>
      <c r="AL6" s="18"/>
      <c r="AM6" s="18"/>
      <c r="AN6" s="18"/>
      <c r="AO6" s="18"/>
      <c r="AP6" s="18"/>
      <c r="AQ6" s="18"/>
      <c r="AR6" s="18"/>
      <c r="AS6" s="18"/>
      <c r="AT6" s="18"/>
    </row>
    <row r="7" spans="1:46" ht="13.5" customHeight="1">
      <c r="A7" s="14" t="str">
        <f ca="1">IFERROR(__xludf.DUMMYFUNCTION("""COMPUTED_VALUE"""),"BMS 212")</f>
        <v>BMS 212</v>
      </c>
      <c r="B7" s="15" t="b">
        <f ca="1">IF(COUNTA(OFFSET(Database!$A$1,MATCH(A7,Database!$B:$B,0)-1,2,1,15))&gt;1,TRUE,FALSE)</f>
        <v>1</v>
      </c>
      <c r="C7" s="16"/>
      <c r="D7" s="14" t="str">
        <f ca="1">IFERROR(__xludf.DUMMYFUNCTION("""COMPUTED_VALUE"""),"CIE 328")</f>
        <v>CIE 328</v>
      </c>
      <c r="E7" s="15" t="b">
        <f ca="1">IF(COUNTA(OFFSET(Database!$A$1,MATCH(D7,Database!$B:$B,0)-1,2,1,15))&gt;1,TRUE,FALSE)</f>
        <v>1</v>
      </c>
      <c r="F7" s="16"/>
      <c r="G7" s="14" t="str">
        <f ca="1">IFERROR(__xludf.DUMMYFUNCTION("""COMPUTED_VALUE"""),"ENV 357")</f>
        <v>ENV 357</v>
      </c>
      <c r="H7" s="15" t="b">
        <f ca="1">IF(COUNTA(OFFSET(Database!$A$1,MATCH(G7,Database!$B:$B,0)-1,2,1,15))&gt;1,TRUE,FALSE)</f>
        <v>1</v>
      </c>
      <c r="I7" s="16"/>
      <c r="J7" s="14" t="str">
        <f ca="1">IFERROR(__xludf.DUMMYFUNCTION("""COMPUTED_VALUE"""),"SCH 202")</f>
        <v>SCH 202</v>
      </c>
      <c r="K7" s="15" t="b">
        <f ca="1">IF(COUNTA(OFFSET(Database!$A$1,MATCH(J7,Database!$B:$B,0)-1,2,1,15))&gt;1,TRUE,FALSE)</f>
        <v>1</v>
      </c>
      <c r="L7" s="16"/>
      <c r="M7" s="14" t="str">
        <f ca="1">IFERROR(__xludf.DUMMYFUNCTION("""COMPUTED_VALUE"""),"MATH 302")</f>
        <v>MATH 302</v>
      </c>
      <c r="N7" s="15" t="b">
        <f ca="1">IF(COUNTA(OFFSET(Database!$A$1,MATCH(M7,Database!$B:$B,0)-1,2,1,15))&gt;1,TRUE,FALSE)</f>
        <v>1</v>
      </c>
      <c r="O7" s="16"/>
      <c r="P7" s="14" t="str">
        <f ca="1">IFERROR(__xludf.DUMMYFUNCTION("""COMPUTED_VALUE"""),"MATSCI 405")</f>
        <v>MATSCI 405</v>
      </c>
      <c r="Q7" s="15" t="b">
        <f ca="1">IF(COUNTA(OFFSET(Database!$A$1,MATCH(P7,Database!$B:$B,0)-1,2,1,15))&gt;1,TRUE,FALSE)</f>
        <v>1</v>
      </c>
      <c r="R7" s="16"/>
      <c r="S7" s="14" t="str">
        <f ca="1">IFERROR(__xludf.DUMMYFUNCTION("""COMPUTED_VALUE"""),"NANENG 401")</f>
        <v>NANENG 401</v>
      </c>
      <c r="T7" s="15" t="b">
        <f ca="1">IF(COUNTA(OFFSET(Database!$A$1,MATCH(S7,Database!$B:$B,0)-1,2,1,15))&gt;1,TRUE,FALSE)</f>
        <v>1</v>
      </c>
      <c r="U7" s="16"/>
      <c r="V7" s="14" t="str">
        <f ca="1">IFERROR(__xludf.DUMMYFUNCTION("""COMPUTED_VALUE"""),"CHEM 203")</f>
        <v>CHEM 203</v>
      </c>
      <c r="W7" s="15" t="b">
        <f ca="1">IF(COUNTA(OFFSET(Database!$A$1,MATCH(V7,Database!$B:$B,0)-1,2,1,15))&gt;1,TRUE,FALSE)</f>
        <v>1</v>
      </c>
      <c r="X7" s="16"/>
      <c r="Y7" s="14" t="str">
        <f ca="1">IFERROR(__xludf.DUMMYFUNCTION("""COMPUTED_VALUE"""),"PEU 403")</f>
        <v>PEU 403</v>
      </c>
      <c r="Z7" s="15" t="b">
        <f ca="1">IF(COUNTA(OFFSET(Database!$A$1,MATCH(Y7,Database!$B:$B,0)-1,2,1,15))&gt;1,TRUE,FALSE)</f>
        <v>1</v>
      </c>
      <c r="AA7" s="16"/>
      <c r="AB7" s="14" t="str">
        <f ca="1">IFERROR(__xludf.DUMMYFUNCTION("""COMPUTED_VALUE"""),"REE 401")</f>
        <v>REE 401</v>
      </c>
      <c r="AC7" s="15" t="b">
        <f ca="1">IF(COUNTA(OFFSET(Database!$A$1,MATCH(AB7,Database!$B:$B,0)-1,2,1,15))&gt;1,TRUE,FALSE)</f>
        <v>1</v>
      </c>
      <c r="AD7" s="16"/>
      <c r="AE7" s="14"/>
      <c r="AF7" s="15" t="b">
        <f ca="1">IF(COUNTA(OFFSET(Database!$A$1,MATCH(AE7,Database!$B:$B,0)-1,2,1,15))&gt;1,TRUE,FALSE)</f>
        <v>0</v>
      </c>
      <c r="AG7" s="16"/>
      <c r="AH7" s="18" t="s">
        <v>76</v>
      </c>
      <c r="AI7" s="18" t="s">
        <v>17</v>
      </c>
      <c r="AJ7" s="18" t="str">
        <f>VLOOKUP(AH7,Database!B:B,1,0)</f>
        <v>BMS 212</v>
      </c>
      <c r="AK7" s="18"/>
      <c r="AL7" s="18"/>
      <c r="AM7" s="18"/>
      <c r="AN7" s="18"/>
      <c r="AO7" s="18"/>
      <c r="AP7" s="18"/>
      <c r="AQ7" s="18"/>
      <c r="AR7" s="18"/>
      <c r="AS7" s="18"/>
      <c r="AT7" s="18"/>
    </row>
    <row r="8" spans="1:46" ht="13.5" customHeight="1">
      <c r="A8" s="14" t="str">
        <f ca="1">IFERROR(__xludf.DUMMYFUNCTION("""COMPUTED_VALUE"""),"BMS 301")</f>
        <v>BMS 301</v>
      </c>
      <c r="B8" s="15" t="b">
        <f ca="1">IF(COUNTA(OFFSET(Database!$A$1,MATCH(A8,Database!$B:$B,0)-1,2,1,15))&gt;1,TRUE,FALSE)</f>
        <v>1</v>
      </c>
      <c r="C8" s="16"/>
      <c r="D8" s="14" t="str">
        <f ca="1">IFERROR(__xludf.DUMMYFUNCTION("""COMPUTED_VALUE"""),"CIE 408")</f>
        <v>CIE 408</v>
      </c>
      <c r="E8" s="15" t="b">
        <f ca="1">IF(COUNTA(OFFSET(Database!$A$1,MATCH(D8,Database!$B:$B,0)-1,2,1,15))&gt;1,TRUE,FALSE)</f>
        <v>1</v>
      </c>
      <c r="F8" s="16"/>
      <c r="G8" s="14" t="str">
        <f ca="1">IFERROR(__xludf.DUMMYFUNCTION("""COMPUTED_VALUE"""),"ENV 406")</f>
        <v>ENV 406</v>
      </c>
      <c r="H8" s="15" t="b">
        <f ca="1">IF(COUNTA(OFFSET(Database!$A$1,MATCH(G8,Database!$B:$B,0)-1,2,1,15))&gt;1,TRUE,FALSE)</f>
        <v>1</v>
      </c>
      <c r="I8" s="16"/>
      <c r="J8" s="14" t="str">
        <f ca="1">IFERROR(__xludf.DUMMYFUNCTION("""COMPUTED_VALUE"""),"SCH 206")</f>
        <v>SCH 206</v>
      </c>
      <c r="K8" s="15" t="b">
        <f ca="1">IF(COUNTA(OFFSET(Database!$A$1,MATCH(J8,Database!$B:$B,0)-1,2,1,15))&gt;1,TRUE,FALSE)</f>
        <v>1</v>
      </c>
      <c r="L8" s="16"/>
      <c r="M8" s="14" t="str">
        <f ca="1">IFERROR(__xludf.DUMMYFUNCTION("""COMPUTED_VALUE"""),"Math 306")</f>
        <v>Math 306</v>
      </c>
      <c r="N8" s="15" t="b">
        <f ca="1">IF(COUNTA(OFFSET(Database!$A$1,MATCH(M8,Database!$B:$B,0)-1,2,1,15))&gt;1,TRUE,FALSE)</f>
        <v>1</v>
      </c>
      <c r="O8" s="16"/>
      <c r="P8" s="14" t="str">
        <f ca="1">IFERROR(__xludf.DUMMYFUNCTION("""COMPUTED_VALUE"""),"MATSCI 411")</f>
        <v>MATSCI 411</v>
      </c>
      <c r="Q8" s="15" t="b">
        <f ca="1">IF(COUNTA(OFFSET(Database!$A$1,MATCH(P8,Database!$B:$B,0)-1,2,1,15))&gt;1,TRUE,FALSE)</f>
        <v>1</v>
      </c>
      <c r="R8" s="16"/>
      <c r="S8" s="14" t="str">
        <f ca="1">IFERROR(__xludf.DUMMYFUNCTION("""COMPUTED_VALUE"""),"NANENG 404")</f>
        <v>NANENG 404</v>
      </c>
      <c r="T8" s="15" t="b">
        <f ca="1">IF(COUNTA(OFFSET(Database!$A$1,MATCH(S8,Database!$B:$B,0)-1,2,1,15))&gt;1,TRUE,FALSE)</f>
        <v>1</v>
      </c>
      <c r="U8" s="16"/>
      <c r="V8" s="14" t="str">
        <f ca="1">IFERROR(__xludf.DUMMYFUNCTION("""COMPUTED_VALUE"""),"CHEM 211")</f>
        <v>CHEM 211</v>
      </c>
      <c r="W8" s="15" t="b">
        <f ca="1">IF(COUNTA(OFFSET(Database!$A$1,MATCH(V8,Database!$B:$B,0)-1,2,1,15))&gt;1,TRUE,FALSE)</f>
        <v>1</v>
      </c>
      <c r="X8" s="16"/>
      <c r="Y8" s="14" t="str">
        <f ca="1">IFERROR(__xludf.DUMMYFUNCTION("""COMPUTED_VALUE"""),"PEU 407")</f>
        <v>PEU 407</v>
      </c>
      <c r="Z8" s="15" t="b">
        <f ca="1">IF(COUNTA(OFFSET(Database!$A$1,MATCH(Y8,Database!$B:$B,0)-1,2,1,15))&gt;1,TRUE,FALSE)</f>
        <v>1</v>
      </c>
      <c r="AA8" s="16"/>
      <c r="AB8" s="14" t="str">
        <f ca="1">IFERROR(__xludf.DUMMYFUNCTION("""COMPUTED_VALUE"""),"REE 405")</f>
        <v>REE 405</v>
      </c>
      <c r="AC8" s="15" t="b">
        <f ca="1">IF(COUNTA(OFFSET(Database!$A$1,MATCH(AB8,Database!$B:$B,0)-1,2,1,15))&gt;1,TRUE,FALSE)</f>
        <v>1</v>
      </c>
      <c r="AD8" s="16"/>
      <c r="AE8" s="14"/>
      <c r="AF8" s="15" t="b">
        <f ca="1">IF(COUNTA(OFFSET(Database!$A$1,MATCH(AE8,Database!$B:$B,0)-1,2,1,15))&gt;1,TRUE,FALSE)</f>
        <v>0</v>
      </c>
      <c r="AG8" s="16"/>
      <c r="AH8" s="18" t="s">
        <v>97</v>
      </c>
      <c r="AI8" s="18" t="s">
        <v>17</v>
      </c>
      <c r="AJ8" s="18" t="str">
        <f>VLOOKUP(AH8,Database!B:B,1,0)</f>
        <v>BMS 301</v>
      </c>
      <c r="AK8" s="18"/>
      <c r="AL8" s="18"/>
      <c r="AM8" s="18"/>
      <c r="AN8" s="18"/>
      <c r="AO8" s="18"/>
      <c r="AP8" s="18"/>
      <c r="AQ8" s="18"/>
      <c r="AR8" s="18"/>
      <c r="AS8" s="18"/>
      <c r="AT8" s="18"/>
    </row>
    <row r="9" spans="1:46" ht="13.5" customHeight="1">
      <c r="A9" s="14" t="str">
        <f ca="1">IFERROR(__xludf.DUMMYFUNCTION("""COMPUTED_VALUE"""),"BMS 304")</f>
        <v>BMS 304</v>
      </c>
      <c r="B9" s="15" t="b">
        <f ca="1">IF(COUNTA(OFFSET(Database!$A$1,MATCH(A9,Database!$B:$B,0)-1,2,1,15))&gt;1,TRUE,FALSE)</f>
        <v>1</v>
      </c>
      <c r="C9" s="16"/>
      <c r="D9" s="14" t="str">
        <f ca="1">IFERROR(__xludf.DUMMYFUNCTION("""COMPUTED_VALUE"""),"CIE 417")</f>
        <v>CIE 417</v>
      </c>
      <c r="E9" s="15" t="b">
        <f ca="1">IF(COUNTA(OFFSET(Database!$A$1,MATCH(D9,Database!$B:$B,0)-1,2,1,15))&gt;1,TRUE,FALSE)</f>
        <v>1</v>
      </c>
      <c r="F9" s="16"/>
      <c r="G9" s="14" t="str">
        <f ca="1">IFERROR(__xludf.DUMMYFUNCTION("""COMPUTED_VALUE"""),"ENV 420")</f>
        <v>ENV 420</v>
      </c>
      <c r="H9" s="15" t="b">
        <f ca="1">IF(COUNTA(OFFSET(Database!$A$1,MATCH(G9,Database!$B:$B,0)-1,2,1,15))&gt;1,TRUE,FALSE)</f>
        <v>1</v>
      </c>
      <c r="I9" s="16"/>
      <c r="J9" s="14" t="str">
        <f ca="1">IFERROR(__xludf.DUMMYFUNCTION("""COMPUTED_VALUE"""),"SCH 208")</f>
        <v>SCH 208</v>
      </c>
      <c r="K9" s="15" t="b">
        <f ca="1">IF(COUNTA(OFFSET(Database!$A$1,MATCH(J9,Database!$B:$B,0)-1,2,1,15))&gt;1,TRUE,FALSE)</f>
        <v>1</v>
      </c>
      <c r="L9" s="16"/>
      <c r="M9" s="14" t="str">
        <f ca="1">IFERROR(__xludf.DUMMYFUNCTION("""COMPUTED_VALUE"""),"MATH 306")</f>
        <v>MATH 306</v>
      </c>
      <c r="N9" s="15" t="b">
        <f ca="1">IF(COUNTA(OFFSET(Database!$A$1,MATCH(M9,Database!$B:$B,0)-1,2,1,15))&gt;1,TRUE,FALSE)</f>
        <v>1</v>
      </c>
      <c r="O9" s="16"/>
      <c r="P9" s="14" t="str">
        <f ca="1">IFERROR(__xludf.DUMMYFUNCTION("""COMPUTED_VALUE"""),"MATSCI 463")</f>
        <v>MATSCI 463</v>
      </c>
      <c r="Q9" s="15" t="b">
        <f ca="1">IF(COUNTA(OFFSET(Database!$A$1,MATCH(P9,Database!$B:$B,0)-1,2,1,15))&gt;1,TRUE,FALSE)</f>
        <v>1</v>
      </c>
      <c r="R9" s="16"/>
      <c r="S9" s="14" t="str">
        <f ca="1">IFERROR(__xludf.DUMMYFUNCTION("""COMPUTED_VALUE"""),"NANENG 421")</f>
        <v>NANENG 421</v>
      </c>
      <c r="T9" s="15" t="b">
        <f ca="1">IF(COUNTA(OFFSET(Database!$A$1,MATCH(S9,Database!$B:$B,0)-1,2,1,15))&gt;1,TRUE,FALSE)</f>
        <v>1</v>
      </c>
      <c r="U9" s="16"/>
      <c r="V9" s="14" t="str">
        <f ca="1">IFERROR(__xludf.DUMMYFUNCTION("""COMPUTED_VALUE"""),"NANOSC 302")</f>
        <v>NANOSC 302</v>
      </c>
      <c r="W9" s="15" t="b">
        <f ca="1">IF(COUNTA(OFFSET(Database!$A$1,MATCH(V9,Database!$B:$B,0)-1,2,1,15))&gt;1,TRUE,FALSE)</f>
        <v>1</v>
      </c>
      <c r="X9" s="16"/>
      <c r="Y9" s="14" t="str">
        <f ca="1">IFERROR(__xludf.DUMMYFUNCTION("""COMPUTED_VALUE"""),"PEU 430")</f>
        <v>PEU 430</v>
      </c>
      <c r="Z9" s="15" t="b">
        <f ca="1">IF(COUNTA(OFFSET(Database!$A$1,MATCH(Y9,Database!$B:$B,0)-1,2,1,15))&gt;1,TRUE,FALSE)</f>
        <v>1</v>
      </c>
      <c r="AA9" s="16"/>
      <c r="AB9" s="14" t="str">
        <f ca="1">IFERROR(__xludf.DUMMYFUNCTION("""COMPUTED_VALUE"""),"REE 466")</f>
        <v>REE 466</v>
      </c>
      <c r="AC9" s="15" t="b">
        <f ca="1">IF(COUNTA(OFFSET(Database!$A$1,MATCH(AB9,Database!$B:$B,0)-1,2,1,15))&gt;1,TRUE,FALSE)</f>
        <v>1</v>
      </c>
      <c r="AD9" s="16"/>
      <c r="AE9" s="14"/>
      <c r="AF9" s="15" t="b">
        <f ca="1">IF(COUNTA(OFFSET(Database!$A$1,MATCH(AE9,Database!$B:$B,0)-1,2,1,15))&gt;1,TRUE,FALSE)</f>
        <v>0</v>
      </c>
      <c r="AG9" s="16"/>
      <c r="AH9" s="18" t="s">
        <v>105</v>
      </c>
      <c r="AI9" s="18" t="s">
        <v>17</v>
      </c>
      <c r="AJ9" s="18" t="str">
        <f>VLOOKUP(AH9,Database!B:B,1,0)</f>
        <v>BMS 304</v>
      </c>
      <c r="AK9" s="18"/>
      <c r="AL9" s="18"/>
      <c r="AM9" s="18"/>
      <c r="AN9" s="18"/>
      <c r="AO9" s="18"/>
      <c r="AP9" s="18"/>
      <c r="AQ9" s="18"/>
      <c r="AR9" s="18"/>
      <c r="AS9" s="18"/>
      <c r="AT9" s="18"/>
    </row>
    <row r="10" spans="1:46" ht="13.5" customHeight="1">
      <c r="A10" s="14" t="str">
        <f ca="1">IFERROR(__xludf.DUMMYFUNCTION("""COMPUTED_VALUE"""),"BMS 311")</f>
        <v>BMS 311</v>
      </c>
      <c r="B10" s="15" t="b">
        <f ca="1">IF(COUNTA(OFFSET(Database!$A$1,MATCH(A10,Database!$B:$B,0)-1,2,1,15))&gt;1,TRUE,FALSE)</f>
        <v>1</v>
      </c>
      <c r="C10" s="16"/>
      <c r="D10" s="14" t="str">
        <f ca="1">IFERROR(__xludf.DUMMYFUNCTION("""COMPUTED_VALUE"""),"CIE 425")</f>
        <v>CIE 425</v>
      </c>
      <c r="E10" s="15" t="b">
        <f ca="1">IF(COUNTA(OFFSET(Database!$A$1,MATCH(D10,Database!$B:$B,0)-1,2,1,15))&gt;1,TRUE,FALSE)</f>
        <v>1</v>
      </c>
      <c r="F10" s="16"/>
      <c r="G10" s="14" t="str">
        <f ca="1">IFERROR(__xludf.DUMMYFUNCTION("""COMPUTED_VALUE"""),"ENV 422")</f>
        <v>ENV 422</v>
      </c>
      <c r="H10" s="15" t="b">
        <f ca="1">IF(COUNTA(OFFSET(Database!$A$1,MATCH(G10,Database!$B:$B,0)-1,2,1,15))&gt;1,TRUE,FALSE)</f>
        <v>1</v>
      </c>
      <c r="I10" s="16"/>
      <c r="J10" s="14" t="str">
        <f ca="1">IFERROR(__xludf.DUMMYFUNCTION("""COMPUTED_VALUE"""),"SCH 232")</f>
        <v>SCH 232</v>
      </c>
      <c r="K10" s="15" t="b">
        <f ca="1">IF(COUNTA(OFFSET(Database!$A$1,MATCH(J10,Database!$B:$B,0)-1,2,1,15))&gt;1,TRUE,FALSE)</f>
        <v>1</v>
      </c>
      <c r="L10" s="16"/>
      <c r="M10" s="14" t="str">
        <f ca="1">IFERROR(__xludf.DUMMYFUNCTION("""COMPUTED_VALUE"""),"Math 404")</f>
        <v>Math 404</v>
      </c>
      <c r="N10" s="15" t="b">
        <f ca="1">IF(COUNTA(OFFSET(Database!$A$1,MATCH(M10,Database!$B:$B,0)-1,2,1,15))&gt;1,TRUE,FALSE)</f>
        <v>1</v>
      </c>
      <c r="O10" s="16"/>
      <c r="P10" s="14" t="str">
        <f ca="1">IFERROR(__xludf.DUMMYFUNCTION("""COMPUTED_VALUE"""),"MATSCI 480")</f>
        <v>MATSCI 480</v>
      </c>
      <c r="Q10" s="15" t="b">
        <f ca="1">IF(COUNTA(OFFSET(Database!$A$1,MATCH(P10,Database!$B:$B,0)-1,2,1,15))&gt;1,TRUE,FALSE)</f>
        <v>1</v>
      </c>
      <c r="R10" s="16"/>
      <c r="S10" s="14" t="str">
        <f ca="1">IFERROR(__xludf.DUMMYFUNCTION("""COMPUTED_VALUE"""),"NANENG 424")</f>
        <v>NANENG 424</v>
      </c>
      <c r="T10" s="15" t="b">
        <f ca="1">IF(COUNTA(OFFSET(Database!$A$1,MATCH(S10,Database!$B:$B,0)-1,2,1,15))&gt;1,TRUE,FALSE)</f>
        <v>1</v>
      </c>
      <c r="U10" s="16"/>
      <c r="V10" s="14" t="str">
        <f ca="1">IFERROR(__xludf.DUMMYFUNCTION("""COMPUTED_VALUE"""),"NANOSC 303")</f>
        <v>NANOSC 303</v>
      </c>
      <c r="W10" s="15" t="b">
        <f ca="1">IF(COUNTA(OFFSET(Database!$A$1,MATCH(V10,Database!$B:$B,0)-1,2,1,15))&gt;1,TRUE,FALSE)</f>
        <v>1</v>
      </c>
      <c r="X10" s="16"/>
      <c r="Y10" s="14" t="str">
        <f ca="1">IFERROR(__xludf.DUMMYFUNCTION("""COMPUTED_VALUE"""),"PEU 450")</f>
        <v>PEU 450</v>
      </c>
      <c r="Z10" s="15" t="b">
        <f ca="1">IF(COUNTA(OFFSET(Database!$A$1,MATCH(Y10,Database!$B:$B,0)-1,2,1,15))&gt;1,TRUE,FALSE)</f>
        <v>1</v>
      </c>
      <c r="AA10" s="16"/>
      <c r="AB10" s="14" t="str">
        <f ca="1">IFERROR(__xludf.DUMMYFUNCTION("""COMPUTED_VALUE"""),"REE 520")</f>
        <v>REE 520</v>
      </c>
      <c r="AC10" s="15" t="b">
        <f ca="1">IF(COUNTA(OFFSET(Database!$A$1,MATCH(AB10,Database!$B:$B,0)-1,2,1,15))&gt;1,TRUE,FALSE)</f>
        <v>1</v>
      </c>
      <c r="AD10" s="16"/>
      <c r="AE10" s="14"/>
      <c r="AF10" s="15" t="b">
        <f ca="1">IF(COUNTA(OFFSET(Database!$A$1,MATCH(AE10,Database!$B:$B,0)-1,2,1,15))&gt;1,TRUE,FALSE)</f>
        <v>0</v>
      </c>
      <c r="AG10" s="16"/>
      <c r="AH10" s="18" t="s">
        <v>110</v>
      </c>
      <c r="AI10" s="18" t="s">
        <v>17</v>
      </c>
      <c r="AJ10" s="18" t="str">
        <f>VLOOKUP(AH10,Database!B:B,1,0)</f>
        <v>BMS 311</v>
      </c>
      <c r="AK10" s="18"/>
      <c r="AL10" s="18"/>
      <c r="AM10" s="18"/>
      <c r="AN10" s="18"/>
      <c r="AO10" s="18"/>
      <c r="AP10" s="18"/>
      <c r="AQ10" s="18"/>
      <c r="AR10" s="18"/>
      <c r="AS10" s="18"/>
      <c r="AT10" s="18"/>
    </row>
    <row r="11" spans="1:46" ht="13.5" customHeight="1">
      <c r="A11" s="14" t="str">
        <f ca="1">IFERROR(__xludf.DUMMYFUNCTION("""COMPUTED_VALUE"""),"BMS 321")</f>
        <v>BMS 321</v>
      </c>
      <c r="B11" s="15" t="b">
        <f ca="1">IF(COUNTA(OFFSET(Database!$A$1,MATCH(A11,Database!$B:$B,0)-1,2,1,15))&gt;1,TRUE,FALSE)</f>
        <v>1</v>
      </c>
      <c r="C11" s="16"/>
      <c r="D11" s="14" t="str">
        <f ca="1">IFERROR(__xludf.DUMMYFUNCTION("""COMPUTED_VALUE"""),"CIE 427")</f>
        <v>CIE 427</v>
      </c>
      <c r="E11" s="15" t="b">
        <f ca="1">IF(COUNTA(OFFSET(Database!$A$1,MATCH(D11,Database!$B:$B,0)-1,2,1,15))&gt;1,TRUE,FALSE)</f>
        <v>1</v>
      </c>
      <c r="F11" s="16"/>
      <c r="G11" s="14" t="str">
        <f ca="1">IFERROR(__xludf.DUMMYFUNCTION("""COMPUTED_VALUE"""),"ENV 423")</f>
        <v>ENV 423</v>
      </c>
      <c r="H11" s="15" t="b">
        <f ca="1">IF(COUNTA(OFFSET(Database!$A$1,MATCH(G11,Database!$B:$B,0)-1,2,1,15))&gt;1,TRUE,FALSE)</f>
        <v>1</v>
      </c>
      <c r="I11" s="16"/>
      <c r="J11" s="14" t="str">
        <f ca="1">IFERROR(__xludf.DUMMYFUNCTION("""COMPUTED_VALUE"""),"SCH 244")</f>
        <v>SCH 244</v>
      </c>
      <c r="K11" s="15" t="b">
        <f ca="1">IF(COUNTA(OFFSET(Database!$A$1,MATCH(J11,Database!$B:$B,0)-1,2,1,15))&gt;1,TRUE,FALSE)</f>
        <v>1</v>
      </c>
      <c r="L11" s="16"/>
      <c r="M11" s="14"/>
      <c r="N11" s="15" t="b">
        <f ca="1">IF(COUNTA(OFFSET(Database!$A$1,MATCH(M11,Database!$B:$B,0)-1,2,1,15))&gt;1,TRUE,FALSE)</f>
        <v>0</v>
      </c>
      <c r="O11" s="16"/>
      <c r="P11" s="14" t="str">
        <f ca="1">IFERROR(__xludf.DUMMYFUNCTION("""COMPUTED_VALUE"""),"MATSCI 494")</f>
        <v>MATSCI 494</v>
      </c>
      <c r="Q11" s="15" t="b">
        <f ca="1">IF(COUNTA(OFFSET(Database!$A$1,MATCH(P11,Database!$B:$B,0)-1,2,1,15))&gt;1,TRUE,FALSE)</f>
        <v>1</v>
      </c>
      <c r="R11" s="16"/>
      <c r="S11" s="14" t="str">
        <f ca="1">IFERROR(__xludf.DUMMYFUNCTION("""COMPUTED_VALUE"""),"NANENG 433")</f>
        <v>NANENG 433</v>
      </c>
      <c r="T11" s="15" t="b">
        <f ca="1">IF(COUNTA(OFFSET(Database!$A$1,MATCH(S11,Database!$B:$B,0)-1,2,1,15))&gt;1,TRUE,FALSE)</f>
        <v>1</v>
      </c>
      <c r="U11" s="16"/>
      <c r="V11" s="14" t="str">
        <f ca="1">IFERROR(__xludf.DUMMYFUNCTION("""COMPUTED_VALUE"""),"NANOSC 305")</f>
        <v>NANOSC 305</v>
      </c>
      <c r="W11" s="15" t="b">
        <f ca="1">IF(COUNTA(OFFSET(Database!$A$1,MATCH(V11,Database!$B:$B,0)-1,2,1,15))&gt;1,TRUE,FALSE)</f>
        <v>1</v>
      </c>
      <c r="X11" s="16"/>
      <c r="Y11" s="14" t="str">
        <f ca="1">IFERROR(__xludf.DUMMYFUNCTION("""COMPUTED_VALUE"""),"PEU 453")</f>
        <v>PEU 453</v>
      </c>
      <c r="Z11" s="15" t="b">
        <f ca="1">IF(COUNTA(OFFSET(Database!$A$1,MATCH(Y11,Database!$B:$B,0)-1,2,1,15))&gt;1,TRUE,FALSE)</f>
        <v>1</v>
      </c>
      <c r="AA11" s="16"/>
      <c r="AB11" s="14" t="str">
        <f ca="1">IFERROR(__xludf.DUMMYFUNCTION("""COMPUTED_VALUE"""),"REE 532")</f>
        <v>REE 532</v>
      </c>
      <c r="AC11" s="15" t="b">
        <f ca="1">IF(COUNTA(OFFSET(Database!$A$1,MATCH(AB11,Database!$B:$B,0)-1,2,1,15))&gt;1,TRUE,FALSE)</f>
        <v>1</v>
      </c>
      <c r="AD11" s="16"/>
      <c r="AE11" s="14"/>
      <c r="AF11" s="15" t="b">
        <f ca="1">IF(COUNTA(OFFSET(Database!$A$1,MATCH(AE11,Database!$B:$B,0)-1,2,1,15))&gt;1,TRUE,FALSE)</f>
        <v>0</v>
      </c>
      <c r="AG11" s="16"/>
      <c r="AH11" s="18" t="s">
        <v>122</v>
      </c>
      <c r="AI11" s="18" t="s">
        <v>17</v>
      </c>
      <c r="AJ11" s="18" t="str">
        <f>VLOOKUP(AH11,Database!B:B,1,0)</f>
        <v>BMS 321</v>
      </c>
      <c r="AK11" s="18"/>
      <c r="AL11" s="18"/>
      <c r="AM11" s="18"/>
      <c r="AN11" s="18"/>
      <c r="AO11" s="18"/>
      <c r="AP11" s="18"/>
      <c r="AQ11" s="18"/>
      <c r="AR11" s="18"/>
      <c r="AS11" s="18"/>
      <c r="AT11" s="18"/>
    </row>
    <row r="12" spans="1:46" ht="13.5" customHeight="1">
      <c r="A12" s="14" t="str">
        <f ca="1">IFERROR(__xludf.DUMMYFUNCTION("""COMPUTED_VALUE"""),"BMS 332")</f>
        <v>BMS 332</v>
      </c>
      <c r="B12" s="15" t="b">
        <f ca="1">IF(COUNTA(OFFSET(Database!$A$1,MATCH(A12,Database!$B:$B,0)-1,2,1,15))&gt;1,TRUE,FALSE)</f>
        <v>1</v>
      </c>
      <c r="C12" s="16"/>
      <c r="D12" s="14" t="str">
        <f ca="1">IFERROR(__xludf.DUMMYFUNCTION("""COMPUTED_VALUE"""),"CIE 428")</f>
        <v>CIE 428</v>
      </c>
      <c r="E12" s="15" t="b">
        <f ca="1">IF(COUNTA(OFFSET(Database!$A$1,MATCH(D12,Database!$B:$B,0)-1,2,1,15))&gt;1,TRUE,FALSE)</f>
        <v>1</v>
      </c>
      <c r="F12" s="16"/>
      <c r="G12" s="14" t="str">
        <f ca="1">IFERROR(__xludf.DUMMYFUNCTION("""COMPUTED_VALUE"""),"ENV 425")</f>
        <v>ENV 425</v>
      </c>
      <c r="H12" s="15" t="b">
        <f ca="1">IF(COUNTA(OFFSET(Database!$A$1,MATCH(G12,Database!$B:$B,0)-1,2,1,15))&gt;1,TRUE,FALSE)</f>
        <v>1</v>
      </c>
      <c r="I12" s="16"/>
      <c r="J12" s="14" t="str">
        <f ca="1">IFERROR(__xludf.DUMMYFUNCTION("""COMPUTED_VALUE"""),"SCH 258")</f>
        <v>SCH 258</v>
      </c>
      <c r="K12" s="15" t="b">
        <f ca="1">IF(COUNTA(OFFSET(Database!$A$1,MATCH(J12,Database!$B:$B,0)-1,2,1,15))&gt;1,TRUE,FALSE)</f>
        <v>1</v>
      </c>
      <c r="L12" s="16"/>
      <c r="M12" s="14"/>
      <c r="N12" s="15" t="b">
        <f ca="1">IF(COUNTA(OFFSET(Database!$A$1,MATCH(M12,Database!$B:$B,0)-1,2,1,15))&gt;1,TRUE,FALSE)</f>
        <v>0</v>
      </c>
      <c r="O12" s="16"/>
      <c r="P12" s="14" t="str">
        <f ca="1">IFERROR(__xludf.DUMMYFUNCTION("""COMPUTED_VALUE"""),"MATSCI 499")</f>
        <v>MATSCI 499</v>
      </c>
      <c r="Q12" s="15" t="b">
        <f ca="1">IF(COUNTA(OFFSET(Database!$A$1,MATCH(P12,Database!$B:$B,0)-1,2,1,15))&gt;1,TRUE,FALSE)</f>
        <v>1</v>
      </c>
      <c r="R12" s="16"/>
      <c r="S12" s="14" t="str">
        <f ca="1">IFERROR(__xludf.DUMMYFUNCTION("""COMPUTED_VALUE"""),"NANENG 500")</f>
        <v>NANENG 500</v>
      </c>
      <c r="T12" s="15" t="b">
        <f ca="1">IF(COUNTA(OFFSET(Database!$A$1,MATCH(S12,Database!$B:$B,0)-1,2,1,15))&gt;1,TRUE,FALSE)</f>
        <v>1</v>
      </c>
      <c r="U12" s="16"/>
      <c r="V12" s="14" t="str">
        <f ca="1">IFERROR(__xludf.DUMMYFUNCTION("""COMPUTED_VALUE"""),"NANOSC 306")</f>
        <v>NANOSC 306</v>
      </c>
      <c r="W12" s="15" t="b">
        <f ca="1">IF(COUNTA(OFFSET(Database!$A$1,MATCH(V12,Database!$B:$B,0)-1,2,1,15))&gt;1,TRUE,FALSE)</f>
        <v>1</v>
      </c>
      <c r="X12" s="16"/>
      <c r="Y12" s="14" t="str">
        <f ca="1">IFERROR(__xludf.DUMMYFUNCTION("""COMPUTED_VALUE"""),"PEU 455")</f>
        <v>PEU 455</v>
      </c>
      <c r="Z12" s="15" t="b">
        <f ca="1">IF(COUNTA(OFFSET(Database!$A$1,MATCH(Y12,Database!$B:$B,0)-1,2,1,15))&gt;1,TRUE,FALSE)</f>
        <v>1</v>
      </c>
      <c r="AA12" s="16"/>
      <c r="AB12" s="14" t="str">
        <f ca="1">IFERROR(__xludf.DUMMYFUNCTION("""COMPUTED_VALUE"""),"REE 534")</f>
        <v>REE 534</v>
      </c>
      <c r="AC12" s="15" t="b">
        <f ca="1">IF(COUNTA(OFFSET(Database!$A$1,MATCH(AB12,Database!$B:$B,0)-1,2,1,15))&gt;1,TRUE,FALSE)</f>
        <v>1</v>
      </c>
      <c r="AD12" s="16"/>
      <c r="AE12" s="14"/>
      <c r="AF12" s="15" t="b">
        <f ca="1">IF(COUNTA(OFFSET(Database!$A$1,MATCH(AE12,Database!$B:$B,0)-1,2,1,15))&gt;1,TRUE,FALSE)</f>
        <v>0</v>
      </c>
      <c r="AG12" s="16"/>
      <c r="AH12" s="18" t="s">
        <v>154</v>
      </c>
      <c r="AI12" s="18" t="s">
        <v>17</v>
      </c>
      <c r="AJ12" s="18" t="str">
        <f>VLOOKUP(AH12,Database!B:B,1,0)</f>
        <v>BMS 332</v>
      </c>
      <c r="AK12" s="18"/>
      <c r="AL12" s="18"/>
      <c r="AM12" s="18"/>
      <c r="AN12" s="18"/>
      <c r="AO12" s="18"/>
      <c r="AP12" s="18"/>
      <c r="AQ12" s="18"/>
      <c r="AR12" s="18"/>
      <c r="AS12" s="18"/>
      <c r="AT12" s="18"/>
    </row>
    <row r="13" spans="1:46" ht="13.5" customHeight="1">
      <c r="A13" s="14" t="str">
        <f ca="1">IFERROR(__xludf.DUMMYFUNCTION("""COMPUTED_VALUE"""),"BMS 344")</f>
        <v>BMS 344</v>
      </c>
      <c r="B13" s="15" t="b">
        <f ca="1">IF(COUNTA(OFFSET(Database!$A$1,MATCH(A13,Database!$B:$B,0)-1,2,1,15))&gt;1,TRUE,FALSE)</f>
        <v>1</v>
      </c>
      <c r="C13" s="16"/>
      <c r="D13" s="14" t="str">
        <f ca="1">IFERROR(__xludf.DUMMYFUNCTION("""COMPUTED_VALUE"""),"CIE 442")</f>
        <v>CIE 442</v>
      </c>
      <c r="E13" s="15" t="b">
        <f ca="1">IF(COUNTA(OFFSET(Database!$A$1,MATCH(D13,Database!$B:$B,0)-1,2,1,15))&gt;1,TRUE,FALSE)</f>
        <v>1</v>
      </c>
      <c r="F13" s="16"/>
      <c r="G13" s="14" t="str">
        <f ca="1">IFERROR(__xludf.DUMMYFUNCTION("""COMPUTED_VALUE"""),"ENV 465")</f>
        <v>ENV 465</v>
      </c>
      <c r="H13" s="15" t="b">
        <f ca="1">IF(COUNTA(OFFSET(Database!$A$1,MATCH(G13,Database!$B:$B,0)-1,2,1,15))&gt;1,TRUE,FALSE)</f>
        <v>1</v>
      </c>
      <c r="I13" s="16"/>
      <c r="J13" s="14" t="str">
        <f ca="1">IFERROR(__xludf.DUMMYFUNCTION("""COMPUTED_VALUE"""),"SCH 260")</f>
        <v>SCH 260</v>
      </c>
      <c r="K13" s="15" t="b">
        <f ca="1">IF(COUNTA(OFFSET(Database!$A$1,MATCH(J13,Database!$B:$B,0)-1,2,1,15))&gt;1,TRUE,FALSE)</f>
        <v>1</v>
      </c>
      <c r="L13" s="16"/>
      <c r="M13" s="14"/>
      <c r="N13" s="15" t="b">
        <f ca="1">IF(COUNTA(OFFSET(Database!$A$1,MATCH(M13,Database!$B:$B,0)-1,2,1,15))&gt;1,TRUE,FALSE)</f>
        <v>0</v>
      </c>
      <c r="O13" s="16"/>
      <c r="P13" s="14"/>
      <c r="Q13" s="15" t="b">
        <f ca="1">IF(COUNTA(OFFSET(Database!$A$1,MATCH(P13,Database!$B:$B,0)-1,2,1,15))&gt;1,TRUE,FALSE)</f>
        <v>0</v>
      </c>
      <c r="R13" s="16"/>
      <c r="S13" s="14" t="str">
        <f ca="1">IFERROR(__xludf.DUMMYFUNCTION("""COMPUTED_VALUE"""),"NANENG 503")</f>
        <v>NANENG 503</v>
      </c>
      <c r="T13" s="15" t="b">
        <f ca="1">IF(COUNTA(OFFSET(Database!$A$1,MATCH(S13,Database!$B:$B,0)-1,2,1,15))&gt;1,TRUE,FALSE)</f>
        <v>1</v>
      </c>
      <c r="U13" s="16"/>
      <c r="V13" s="14" t="str">
        <f ca="1">IFERROR(__xludf.DUMMYFUNCTION("""COMPUTED_VALUE"""),"NANOSC 312")</f>
        <v>NANOSC 312</v>
      </c>
      <c r="W13" s="15" t="b">
        <f ca="1">IF(COUNTA(OFFSET(Database!$A$1,MATCH(V13,Database!$B:$B,0)-1,2,1,15))&gt;1,TRUE,FALSE)</f>
        <v>1</v>
      </c>
      <c r="X13" s="16"/>
      <c r="Y13" s="14" t="str">
        <f ca="1">IFERROR(__xludf.DUMMYFUNCTION("""COMPUTED_VALUE"""),"PHYS 101")</f>
        <v>PHYS 101</v>
      </c>
      <c r="Z13" s="15" t="b">
        <f ca="1">IF(COUNTA(OFFSET(Database!$A$1,MATCH(Y13,Database!$B:$B,0)-1,2,1,15))&gt;1,TRUE,FALSE)</f>
        <v>1</v>
      </c>
      <c r="AA13" s="16"/>
      <c r="AB13" s="14"/>
      <c r="AC13" s="15" t="b">
        <f ca="1">IF(COUNTA(OFFSET(Database!$A$1,MATCH(AB13,Database!$B:$B,0)-1,2,1,15))&gt;1,TRUE,FALSE)</f>
        <v>0</v>
      </c>
      <c r="AD13" s="16"/>
      <c r="AE13" s="14"/>
      <c r="AF13" s="15" t="b">
        <f ca="1">IF(COUNTA(OFFSET(Database!$A$1,MATCH(AE13,Database!$B:$B,0)-1,2,1,15))&gt;1,TRUE,FALSE)</f>
        <v>0</v>
      </c>
      <c r="AG13" s="16"/>
      <c r="AH13" s="18" t="s">
        <v>192</v>
      </c>
      <c r="AI13" s="18" t="s">
        <v>17</v>
      </c>
      <c r="AJ13" s="18" t="str">
        <f>VLOOKUP(AH13,Database!B:B,1,0)</f>
        <v>BMS 344</v>
      </c>
      <c r="AK13" s="18"/>
      <c r="AL13" s="18"/>
      <c r="AM13" s="18"/>
      <c r="AN13" s="18"/>
      <c r="AO13" s="18"/>
      <c r="AP13" s="18"/>
      <c r="AQ13" s="18"/>
      <c r="AR13" s="18"/>
      <c r="AS13" s="18"/>
      <c r="AT13" s="18"/>
    </row>
    <row r="14" spans="1:46" ht="13.5" customHeight="1">
      <c r="A14" s="14" t="str">
        <f ca="1">IFERROR(__xludf.DUMMYFUNCTION("""COMPUTED_VALUE"""),"BMS 400")</f>
        <v>BMS 400</v>
      </c>
      <c r="B14" s="15" t="b">
        <f ca="1">IF(COUNTA(OFFSET(Database!$A$1,MATCH(A14,Database!$B:$B,0)-1,2,1,15))&gt;1,TRUE,FALSE)</f>
        <v>1</v>
      </c>
      <c r="C14" s="16"/>
      <c r="D14" s="14" t="str">
        <f ca="1">IFERROR(__xludf.DUMMYFUNCTION("""COMPUTED_VALUE"""),"CIE 458")</f>
        <v>CIE 458</v>
      </c>
      <c r="E14" s="15" t="b">
        <f ca="1">IF(COUNTA(OFFSET(Database!$A$1,MATCH(D14,Database!$B:$B,0)-1,2,1,15))&gt;1,TRUE,FALSE)</f>
        <v>1</v>
      </c>
      <c r="F14" s="16"/>
      <c r="G14" s="14" t="str">
        <f ca="1">IFERROR(__xludf.DUMMYFUNCTION("""COMPUTED_VALUE"""),"ENV 506")</f>
        <v>ENV 506</v>
      </c>
      <c r="H14" s="15" t="b">
        <f ca="1">IF(COUNTA(OFFSET(Database!$A$1,MATCH(G14,Database!$B:$B,0)-1,2,1,15))&gt;1,TRUE,FALSE)</f>
        <v>1</v>
      </c>
      <c r="I14" s="16"/>
      <c r="J14" s="14" t="str">
        <f ca="1">IFERROR(__xludf.DUMMYFUNCTION("""COMPUTED_VALUE"""),"SCH 262")</f>
        <v>SCH 262</v>
      </c>
      <c r="K14" s="15" t="b">
        <f ca="1">IF(COUNTA(OFFSET(Database!$A$1,MATCH(J14,Database!$B:$B,0)-1,2,1,15))&gt;1,TRUE,FALSE)</f>
        <v>1</v>
      </c>
      <c r="L14" s="16"/>
      <c r="M14" s="14"/>
      <c r="N14" s="15" t="b">
        <f ca="1">IF(COUNTA(OFFSET(Database!$A$1,MATCH(M14,Database!$B:$B,0)-1,2,1,15))&gt;1,TRUE,FALSE)</f>
        <v>0</v>
      </c>
      <c r="O14" s="16"/>
      <c r="P14" s="14"/>
      <c r="Q14" s="15" t="b">
        <f ca="1">IF(COUNTA(OFFSET(Database!$A$1,MATCH(P14,Database!$B:$B,0)-1,2,1,15))&gt;1,TRUE,FALSE)</f>
        <v>0</v>
      </c>
      <c r="R14" s="16"/>
      <c r="S14" s="14" t="str">
        <f ca="1">IFERROR(__xludf.DUMMYFUNCTION("""COMPUTED_VALUE"""),"NANENG 511")</f>
        <v>NANENG 511</v>
      </c>
      <c r="T14" s="15" t="b">
        <f ca="1">IF(COUNTA(OFFSET(Database!$A$1,MATCH(S14,Database!$B:$B,0)-1,2,1,15))&gt;1,TRUE,FALSE)</f>
        <v>1</v>
      </c>
      <c r="U14" s="16"/>
      <c r="V14" s="14" t="str">
        <f ca="1">IFERROR(__xludf.DUMMYFUNCTION("""COMPUTED_VALUE"""),"NANOSC 315")</f>
        <v>NANOSC 315</v>
      </c>
      <c r="W14" s="15" t="b">
        <f ca="1">IF(COUNTA(OFFSET(Database!$A$1,MATCH(V14,Database!$B:$B,0)-1,2,1,15))&gt;1,TRUE,FALSE)</f>
        <v>1</v>
      </c>
      <c r="X14" s="16"/>
      <c r="Y14" s="14" t="str">
        <f ca="1">IFERROR(__xludf.DUMMYFUNCTION("""COMPUTED_VALUE"""),"PHYS 111")</f>
        <v>PHYS 111</v>
      </c>
      <c r="Z14" s="15" t="b">
        <f ca="1">IF(COUNTA(OFFSET(Database!$A$1,MATCH(Y14,Database!$B:$B,0)-1,2,1,15))&gt;1,TRUE,FALSE)</f>
        <v>1</v>
      </c>
      <c r="AA14" s="16"/>
      <c r="AB14" s="14"/>
      <c r="AC14" s="15" t="b">
        <f ca="1">IF(COUNTA(OFFSET(Database!$A$1,MATCH(AB14,Database!$B:$B,0)-1,2,1,15))&gt;1,TRUE,FALSE)</f>
        <v>0</v>
      </c>
      <c r="AD14" s="16"/>
      <c r="AE14" s="14"/>
      <c r="AF14" s="15" t="b">
        <f ca="1">IF(COUNTA(OFFSET(Database!$A$1,MATCH(AE14,Database!$B:$B,0)-1,2,1,15))&gt;1,TRUE,FALSE)</f>
        <v>0</v>
      </c>
      <c r="AG14" s="16"/>
      <c r="AH14" s="18" t="s">
        <v>200</v>
      </c>
      <c r="AI14" s="18" t="s">
        <v>17</v>
      </c>
      <c r="AJ14" s="18" t="str">
        <f>VLOOKUP(AH14,Database!B:B,1,0)</f>
        <v>BMS 400</v>
      </c>
      <c r="AK14" s="18"/>
      <c r="AL14" s="18"/>
      <c r="AM14" s="18"/>
      <c r="AN14" s="18"/>
      <c r="AO14" s="18"/>
      <c r="AP14" s="18"/>
      <c r="AQ14" s="18"/>
      <c r="AR14" s="18"/>
      <c r="AS14" s="18"/>
      <c r="AT14" s="18"/>
    </row>
    <row r="15" spans="1:46" ht="13.5" customHeight="1">
      <c r="A15" s="14" t="str">
        <f ca="1">IFERROR(__xludf.DUMMYFUNCTION("""COMPUTED_VALUE"""),"BMS 401")</f>
        <v>BMS 401</v>
      </c>
      <c r="B15" s="15" t="b">
        <f ca="1">IF(COUNTA(OFFSET(Database!$A$1,MATCH(A15,Database!$B:$B,0)-1,2,1,15))&gt;1,TRUE,FALSE)</f>
        <v>1</v>
      </c>
      <c r="C15" s="16"/>
      <c r="D15" s="14" t="str">
        <f ca="1">IFERROR(__xludf.DUMMYFUNCTION("""COMPUTED_VALUE"""),"CIE 510")</f>
        <v>CIE 510</v>
      </c>
      <c r="E15" s="15" t="b">
        <f ca="1">IF(COUNTA(OFFSET(Database!$A$1,MATCH(D15,Database!$B:$B,0)-1,2,1,15))&gt;1,TRUE,FALSE)</f>
        <v>1</v>
      </c>
      <c r="F15" s="16"/>
      <c r="G15" s="14" t="str">
        <f ca="1">IFERROR(__xludf.DUMMYFUNCTION("""COMPUTED_VALUE"""),"ENV 510")</f>
        <v>ENV 510</v>
      </c>
      <c r="H15" s="15" t="b">
        <f ca="1">IF(COUNTA(OFFSET(Database!$A$1,MATCH(G15,Database!$B:$B,0)-1,2,1,15))&gt;1,TRUE,FALSE)</f>
        <v>1</v>
      </c>
      <c r="I15" s="16"/>
      <c r="J15" s="14" t="str">
        <f ca="1">IFERROR(__xludf.DUMMYFUNCTION("""COMPUTED_VALUE"""),"SCH 263")</f>
        <v>SCH 263</v>
      </c>
      <c r="K15" s="15" t="b">
        <f ca="1">IF(COUNTA(OFFSET(Database!$A$1,MATCH(J15,Database!$B:$B,0)-1,2,1,15))&gt;1,TRUE,FALSE)</f>
        <v>1</v>
      </c>
      <c r="L15" s="16"/>
      <c r="M15" s="14"/>
      <c r="N15" s="15" t="b">
        <f ca="1">IF(COUNTA(OFFSET(Database!$A$1,MATCH(M15,Database!$B:$B,0)-1,2,1,15))&gt;1,TRUE,FALSE)</f>
        <v>0</v>
      </c>
      <c r="O15" s="16"/>
      <c r="P15" s="14"/>
      <c r="Q15" s="15" t="b">
        <f ca="1">IF(COUNTA(OFFSET(Database!$A$1,MATCH(P15,Database!$B:$B,0)-1,2,1,15))&gt;1,TRUE,FALSE)</f>
        <v>0</v>
      </c>
      <c r="R15" s="16"/>
      <c r="S15" s="14" t="str">
        <f ca="1">IFERROR(__xludf.DUMMYFUNCTION("""COMPUTED_VALUE"""),"NANENG 512")</f>
        <v>NANENG 512</v>
      </c>
      <c r="T15" s="15" t="b">
        <f ca="1">IF(COUNTA(OFFSET(Database!$A$1,MATCH(S15,Database!$B:$B,0)-1,2,1,15))&gt;1,TRUE,FALSE)</f>
        <v>1</v>
      </c>
      <c r="U15" s="16"/>
      <c r="V15" s="14" t="str">
        <f ca="1">IFERROR(__xludf.DUMMYFUNCTION("""COMPUTED_VALUE"""),"NANOSC 401")</f>
        <v>NANOSC 401</v>
      </c>
      <c r="W15" s="15" t="b">
        <f ca="1">IF(COUNTA(OFFSET(Database!$A$1,MATCH(V15,Database!$B:$B,0)-1,2,1,15))&gt;1,TRUE,FALSE)</f>
        <v>1</v>
      </c>
      <c r="X15" s="16"/>
      <c r="Y15" s="14" t="str">
        <f ca="1">IFERROR(__xludf.DUMMYFUNCTION("""COMPUTED_VALUE"""),"PHYS 201")</f>
        <v>PHYS 201</v>
      </c>
      <c r="Z15" s="15" t="b">
        <f ca="1">IF(COUNTA(OFFSET(Database!$A$1,MATCH(Y15,Database!$B:$B,0)-1,2,1,15))&gt;1,TRUE,FALSE)</f>
        <v>1</v>
      </c>
      <c r="AA15" s="16"/>
      <c r="AB15" s="14"/>
      <c r="AC15" s="15" t="b">
        <f ca="1">IF(COUNTA(OFFSET(Database!$A$1,MATCH(AB15,Database!$B:$B,0)-1,2,1,15))&gt;1,TRUE,FALSE)</f>
        <v>0</v>
      </c>
      <c r="AD15" s="16"/>
      <c r="AE15" s="14"/>
      <c r="AF15" s="15" t="b">
        <f ca="1">IF(COUNTA(OFFSET(Database!$A$1,MATCH(AE15,Database!$B:$B,0)-1,2,1,15))&gt;1,TRUE,FALSE)</f>
        <v>0</v>
      </c>
      <c r="AG15" s="16"/>
      <c r="AH15" s="18" t="s">
        <v>201</v>
      </c>
      <c r="AI15" s="18" t="s">
        <v>17</v>
      </c>
      <c r="AJ15" s="18" t="str">
        <f>VLOOKUP(AH15,Database!B:B,1,0)</f>
        <v>BMS 401</v>
      </c>
      <c r="AK15" s="18"/>
      <c r="AL15" s="18"/>
      <c r="AM15" s="18"/>
      <c r="AN15" s="18"/>
      <c r="AO15" s="18"/>
      <c r="AP15" s="18"/>
      <c r="AQ15" s="18"/>
      <c r="AR15" s="18"/>
      <c r="AS15" s="18"/>
      <c r="AT15" s="18"/>
    </row>
    <row r="16" spans="1:46" ht="13.5" customHeight="1">
      <c r="A16" s="14" t="str">
        <f ca="1">IFERROR(__xludf.DUMMYFUNCTION("""COMPUTED_VALUE"""),"BMS 404")</f>
        <v>BMS 404</v>
      </c>
      <c r="B16" s="15" t="b">
        <f ca="1">IF(COUNTA(OFFSET(Database!$A$1,MATCH(A16,Database!$B:$B,0)-1,2,1,15))&gt;1,TRUE,FALSE)</f>
        <v>1</v>
      </c>
      <c r="C16" s="16"/>
      <c r="D16" s="14" t="str">
        <f ca="1">IFERROR(__xludf.DUMMYFUNCTION("""COMPUTED_VALUE"""),"CIE 553")</f>
        <v>CIE 553</v>
      </c>
      <c r="E16" s="15" t="b">
        <f ca="1">IF(COUNTA(OFFSET(Database!$A$1,MATCH(D16,Database!$B:$B,0)-1,2,1,15))&gt;1,TRUE,FALSE)</f>
        <v>1</v>
      </c>
      <c r="F16" s="16"/>
      <c r="G16" s="14" t="str">
        <f ca="1">IFERROR(__xludf.DUMMYFUNCTION("""COMPUTED_VALUE"""),"ENV 527")</f>
        <v>ENV 527</v>
      </c>
      <c r="H16" s="15" t="b">
        <f ca="1">IF(COUNTA(OFFSET(Database!$A$1,MATCH(G16,Database!$B:$B,0)-1,2,1,15))&gt;1,TRUE,FALSE)</f>
        <v>1</v>
      </c>
      <c r="I16" s="16"/>
      <c r="J16" s="14" t="str">
        <f ca="1">IFERROR(__xludf.DUMMYFUNCTION("""COMPUTED_VALUE"""),"SCH 264")</f>
        <v>SCH 264</v>
      </c>
      <c r="K16" s="15" t="b">
        <f ca="1">IF(COUNTA(OFFSET(Database!$A$1,MATCH(J16,Database!$B:$B,0)-1,2,1,15))&gt;1,TRUE,FALSE)</f>
        <v>1</v>
      </c>
      <c r="L16" s="16"/>
      <c r="M16" s="14"/>
      <c r="N16" s="15" t="b">
        <f ca="1">IF(COUNTA(OFFSET(Database!$A$1,MATCH(M16,Database!$B:$B,0)-1,2,1,15))&gt;1,TRUE,FALSE)</f>
        <v>0</v>
      </c>
      <c r="O16" s="16"/>
      <c r="P16" s="14"/>
      <c r="Q16" s="15" t="b">
        <f ca="1">IF(COUNTA(OFFSET(Database!$A$1,MATCH(P16,Database!$B:$B,0)-1,2,1,15))&gt;1,TRUE,FALSE)</f>
        <v>0</v>
      </c>
      <c r="R16" s="16"/>
      <c r="S16" s="14" t="str">
        <f ca="1">IFERROR(__xludf.DUMMYFUNCTION("""COMPUTED_VALUE"""),"NANENG 515")</f>
        <v>NANENG 515</v>
      </c>
      <c r="T16" s="15" t="b">
        <f ca="1">IF(COUNTA(OFFSET(Database!$A$1,MATCH(S16,Database!$B:$B,0)-1,2,1,15))&gt;1,TRUE,FALSE)</f>
        <v>1</v>
      </c>
      <c r="U16" s="16"/>
      <c r="V16" s="14" t="str">
        <f ca="1">IFERROR(__xludf.DUMMYFUNCTION("""COMPUTED_VALUE"""),"NANOSC 403")</f>
        <v>NANOSC 403</v>
      </c>
      <c r="W16" s="15" t="b">
        <f ca="1">IF(COUNTA(OFFSET(Database!$A$1,MATCH(V16,Database!$B:$B,0)-1,2,1,15))&gt;1,TRUE,FALSE)</f>
        <v>1</v>
      </c>
      <c r="X16" s="16"/>
      <c r="Y16" s="14" t="str">
        <f ca="1">IFERROR(__xludf.DUMMYFUNCTION("""COMPUTED_VALUE"""),"PHYS 211")</f>
        <v>PHYS 211</v>
      </c>
      <c r="Z16" s="15" t="b">
        <f ca="1">IF(COUNTA(OFFSET(Database!$A$1,MATCH(Y16,Database!$B:$B,0)-1,2,1,15))&gt;1,TRUE,FALSE)</f>
        <v>1</v>
      </c>
      <c r="AA16" s="16"/>
      <c r="AB16" s="14"/>
      <c r="AC16" s="15" t="b">
        <f ca="1">IF(COUNTA(OFFSET(Database!$A$1,MATCH(AB16,Database!$B:$B,0)-1,2,1,15))&gt;1,TRUE,FALSE)</f>
        <v>0</v>
      </c>
      <c r="AD16" s="16"/>
      <c r="AE16" s="14"/>
      <c r="AF16" s="15" t="b">
        <f ca="1">IF(COUNTA(OFFSET(Database!$A$1,MATCH(AE16,Database!$B:$B,0)-1,2,1,15))&gt;1,TRUE,FALSE)</f>
        <v>0</v>
      </c>
      <c r="AG16" s="16"/>
      <c r="AH16" s="18" t="s">
        <v>202</v>
      </c>
      <c r="AI16" s="18" t="s">
        <v>17</v>
      </c>
      <c r="AJ16" s="18" t="str">
        <f>VLOOKUP(AH16,Database!B:B,1,0)</f>
        <v>BMS 404</v>
      </c>
      <c r="AK16" s="18"/>
      <c r="AL16" s="18"/>
      <c r="AM16" s="18"/>
      <c r="AN16" s="18"/>
      <c r="AO16" s="18"/>
      <c r="AP16" s="18"/>
      <c r="AQ16" s="18"/>
      <c r="AR16" s="18"/>
      <c r="AS16" s="18"/>
      <c r="AT16" s="18"/>
    </row>
    <row r="17" spans="1:46" ht="13.5" customHeight="1">
      <c r="A17" s="14" t="str">
        <f ca="1">IFERROR(__xludf.DUMMYFUNCTION("""COMPUTED_VALUE"""),"BMS 405")</f>
        <v>BMS 405</v>
      </c>
      <c r="B17" s="15" t="b">
        <f ca="1">IF(COUNTA(OFFSET(Database!$A$1,MATCH(A17,Database!$B:$B,0)-1,2,1,15))&gt;1,TRUE,FALSE)</f>
        <v>1</v>
      </c>
      <c r="C17" s="16"/>
      <c r="D17" s="14" t="str">
        <f ca="1">IFERROR(__xludf.DUMMYFUNCTION("""COMPUTED_VALUE"""),"CIE 556")</f>
        <v>CIE 556</v>
      </c>
      <c r="E17" s="15" t="b">
        <f ca="1">IF(COUNTA(OFFSET(Database!$A$1,MATCH(D17,Database!$B:$B,0)-1,2,1,15))&gt;1,TRUE,FALSE)</f>
        <v>1</v>
      </c>
      <c r="F17" s="16"/>
      <c r="G17" s="14" t="str">
        <f ca="1">IFERROR(__xludf.DUMMYFUNCTION("""COMPUTED_VALUE"""),"ENV 528")</f>
        <v>ENV 528</v>
      </c>
      <c r="H17" s="15" t="b">
        <f ca="1">IF(COUNTA(OFFSET(Database!$A$1,MATCH(G17,Database!$B:$B,0)-1,2,1,15))&gt;1,TRUE,FALSE)</f>
        <v>1</v>
      </c>
      <c r="I17" s="16"/>
      <c r="J17" s="14" t="str">
        <f ca="1">IFERROR(__xludf.DUMMYFUNCTION("""COMPUTED_VALUE"""),"SCH 273")</f>
        <v>SCH 273</v>
      </c>
      <c r="K17" s="15" t="b">
        <f ca="1">IF(COUNTA(OFFSET(Database!$A$1,MATCH(J17,Database!$B:$B,0)-1,2,1,15))&gt;1,TRUE,FALSE)</f>
        <v>1</v>
      </c>
      <c r="L17" s="16"/>
      <c r="M17" s="14"/>
      <c r="N17" s="15" t="b">
        <f ca="1">IF(COUNTA(OFFSET(Database!$A$1,MATCH(M17,Database!$B:$B,0)-1,2,1,15))&gt;1,TRUE,FALSE)</f>
        <v>0</v>
      </c>
      <c r="O17" s="16"/>
      <c r="P17" s="14"/>
      <c r="Q17" s="15" t="b">
        <f ca="1">IF(COUNTA(OFFSET(Database!$A$1,MATCH(P17,Database!$B:$B,0)-1,2,1,15))&gt;1,TRUE,FALSE)</f>
        <v>0</v>
      </c>
      <c r="R17" s="16"/>
      <c r="S17" s="14" t="str">
        <f ca="1">IFERROR(__xludf.DUMMYFUNCTION("""COMPUTED_VALUE"""),"NANENG 520")</f>
        <v>NANENG 520</v>
      </c>
      <c r="T17" s="15" t="b">
        <f ca="1">IF(COUNTA(OFFSET(Database!$A$1,MATCH(S17,Database!$B:$B,0)-1,2,1,15))&gt;1,TRUE,FALSE)</f>
        <v>1</v>
      </c>
      <c r="U17" s="16"/>
      <c r="V17" s="14" t="str">
        <f ca="1">IFERROR(__xludf.DUMMYFUNCTION("""COMPUTED_VALUE"""),"NANOSC 405")</f>
        <v>NANOSC 405</v>
      </c>
      <c r="W17" s="15" t="b">
        <f ca="1">IF(COUNTA(OFFSET(Database!$A$1,MATCH(V17,Database!$B:$B,0)-1,2,1,15))&gt;1,TRUE,FALSE)</f>
        <v>1</v>
      </c>
      <c r="X17" s="16"/>
      <c r="Y17" s="14"/>
      <c r="Z17" s="15" t="b">
        <f ca="1">IF(COUNTA(OFFSET(Database!$A$1,MATCH(Y17,Database!$B:$B,0)-1,2,1,15))&gt;1,TRUE,FALSE)</f>
        <v>0</v>
      </c>
      <c r="AA17" s="16"/>
      <c r="AB17" s="14"/>
      <c r="AC17" s="15" t="b">
        <f ca="1">IF(COUNTA(OFFSET(Database!$A$1,MATCH(AB17,Database!$B:$B,0)-1,2,1,15))&gt;1,TRUE,FALSE)</f>
        <v>0</v>
      </c>
      <c r="AD17" s="16"/>
      <c r="AE17" s="14"/>
      <c r="AF17" s="15" t="b">
        <f ca="1">IF(COUNTA(OFFSET(Database!$A$1,MATCH(AE17,Database!$B:$B,0)-1,2,1,15))&gt;1,TRUE,FALSE)</f>
        <v>0</v>
      </c>
      <c r="AG17" s="16"/>
      <c r="AH17" s="18" t="s">
        <v>212</v>
      </c>
      <c r="AI17" s="18" t="s">
        <v>17</v>
      </c>
      <c r="AJ17" s="18" t="str">
        <f>VLOOKUP(AH17,Database!B:B,1,0)</f>
        <v>BMS 405</v>
      </c>
      <c r="AK17" s="18"/>
      <c r="AL17" s="18"/>
      <c r="AM17" s="18"/>
      <c r="AN17" s="18"/>
      <c r="AO17" s="18"/>
      <c r="AP17" s="18"/>
      <c r="AQ17" s="18"/>
      <c r="AR17" s="18"/>
      <c r="AS17" s="18"/>
      <c r="AT17" s="18"/>
    </row>
    <row r="18" spans="1:46" ht="13.5" customHeight="1">
      <c r="A18" s="14" t="str">
        <f ca="1">IFERROR(__xludf.DUMMYFUNCTION("""COMPUTED_VALUE"""),"BMS 409")</f>
        <v>BMS 409</v>
      </c>
      <c r="B18" s="15" t="b">
        <f ca="1">IF(COUNTA(OFFSET(Database!$A$1,MATCH(A18,Database!$B:$B,0)-1,2,1,15))&gt;1,TRUE,FALSE)</f>
        <v>1</v>
      </c>
      <c r="C18" s="16"/>
      <c r="D18" s="14" t="str">
        <f ca="1">IFERROR(__xludf.DUMMYFUNCTION("""COMPUTED_VALUE"""),"CIE 564")</f>
        <v>CIE 564</v>
      </c>
      <c r="E18" s="15" t="b">
        <f ca="1">IF(COUNTA(OFFSET(Database!$A$1,MATCH(D18,Database!$B:$B,0)-1,2,1,15))&gt;1,TRUE,FALSE)</f>
        <v>1</v>
      </c>
      <c r="F18" s="16"/>
      <c r="G18" s="14"/>
      <c r="H18" s="15" t="b">
        <f ca="1">IF(COUNTA(OFFSET(Database!$A$1,MATCH(G18,Database!$B:$B,0)-1,2,1,15))&gt;1,TRUE,FALSE)</f>
        <v>0</v>
      </c>
      <c r="I18" s="16"/>
      <c r="J18" s="14" t="str">
        <f ca="1">IFERROR(__xludf.DUMMYFUNCTION("""COMPUTED_VALUE"""),"SCH 274")</f>
        <v>SCH 274</v>
      </c>
      <c r="K18" s="15" t="b">
        <f ca="1">IF(COUNTA(OFFSET(Database!$A$1,MATCH(J18,Database!$B:$B,0)-1,2,1,15))&gt;1,TRUE,FALSE)</f>
        <v>1</v>
      </c>
      <c r="L18" s="16"/>
      <c r="M18" s="14"/>
      <c r="N18" s="15" t="b">
        <f ca="1">IF(COUNTA(OFFSET(Database!$A$1,MATCH(M18,Database!$B:$B,0)-1,2,1,15))&gt;1,TRUE,FALSE)</f>
        <v>0</v>
      </c>
      <c r="O18" s="16"/>
      <c r="P18" s="14"/>
      <c r="Q18" s="15" t="b">
        <f ca="1">IF(COUNTA(OFFSET(Database!$A$1,MATCH(P18,Database!$B:$B,0)-1,2,1,15))&gt;1,TRUE,FALSE)</f>
        <v>0</v>
      </c>
      <c r="R18" s="16"/>
      <c r="S18" s="14"/>
      <c r="T18" s="15" t="b">
        <f ca="1">IF(COUNTA(OFFSET(Database!$A$1,MATCH(S18,Database!$B:$B,0)-1,2,1,15))&gt;1,TRUE,FALSE)</f>
        <v>0</v>
      </c>
      <c r="U18" s="16"/>
      <c r="V18" s="14" t="str">
        <f ca="1">IFERROR(__xludf.DUMMYFUNCTION("""COMPUTED_VALUE"""),"NANOSC 413")</f>
        <v>NANOSC 413</v>
      </c>
      <c r="W18" s="15" t="b">
        <f ca="1">IF(COUNTA(OFFSET(Database!$A$1,MATCH(V18,Database!$B:$B,0)-1,2,1,15))&gt;1,TRUE,FALSE)</f>
        <v>1</v>
      </c>
      <c r="X18" s="16"/>
      <c r="Y18" s="14"/>
      <c r="Z18" s="15" t="b">
        <f ca="1">IF(COUNTA(OFFSET(Database!$A$1,MATCH(Y18,Database!$B:$B,0)-1,2,1,15))&gt;1,TRUE,FALSE)</f>
        <v>0</v>
      </c>
      <c r="AA18" s="16"/>
      <c r="AB18" s="14"/>
      <c r="AC18" s="15" t="b">
        <f ca="1">IF(COUNTA(OFFSET(Database!$A$1,MATCH(AB18,Database!$B:$B,0)-1,2,1,15))&gt;1,TRUE,FALSE)</f>
        <v>0</v>
      </c>
      <c r="AD18" s="16"/>
      <c r="AE18" s="14"/>
      <c r="AF18" s="15" t="b">
        <f ca="1">IF(COUNTA(OFFSET(Database!$A$1,MATCH(AE18,Database!$B:$B,0)-1,2,1,15))&gt;1,TRUE,FALSE)</f>
        <v>0</v>
      </c>
      <c r="AG18" s="16"/>
      <c r="AH18" s="18" t="s">
        <v>213</v>
      </c>
      <c r="AI18" s="18" t="s">
        <v>17</v>
      </c>
      <c r="AJ18" s="18" t="str">
        <f>VLOOKUP(AH18,Database!B:B,1,0)</f>
        <v>BMS 409</v>
      </c>
      <c r="AK18" s="18"/>
      <c r="AL18" s="18"/>
      <c r="AM18" s="18"/>
      <c r="AN18" s="18"/>
      <c r="AO18" s="18"/>
      <c r="AP18" s="18"/>
      <c r="AQ18" s="18"/>
      <c r="AR18" s="18"/>
      <c r="AS18" s="18"/>
      <c r="AT18" s="18"/>
    </row>
    <row r="19" spans="1:46" ht="13.5" customHeight="1">
      <c r="A19" s="14" t="str">
        <f ca="1">IFERROR(__xludf.DUMMYFUNCTION("""COMPUTED_VALUE"""),"BMS 434")</f>
        <v>BMS 434</v>
      </c>
      <c r="B19" s="15" t="b">
        <f ca="1">IF(COUNTA(OFFSET(Database!$A$1,MATCH(A19,Database!$B:$B,0)-1,2,1,15))&gt;1,TRUE,FALSE)</f>
        <v>1</v>
      </c>
      <c r="C19" s="16"/>
      <c r="D19" s="14" t="str">
        <f ca="1">IFERROR(__xludf.DUMMYFUNCTION("""COMPUTED_VALUE"""),"CSCI 101")</f>
        <v>CSCI 101</v>
      </c>
      <c r="E19" s="15" t="b">
        <f ca="1">IF(COUNTA(OFFSET(Database!$A$1,MATCH(D19,Database!$B:$B,0)-1,2,1,15))&gt;1,TRUE,FALSE)</f>
        <v>1</v>
      </c>
      <c r="F19" s="16"/>
      <c r="G19" s="14"/>
      <c r="H19" s="15" t="b">
        <f ca="1">IF(COUNTA(OFFSET(Database!$A$1,MATCH(G19,Database!$B:$B,0)-1,2,1,15))&gt;1,TRUE,FALSE)</f>
        <v>0</v>
      </c>
      <c r="I19" s="16"/>
      <c r="J19" s="14"/>
      <c r="K19" s="15" t="b">
        <f ca="1">IF(COUNTA(OFFSET(Database!$A$1,MATCH(J19,Database!$B:$B,0)-1,2,1,15))&gt;1,TRUE,FALSE)</f>
        <v>0</v>
      </c>
      <c r="L19" s="16"/>
      <c r="M19" s="14"/>
      <c r="N19" s="15" t="b">
        <f ca="1">IF(COUNTA(OFFSET(Database!$A$1,MATCH(M19,Database!$B:$B,0)-1,2,1,15))&gt;1,TRUE,FALSE)</f>
        <v>0</v>
      </c>
      <c r="O19" s="16"/>
      <c r="P19" s="14"/>
      <c r="Q19" s="15" t="b">
        <f ca="1">IF(COUNTA(OFFSET(Database!$A$1,MATCH(P19,Database!$B:$B,0)-1,2,1,15))&gt;1,TRUE,FALSE)</f>
        <v>0</v>
      </c>
      <c r="R19" s="16"/>
      <c r="S19" s="14"/>
      <c r="T19" s="15" t="b">
        <f ca="1">IF(COUNTA(OFFSET(Database!$A$1,MATCH(S19,Database!$B:$B,0)-1,2,1,15))&gt;1,TRUE,FALSE)</f>
        <v>0</v>
      </c>
      <c r="U19" s="16"/>
      <c r="V19" s="14" t="str">
        <f ca="1">IFERROR(__xludf.DUMMYFUNCTION("""COMPUTED_VALUE"""),"NANOSC 415")</f>
        <v>NANOSC 415</v>
      </c>
      <c r="W19" s="15" t="b">
        <f ca="1">IF(COUNTA(OFFSET(Database!$A$1,MATCH(V19,Database!$B:$B,0)-1,2,1,15))&gt;1,TRUE,FALSE)</f>
        <v>1</v>
      </c>
      <c r="X19" s="16"/>
      <c r="Y19" s="14"/>
      <c r="Z19" s="15" t="b">
        <f ca="1">IF(COUNTA(OFFSET(Database!$A$1,MATCH(Y19,Database!$B:$B,0)-1,2,1,15))&gt;1,TRUE,FALSE)</f>
        <v>0</v>
      </c>
      <c r="AA19" s="16"/>
      <c r="AB19" s="14"/>
      <c r="AC19" s="15" t="b">
        <f ca="1">IF(COUNTA(OFFSET(Database!$A$1,MATCH(AB19,Database!$B:$B,0)-1,2,1,15))&gt;1,TRUE,FALSE)</f>
        <v>0</v>
      </c>
      <c r="AD19" s="16"/>
      <c r="AE19" s="14"/>
      <c r="AF19" s="15" t="b">
        <f ca="1">IF(COUNTA(OFFSET(Database!$A$1,MATCH(AE19,Database!$B:$B,0)-1,2,1,15))&gt;1,TRUE,FALSE)</f>
        <v>0</v>
      </c>
      <c r="AG19" s="16"/>
      <c r="AH19" s="18" t="s">
        <v>266</v>
      </c>
      <c r="AI19" s="18" t="s">
        <v>17</v>
      </c>
      <c r="AJ19" s="18" t="str">
        <f>VLOOKUP(AH19,Database!B:B,1,0)</f>
        <v>BMS 434</v>
      </c>
      <c r="AK19" s="18"/>
      <c r="AL19" s="18"/>
      <c r="AM19" s="18"/>
      <c r="AN19" s="18"/>
      <c r="AO19" s="18"/>
      <c r="AP19" s="18"/>
      <c r="AQ19" s="18"/>
      <c r="AR19" s="18"/>
      <c r="AS19" s="18"/>
      <c r="AT19" s="18"/>
    </row>
    <row r="20" spans="1:46" ht="13.5" customHeight="1">
      <c r="A20" s="39" t="str">
        <f ca="1">IFERROR(__xludf.DUMMYFUNCTION("""COMPUTED_VALUE"""),"BMS 459")</f>
        <v>BMS 459</v>
      </c>
      <c r="B20" s="15" t="b">
        <f ca="1">IF(COUNTA(OFFSET(Database!$A$1,MATCH(A20,Database!$B:$B,0)-1,2,1,15))&gt;1,TRUE,FALSE)</f>
        <v>1</v>
      </c>
      <c r="C20" s="16"/>
      <c r="D20" s="39" t="str">
        <f ca="1">IFERROR(__xludf.DUMMYFUNCTION("""COMPUTED_VALUE"""),"ENGR 210")</f>
        <v>ENGR 210</v>
      </c>
      <c r="E20" s="15" t="b">
        <f ca="1">IF(COUNTA(OFFSET(Database!$A$1,MATCH(D20,Database!$B:$B,0)-1,2,1,15))&gt;1,TRUE,FALSE)</f>
        <v>1</v>
      </c>
      <c r="F20" s="16"/>
      <c r="G20" s="39"/>
      <c r="H20" s="15" t="b">
        <f ca="1">IF(COUNTA(OFFSET(Database!$A$1,MATCH(G20,Database!$B:$B,0)-1,2,1,15))&gt;1,TRUE,FALSE)</f>
        <v>0</v>
      </c>
      <c r="I20" s="16"/>
      <c r="J20" s="39"/>
      <c r="K20" s="15" t="b">
        <f ca="1">IF(COUNTA(OFFSET(Database!$A$1,MATCH(J20,Database!$B:$B,0)-1,2,1,15))&gt;1,TRUE,FALSE)</f>
        <v>0</v>
      </c>
      <c r="L20" s="16"/>
      <c r="M20" s="39"/>
      <c r="N20" s="15" t="b">
        <f ca="1">IF(COUNTA(OFFSET(Database!$A$1,MATCH(M20,Database!$B:$B,0)-1,2,1,15))&gt;1,TRUE,FALSE)</f>
        <v>0</v>
      </c>
      <c r="O20" s="16"/>
      <c r="P20" s="39"/>
      <c r="Q20" s="15" t="b">
        <f ca="1">IF(COUNTA(OFFSET(Database!$A$1,MATCH(P20,Database!$B:$B,0)-1,2,1,15))&gt;1,TRUE,FALSE)</f>
        <v>0</v>
      </c>
      <c r="R20" s="16"/>
      <c r="S20" s="39"/>
      <c r="T20" s="15" t="b">
        <f ca="1">IF(COUNTA(OFFSET(Database!$A$1,MATCH(S20,Database!$B:$B,0)-1,2,1,15))&gt;1,TRUE,FALSE)</f>
        <v>0</v>
      </c>
      <c r="U20" s="16"/>
      <c r="V20" s="39" t="str">
        <f ca="1">IFERROR(__xludf.DUMMYFUNCTION("""COMPUTED_VALUE"""),"NANOSC 417")</f>
        <v>NANOSC 417</v>
      </c>
      <c r="W20" s="15" t="b">
        <f ca="1">IF(COUNTA(OFFSET(Database!$A$1,MATCH(V20,Database!$B:$B,0)-1,2,1,15))&gt;1,TRUE,FALSE)</f>
        <v>1</v>
      </c>
      <c r="X20" s="16"/>
      <c r="Y20" s="39"/>
      <c r="Z20" s="15" t="b">
        <f ca="1">IF(COUNTA(OFFSET(Database!$A$1,MATCH(Y20,Database!$B:$B,0)-1,2,1,15))&gt;1,TRUE,FALSE)</f>
        <v>0</v>
      </c>
      <c r="AA20" s="16"/>
      <c r="AB20" s="39"/>
      <c r="AC20" s="15" t="b">
        <f ca="1">IF(COUNTA(OFFSET(Database!$A$1,MATCH(AB20,Database!$B:$B,0)-1,2,1,15))&gt;1,TRUE,FALSE)</f>
        <v>0</v>
      </c>
      <c r="AD20" s="16"/>
      <c r="AE20" s="39"/>
      <c r="AF20" s="15" t="b">
        <f ca="1">IF(COUNTA(OFFSET(Database!$A$1,MATCH(AE20,Database!$B:$B,0)-1,2,1,15))&gt;1,TRUE,FALSE)</f>
        <v>0</v>
      </c>
      <c r="AG20" s="16"/>
      <c r="AH20" s="18" t="s">
        <v>273</v>
      </c>
      <c r="AI20" s="18" t="s">
        <v>17</v>
      </c>
      <c r="AJ20" s="18" t="str">
        <f>VLOOKUP(AH20,Database!B:B,1,0)</f>
        <v>BMS 459</v>
      </c>
      <c r="AK20" s="18"/>
      <c r="AL20" s="18"/>
      <c r="AM20" s="18"/>
      <c r="AN20" s="18"/>
      <c r="AO20" s="18"/>
      <c r="AP20" s="18"/>
      <c r="AQ20" s="18"/>
      <c r="AR20" s="18"/>
      <c r="AS20" s="18"/>
      <c r="AT20" s="18"/>
    </row>
    <row r="21" spans="1:46" ht="13.5" customHeight="1">
      <c r="A21" s="39" t="str">
        <f ca="1">IFERROR(__xludf.DUMMYFUNCTION("""COMPUTED_VALUE"""),"BMS 473")</f>
        <v>BMS 473</v>
      </c>
      <c r="B21" s="15" t="b">
        <f ca="1">IF(COUNTA(OFFSET(Database!$A$1,MATCH(A21,Database!$B:$B,0)-1,2,1,15))&gt;1,TRUE,FALSE)</f>
        <v>1</v>
      </c>
      <c r="C21" s="16"/>
      <c r="D21" s="39"/>
      <c r="E21" s="15" t="b">
        <f ca="1">IF(COUNTA(OFFSET(Database!$A$1,MATCH(D21,Database!$B:$B,0)-1,2,1,15))&gt;1,TRUE,FALSE)</f>
        <v>0</v>
      </c>
      <c r="F21" s="16"/>
      <c r="G21" s="39"/>
      <c r="H21" s="15" t="b">
        <f ca="1">IF(COUNTA(OFFSET(Database!$A$1,MATCH(G21,Database!$B:$B,0)-1,2,1,15))&gt;1,TRUE,FALSE)</f>
        <v>0</v>
      </c>
      <c r="I21" s="16"/>
      <c r="J21" s="39"/>
      <c r="K21" s="15" t="b">
        <f ca="1">IF(COUNTA(OFFSET(Database!$A$1,MATCH(J21,Database!$B:$B,0)-1,2,1,15))&gt;1,TRUE,FALSE)</f>
        <v>0</v>
      </c>
      <c r="L21" s="16"/>
      <c r="M21" s="39"/>
      <c r="N21" s="15" t="b">
        <f ca="1">IF(COUNTA(OFFSET(Database!$A$1,MATCH(M21,Database!$B:$B,0)-1,2,1,15))&gt;1,TRUE,FALSE)</f>
        <v>0</v>
      </c>
      <c r="O21" s="16"/>
      <c r="P21" s="39"/>
      <c r="Q21" s="15" t="b">
        <f ca="1">IF(COUNTA(OFFSET(Database!$A$1,MATCH(P21,Database!$B:$B,0)-1,2,1,15))&gt;1,TRUE,FALSE)</f>
        <v>0</v>
      </c>
      <c r="R21" s="16"/>
      <c r="S21" s="39"/>
      <c r="T21" s="15" t="b">
        <f ca="1">IF(COUNTA(OFFSET(Database!$A$1,MATCH(S21,Database!$B:$B,0)-1,2,1,15))&gt;1,TRUE,FALSE)</f>
        <v>0</v>
      </c>
      <c r="U21" s="16"/>
      <c r="V21" s="39" t="str">
        <f ca="1">IFERROR(__xludf.DUMMYFUNCTION("""COMPUTED_VALUE"""),"NANOSC 499")</f>
        <v>NANOSC 499</v>
      </c>
      <c r="W21" s="15" t="b">
        <f ca="1">IF(COUNTA(OFFSET(Database!$A$1,MATCH(V21,Database!$B:$B,0)-1,2,1,15))&gt;1,TRUE,FALSE)</f>
        <v>1</v>
      </c>
      <c r="X21" s="16"/>
      <c r="Y21" s="39"/>
      <c r="Z21" s="15" t="b">
        <f ca="1">IF(COUNTA(OFFSET(Database!$A$1,MATCH(Y21,Database!$B:$B,0)-1,2,1,15))&gt;1,TRUE,FALSE)</f>
        <v>0</v>
      </c>
      <c r="AA21" s="16"/>
      <c r="AB21" s="39"/>
      <c r="AC21" s="15" t="b">
        <f ca="1">IF(COUNTA(OFFSET(Database!$A$1,MATCH(AB21,Database!$B:$B,0)-1,2,1,15))&gt;1,TRUE,FALSE)</f>
        <v>0</v>
      </c>
      <c r="AD21" s="16"/>
      <c r="AE21" s="39"/>
      <c r="AF21" s="15" t="b">
        <f ca="1">IF(COUNTA(OFFSET(Database!$A$1,MATCH(AE21,Database!$B:$B,0)-1,2,1,15))&gt;1,TRUE,FALSE)</f>
        <v>0</v>
      </c>
      <c r="AG21" s="16"/>
      <c r="AH21" s="18" t="s">
        <v>279</v>
      </c>
      <c r="AI21" s="18" t="s">
        <v>17</v>
      </c>
      <c r="AJ21" s="18" t="str">
        <f>VLOOKUP(AH21,Database!B:B,1,0)</f>
        <v>BMS 473</v>
      </c>
      <c r="AK21" s="18"/>
      <c r="AL21" s="18"/>
      <c r="AM21" s="18"/>
      <c r="AN21" s="18"/>
      <c r="AO21" s="18"/>
      <c r="AP21" s="18"/>
      <c r="AQ21" s="18"/>
      <c r="AR21" s="18"/>
      <c r="AS21" s="18"/>
      <c r="AT21" s="18"/>
    </row>
    <row r="22" spans="1:46" ht="13.5" customHeight="1">
      <c r="A22" s="39" t="str">
        <f ca="1">IFERROR(__xludf.DUMMYFUNCTION("""COMPUTED_VALUE"""),"BMS 474")</f>
        <v>BMS 474</v>
      </c>
      <c r="B22" s="15" t="b">
        <f ca="1">IF(COUNTA(OFFSET(Database!$A$1,MATCH(A22,Database!$B:$B,0)-1,2,1,15))&gt;1,TRUE,FALSE)</f>
        <v>1</v>
      </c>
      <c r="C22" s="16"/>
      <c r="D22" s="39"/>
      <c r="E22" s="15" t="b">
        <f ca="1">IF(COUNTA(OFFSET(Database!$A$1,MATCH(D22,Database!$B:$B,0)-1,2,1,15))&gt;1,TRUE,FALSE)</f>
        <v>0</v>
      </c>
      <c r="F22" s="16"/>
      <c r="G22" s="39"/>
      <c r="H22" s="15" t="b">
        <f ca="1">IF(COUNTA(OFFSET(Database!$A$1,MATCH(G22,Database!$B:$B,0)-1,2,1,15))&gt;1,TRUE,FALSE)</f>
        <v>0</v>
      </c>
      <c r="I22" s="16"/>
      <c r="J22" s="39"/>
      <c r="K22" s="15" t="b">
        <f ca="1">IF(COUNTA(OFFSET(Database!$A$1,MATCH(J22,Database!$B:$B,0)-1,2,1,15))&gt;1,TRUE,FALSE)</f>
        <v>0</v>
      </c>
      <c r="L22" s="16"/>
      <c r="M22" s="39"/>
      <c r="N22" s="15" t="b">
        <f ca="1">IF(COUNTA(OFFSET(Database!$A$1,MATCH(M22,Database!$B:$B,0)-1,2,1,15))&gt;1,TRUE,FALSE)</f>
        <v>0</v>
      </c>
      <c r="O22" s="16"/>
      <c r="P22" s="39"/>
      <c r="Q22" s="15" t="b">
        <f ca="1">IF(COUNTA(OFFSET(Database!$A$1,MATCH(P22,Database!$B:$B,0)-1,2,1,15))&gt;1,TRUE,FALSE)</f>
        <v>0</v>
      </c>
      <c r="R22" s="16"/>
      <c r="S22" s="39"/>
      <c r="T22" s="15" t="b">
        <f ca="1">IF(COUNTA(OFFSET(Database!$A$1,MATCH(S22,Database!$B:$B,0)-1,2,1,15))&gt;1,TRUE,FALSE)</f>
        <v>0</v>
      </c>
      <c r="U22" s="16"/>
      <c r="V22" s="39"/>
      <c r="W22" s="15" t="b">
        <f ca="1">IF(COUNTA(OFFSET(Database!$A$1,MATCH(V22,Database!$B:$B,0)-1,2,1,15))&gt;1,TRUE,FALSE)</f>
        <v>0</v>
      </c>
      <c r="X22" s="16"/>
      <c r="Y22" s="39"/>
      <c r="Z22" s="15" t="b">
        <f ca="1">IF(COUNTA(OFFSET(Database!$A$1,MATCH(Y22,Database!$B:$B,0)-1,2,1,15))&gt;1,TRUE,FALSE)</f>
        <v>0</v>
      </c>
      <c r="AA22" s="16"/>
      <c r="AB22" s="39"/>
      <c r="AC22" s="15" t="b">
        <f ca="1">IF(COUNTA(OFFSET(Database!$A$1,MATCH(AB22,Database!$B:$B,0)-1,2,1,15))&gt;1,TRUE,FALSE)</f>
        <v>0</v>
      </c>
      <c r="AD22" s="16"/>
      <c r="AE22" s="39"/>
      <c r="AF22" s="15" t="b">
        <f ca="1">IF(COUNTA(OFFSET(Database!$A$1,MATCH(AE22,Database!$B:$B,0)-1,2,1,15))&gt;1,TRUE,FALSE)</f>
        <v>0</v>
      </c>
      <c r="AG22" s="16"/>
      <c r="AH22" s="18" t="s">
        <v>287</v>
      </c>
      <c r="AI22" s="18" t="s">
        <v>17</v>
      </c>
      <c r="AJ22" s="18" t="str">
        <f>VLOOKUP(AH22,Database!B:B,1,0)</f>
        <v>BMS 474</v>
      </c>
      <c r="AK22" s="18"/>
      <c r="AL22" s="18"/>
      <c r="AM22" s="18"/>
      <c r="AN22" s="18"/>
      <c r="AO22" s="18"/>
      <c r="AP22" s="18"/>
      <c r="AQ22" s="18"/>
      <c r="AR22" s="18"/>
      <c r="AS22" s="18"/>
      <c r="AT22" s="18"/>
    </row>
    <row r="23" spans="1:46" ht="13.5" customHeight="1">
      <c r="A23" s="39" t="str">
        <f ca="1">IFERROR(__xludf.DUMMYFUNCTION("""COMPUTED_VALUE"""),"BMS 475")</f>
        <v>BMS 475</v>
      </c>
      <c r="B23" s="15" t="b">
        <f ca="1">IF(COUNTA(OFFSET(Database!$A$1,MATCH(A23,Database!$B:$B,0)-1,2,1,15))&gt;1,TRUE,FALSE)</f>
        <v>1</v>
      </c>
      <c r="C23" s="16"/>
      <c r="D23" s="39"/>
      <c r="E23" s="15" t="b">
        <f ca="1">IF(COUNTA(OFFSET(Database!$A$1,MATCH(D23,Database!$B:$B,0)-1,2,1,15))&gt;1,TRUE,FALSE)</f>
        <v>0</v>
      </c>
      <c r="F23" s="16"/>
      <c r="G23" s="39"/>
      <c r="H23" s="15" t="b">
        <f ca="1">IF(COUNTA(OFFSET(Database!$A$1,MATCH(G23,Database!$B:$B,0)-1,2,1,15))&gt;1,TRUE,FALSE)</f>
        <v>0</v>
      </c>
      <c r="I23" s="16"/>
      <c r="J23" s="39"/>
      <c r="K23" s="15" t="b">
        <f ca="1">IF(COUNTA(OFFSET(Database!$A$1,MATCH(J23,Database!$B:$B,0)-1,2,1,15))&gt;1,TRUE,FALSE)</f>
        <v>0</v>
      </c>
      <c r="L23" s="16"/>
      <c r="M23" s="39"/>
      <c r="N23" s="15" t="b">
        <f ca="1">IF(COUNTA(OFFSET(Database!$A$1,MATCH(M23,Database!$B:$B,0)-1,2,1,15))&gt;1,TRUE,FALSE)</f>
        <v>0</v>
      </c>
      <c r="O23" s="16"/>
      <c r="P23" s="39"/>
      <c r="Q23" s="15" t="b">
        <f ca="1">IF(COUNTA(OFFSET(Database!$A$1,MATCH(P23,Database!$B:$B,0)-1,2,1,15))&gt;1,TRUE,FALSE)</f>
        <v>0</v>
      </c>
      <c r="R23" s="16"/>
      <c r="S23" s="39"/>
      <c r="T23" s="15" t="b">
        <f ca="1">IF(COUNTA(OFFSET(Database!$A$1,MATCH(S23,Database!$B:$B,0)-1,2,1,15))&gt;1,TRUE,FALSE)</f>
        <v>0</v>
      </c>
      <c r="U23" s="16"/>
      <c r="V23" s="39"/>
      <c r="W23" s="15" t="b">
        <f ca="1">IF(COUNTA(OFFSET(Database!$A$1,MATCH(V23,Database!$B:$B,0)-1,2,1,15))&gt;1,TRUE,FALSE)</f>
        <v>0</v>
      </c>
      <c r="X23" s="16"/>
      <c r="Y23" s="39"/>
      <c r="Z23" s="15" t="b">
        <f ca="1">IF(COUNTA(OFFSET(Database!$A$1,MATCH(Y23,Database!$B:$B,0)-1,2,1,15))&gt;1,TRUE,FALSE)</f>
        <v>0</v>
      </c>
      <c r="AA23" s="16"/>
      <c r="AB23" s="39"/>
      <c r="AC23" s="15" t="b">
        <f ca="1">IF(COUNTA(OFFSET(Database!$A$1,MATCH(AB23,Database!$B:$B,0)-1,2,1,15))&gt;1,TRUE,FALSE)</f>
        <v>0</v>
      </c>
      <c r="AD23" s="16"/>
      <c r="AE23" s="39"/>
      <c r="AF23" s="15" t="b">
        <f ca="1">IF(COUNTA(OFFSET(Database!$A$1,MATCH(AE23,Database!$B:$B,0)-1,2,1,15))&gt;1,TRUE,FALSE)</f>
        <v>0</v>
      </c>
      <c r="AG23" s="16"/>
      <c r="AH23" s="18" t="s">
        <v>294</v>
      </c>
      <c r="AI23" s="18" t="s">
        <v>17</v>
      </c>
      <c r="AJ23" s="18" t="str">
        <f>VLOOKUP(AH23,Database!B:B,1,0)</f>
        <v>BMS 475</v>
      </c>
      <c r="AK23" s="18"/>
      <c r="AL23" s="18"/>
      <c r="AM23" s="18"/>
      <c r="AN23" s="18"/>
      <c r="AO23" s="18"/>
      <c r="AP23" s="18"/>
      <c r="AQ23" s="18"/>
      <c r="AR23" s="18"/>
      <c r="AS23" s="18"/>
      <c r="AT23" s="18"/>
    </row>
    <row r="24" spans="1:46" ht="13.5" customHeight="1">
      <c r="A24" s="39" t="str">
        <f ca="1">IFERROR(__xludf.DUMMYFUNCTION("""COMPUTED_VALUE"""),"BMS 477")</f>
        <v>BMS 477</v>
      </c>
      <c r="B24" s="15" t="b">
        <f ca="1">IF(COUNTA(OFFSET(Database!$A$1,MATCH(A24,Database!$B:$B,0)-1,2,1,15))&gt;1,TRUE,FALSE)</f>
        <v>1</v>
      </c>
      <c r="C24" s="16"/>
      <c r="D24" s="39"/>
      <c r="E24" s="15" t="b">
        <f ca="1">IF(COUNTA(OFFSET(Database!$A$1,MATCH(D24,Database!$B:$B,0)-1,2,1,15))&gt;1,TRUE,FALSE)</f>
        <v>0</v>
      </c>
      <c r="F24" s="16"/>
      <c r="G24" s="39"/>
      <c r="H24" s="15" t="b">
        <f ca="1">IF(COUNTA(OFFSET(Database!$A$1,MATCH(G24,Database!$B:$B,0)-1,2,1,15))&gt;1,TRUE,FALSE)</f>
        <v>0</v>
      </c>
      <c r="I24" s="16"/>
      <c r="J24" s="39"/>
      <c r="K24" s="15" t="b">
        <f ca="1">IF(COUNTA(OFFSET(Database!$A$1,MATCH(J24,Database!$B:$B,0)-1,2,1,15))&gt;1,TRUE,FALSE)</f>
        <v>0</v>
      </c>
      <c r="L24" s="16"/>
      <c r="M24" s="39"/>
      <c r="N24" s="15" t="b">
        <f ca="1">IF(COUNTA(OFFSET(Database!$A$1,MATCH(M24,Database!$B:$B,0)-1,2,1,15))&gt;1,TRUE,FALSE)</f>
        <v>0</v>
      </c>
      <c r="O24" s="16"/>
      <c r="P24" s="39"/>
      <c r="Q24" s="15" t="b">
        <f ca="1">IF(COUNTA(OFFSET(Database!$A$1,MATCH(P24,Database!$B:$B,0)-1,2,1,15))&gt;1,TRUE,FALSE)</f>
        <v>0</v>
      </c>
      <c r="R24" s="16"/>
      <c r="S24" s="39"/>
      <c r="T24" s="15" t="b">
        <f ca="1">IF(COUNTA(OFFSET(Database!$A$1,MATCH(S24,Database!$B:$B,0)-1,2,1,15))&gt;1,TRUE,FALSE)</f>
        <v>0</v>
      </c>
      <c r="U24" s="16"/>
      <c r="V24" s="39"/>
      <c r="W24" s="15" t="b">
        <f ca="1">IF(COUNTA(OFFSET(Database!$A$1,MATCH(V24,Database!$B:$B,0)-1,2,1,15))&gt;1,TRUE,FALSE)</f>
        <v>0</v>
      </c>
      <c r="X24" s="16"/>
      <c r="Y24" s="39"/>
      <c r="Z24" s="15" t="b">
        <f ca="1">IF(COUNTA(OFFSET(Database!$A$1,MATCH(Y24,Database!$B:$B,0)-1,2,1,15))&gt;1,TRUE,FALSE)</f>
        <v>0</v>
      </c>
      <c r="AA24" s="16"/>
      <c r="AB24" s="39"/>
      <c r="AC24" s="15" t="b">
        <f ca="1">IF(COUNTA(OFFSET(Database!$A$1,MATCH(AB24,Database!$B:$B,0)-1,2,1,15))&gt;1,TRUE,FALSE)</f>
        <v>0</v>
      </c>
      <c r="AD24" s="16"/>
      <c r="AE24" s="39"/>
      <c r="AF24" s="15" t="b">
        <f ca="1">IF(COUNTA(OFFSET(Database!$A$1,MATCH(AE24,Database!$B:$B,0)-1,2,1,15))&gt;1,TRUE,FALSE)</f>
        <v>0</v>
      </c>
      <c r="AG24" s="16"/>
      <c r="AH24" s="18" t="s">
        <v>295</v>
      </c>
      <c r="AI24" s="18" t="s">
        <v>17</v>
      </c>
      <c r="AJ24" s="18" t="str">
        <f>VLOOKUP(AH24,Database!B:B,1,0)</f>
        <v>BMS 477</v>
      </c>
      <c r="AK24" s="18"/>
      <c r="AL24" s="18"/>
      <c r="AM24" s="18"/>
      <c r="AN24" s="18"/>
      <c r="AO24" s="18"/>
      <c r="AP24" s="18"/>
      <c r="AQ24" s="18"/>
      <c r="AR24" s="18"/>
      <c r="AS24" s="18"/>
      <c r="AT24" s="18"/>
    </row>
    <row r="25" spans="1:46" ht="13.5" customHeight="1">
      <c r="A25" s="39" t="str">
        <f ca="1">IFERROR(__xludf.DUMMYFUNCTION("""COMPUTED_VALUE"""),"BMS 500")</f>
        <v>BMS 500</v>
      </c>
      <c r="B25" s="15" t="b">
        <f ca="1">IF(COUNTA(OFFSET(Database!$A$1,MATCH(A25,Database!$B:$B,0)-1,2,1,15))&gt;1,TRUE,FALSE)</f>
        <v>1</v>
      </c>
      <c r="C25" s="16"/>
      <c r="D25" s="39"/>
      <c r="E25" s="15" t="b">
        <f ca="1">IF(COUNTA(OFFSET(Database!$A$1,MATCH(D25,Database!$B:$B,0)-1,2,1,15))&gt;1,TRUE,FALSE)</f>
        <v>0</v>
      </c>
      <c r="F25" s="16"/>
      <c r="G25" s="39"/>
      <c r="H25" s="15" t="b">
        <f ca="1">IF(COUNTA(OFFSET(Database!$A$1,MATCH(G25,Database!$B:$B,0)-1,2,1,15))&gt;1,TRUE,FALSE)</f>
        <v>0</v>
      </c>
      <c r="I25" s="16"/>
      <c r="J25" s="39"/>
      <c r="K25" s="15" t="b">
        <f ca="1">IF(COUNTA(OFFSET(Database!$A$1,MATCH(J25,Database!$B:$B,0)-1,2,1,15))&gt;1,TRUE,FALSE)</f>
        <v>0</v>
      </c>
      <c r="L25" s="16"/>
      <c r="M25" s="39"/>
      <c r="N25" s="15" t="b">
        <f ca="1">IF(COUNTA(OFFSET(Database!$A$1,MATCH(M25,Database!$B:$B,0)-1,2,1,15))&gt;1,TRUE,FALSE)</f>
        <v>0</v>
      </c>
      <c r="O25" s="16"/>
      <c r="P25" s="39"/>
      <c r="Q25" s="15" t="b">
        <f ca="1">IF(COUNTA(OFFSET(Database!$A$1,MATCH(P25,Database!$B:$B,0)-1,2,1,15))&gt;1,TRUE,FALSE)</f>
        <v>0</v>
      </c>
      <c r="R25" s="16"/>
      <c r="S25" s="39"/>
      <c r="T25" s="15" t="b">
        <f ca="1">IF(COUNTA(OFFSET(Database!$A$1,MATCH(S25,Database!$B:$B,0)-1,2,1,15))&gt;1,TRUE,FALSE)</f>
        <v>0</v>
      </c>
      <c r="U25" s="16"/>
      <c r="V25" s="39"/>
      <c r="W25" s="15" t="b">
        <f ca="1">IF(COUNTA(OFFSET(Database!$A$1,MATCH(V25,Database!$B:$B,0)-1,2,1,15))&gt;1,TRUE,FALSE)</f>
        <v>0</v>
      </c>
      <c r="X25" s="16"/>
      <c r="Y25" s="39"/>
      <c r="Z25" s="15" t="b">
        <f ca="1">IF(COUNTA(OFFSET(Database!$A$1,MATCH(Y25,Database!$B:$B,0)-1,2,1,15))&gt;1,TRUE,FALSE)</f>
        <v>0</v>
      </c>
      <c r="AA25" s="16"/>
      <c r="AB25" s="39"/>
      <c r="AC25" s="15" t="b">
        <f ca="1">IF(COUNTA(OFFSET(Database!$A$1,MATCH(AB25,Database!$B:$B,0)-1,2,1,15))&gt;1,TRUE,FALSE)</f>
        <v>0</v>
      </c>
      <c r="AD25" s="16"/>
      <c r="AE25" s="39"/>
      <c r="AF25" s="15" t="b">
        <f ca="1">IF(COUNTA(OFFSET(Database!$A$1,MATCH(AE25,Database!$B:$B,0)-1,2,1,15))&gt;1,TRUE,FALSE)</f>
        <v>0</v>
      </c>
      <c r="AG25" s="16"/>
      <c r="AH25" s="41" t="s">
        <v>298</v>
      </c>
      <c r="AI25" s="18" t="s">
        <v>17</v>
      </c>
      <c r="AJ25" s="18" t="str">
        <f>VLOOKUP(AH25,Database!B:B,1,0)</f>
        <v>BMS 500</v>
      </c>
      <c r="AK25" s="18"/>
      <c r="AL25" s="18"/>
      <c r="AM25" s="18"/>
      <c r="AN25" s="18"/>
      <c r="AO25" s="18"/>
      <c r="AP25" s="18"/>
      <c r="AQ25" s="18"/>
      <c r="AR25" s="18"/>
      <c r="AS25" s="18"/>
      <c r="AT25" s="18"/>
    </row>
    <row r="26" spans="1:46" ht="13.5" customHeight="1">
      <c r="A26" s="39" t="str">
        <f ca="1">IFERROR(__xludf.DUMMYFUNCTION("""COMPUTED_VALUE"""),"BMS 501")</f>
        <v>BMS 501</v>
      </c>
      <c r="B26" s="15" t="b">
        <f ca="1">IF(COUNTA(OFFSET(Database!$A$1,MATCH(A26,Database!$B:$B,0)-1,2,1,15))&gt;1,TRUE,FALSE)</f>
        <v>1</v>
      </c>
      <c r="C26" s="16"/>
      <c r="D26" s="39"/>
      <c r="E26" s="15" t="b">
        <f ca="1">IF(COUNTA(OFFSET(Database!$A$1,MATCH(D26,Database!$B:$B,0)-1,2,1,15))&gt;1,TRUE,FALSE)</f>
        <v>0</v>
      </c>
      <c r="F26" s="16"/>
      <c r="G26" s="39"/>
      <c r="H26" s="15" t="b">
        <f ca="1">IF(COUNTA(OFFSET(Database!$A$1,MATCH(G26,Database!$B:$B,0)-1,2,1,15))&gt;1,TRUE,FALSE)</f>
        <v>0</v>
      </c>
      <c r="I26" s="16"/>
      <c r="J26" s="39"/>
      <c r="K26" s="15" t="b">
        <f ca="1">IF(COUNTA(OFFSET(Database!$A$1,MATCH(J26,Database!$B:$B,0)-1,2,1,15))&gt;1,TRUE,FALSE)</f>
        <v>0</v>
      </c>
      <c r="L26" s="16"/>
      <c r="M26" s="39"/>
      <c r="N26" s="15" t="b">
        <f ca="1">IF(COUNTA(OFFSET(Database!$A$1,MATCH(M26,Database!$B:$B,0)-1,2,1,15))&gt;1,TRUE,FALSE)</f>
        <v>0</v>
      </c>
      <c r="O26" s="16"/>
      <c r="P26" s="39"/>
      <c r="Q26" s="15" t="b">
        <f ca="1">IF(COUNTA(OFFSET(Database!$A$1,MATCH(P26,Database!$B:$B,0)-1,2,1,15))&gt;1,TRUE,FALSE)</f>
        <v>0</v>
      </c>
      <c r="R26" s="16"/>
      <c r="S26" s="39"/>
      <c r="T26" s="15" t="b">
        <f ca="1">IF(COUNTA(OFFSET(Database!$A$1,MATCH(S26,Database!$B:$B,0)-1,2,1,15))&gt;1,TRUE,FALSE)</f>
        <v>0</v>
      </c>
      <c r="U26" s="16"/>
      <c r="V26" s="39"/>
      <c r="W26" s="15" t="b">
        <f ca="1">IF(COUNTA(OFFSET(Database!$A$1,MATCH(V26,Database!$B:$B,0)-1,2,1,15))&gt;1,TRUE,FALSE)</f>
        <v>0</v>
      </c>
      <c r="X26" s="16"/>
      <c r="Y26" s="39"/>
      <c r="Z26" s="15" t="b">
        <f ca="1">IF(COUNTA(OFFSET(Database!$A$1,MATCH(Y26,Database!$B:$B,0)-1,2,1,15))&gt;1,TRUE,FALSE)</f>
        <v>0</v>
      </c>
      <c r="AA26" s="16"/>
      <c r="AB26" s="39"/>
      <c r="AC26" s="15" t="b">
        <f ca="1">IF(COUNTA(OFFSET(Database!$A$1,MATCH(AB26,Database!$B:$B,0)-1,2,1,15))&gt;1,TRUE,FALSE)</f>
        <v>0</v>
      </c>
      <c r="AD26" s="16"/>
      <c r="AE26" s="39"/>
      <c r="AF26" s="15" t="b">
        <f ca="1">IF(COUNTA(OFFSET(Database!$A$1,MATCH(AE26,Database!$B:$B,0)-1,2,1,15))&gt;1,TRUE,FALSE)</f>
        <v>0</v>
      </c>
      <c r="AG26" s="16"/>
      <c r="AH26" s="18" t="s">
        <v>299</v>
      </c>
      <c r="AI26" s="18" t="s">
        <v>17</v>
      </c>
      <c r="AJ26" s="18" t="str">
        <f>VLOOKUP(AH26,Database!B:B,1,0)</f>
        <v>BMS 501</v>
      </c>
      <c r="AK26" s="18"/>
      <c r="AL26" s="18"/>
      <c r="AM26" s="18"/>
      <c r="AN26" s="18"/>
      <c r="AO26" s="18"/>
      <c r="AP26" s="18"/>
      <c r="AQ26" s="18"/>
      <c r="AR26" s="18"/>
      <c r="AS26" s="18"/>
      <c r="AT26" s="18"/>
    </row>
    <row r="27" spans="1:46" ht="13.5" customHeight="1">
      <c r="A27" s="39" t="str">
        <f ca="1">IFERROR(__xludf.DUMMYFUNCTION("""COMPUTED_VALUE"""),"BMS 506")</f>
        <v>BMS 506</v>
      </c>
      <c r="B27" s="15" t="b">
        <f ca="1">IF(COUNTA(OFFSET(Database!$A$1,MATCH(A27,Database!$B:$B,0)-1,2,1,15))&gt;1,TRUE,FALSE)</f>
        <v>1</v>
      </c>
      <c r="C27" s="16"/>
      <c r="D27" s="39"/>
      <c r="E27" s="15" t="b">
        <f ca="1">IF(COUNTA(OFFSET(Database!$A$1,MATCH(D27,Database!$B:$B,0)-1,2,1,15))&gt;1,TRUE,FALSE)</f>
        <v>0</v>
      </c>
      <c r="F27" s="16"/>
      <c r="G27" s="39"/>
      <c r="H27" s="15" t="b">
        <f ca="1">IF(COUNTA(OFFSET(Database!$A$1,MATCH(G27,Database!$B:$B,0)-1,2,1,15))&gt;1,TRUE,FALSE)</f>
        <v>0</v>
      </c>
      <c r="I27" s="16"/>
      <c r="J27" s="39"/>
      <c r="K27" s="15" t="b">
        <f ca="1">IF(COUNTA(OFFSET(Database!$A$1,MATCH(J27,Database!$B:$B,0)-1,2,1,15))&gt;1,TRUE,FALSE)</f>
        <v>0</v>
      </c>
      <c r="L27" s="16"/>
      <c r="M27" s="39"/>
      <c r="N27" s="15" t="b">
        <f ca="1">IF(COUNTA(OFFSET(Database!$A$1,MATCH(M27,Database!$B:$B,0)-1,2,1,15))&gt;1,TRUE,FALSE)</f>
        <v>0</v>
      </c>
      <c r="O27" s="16"/>
      <c r="P27" s="39"/>
      <c r="Q27" s="15" t="b">
        <f ca="1">IF(COUNTA(OFFSET(Database!$A$1,MATCH(P27,Database!$B:$B,0)-1,2,1,15))&gt;1,TRUE,FALSE)</f>
        <v>0</v>
      </c>
      <c r="R27" s="16"/>
      <c r="S27" s="39"/>
      <c r="T27" s="15" t="b">
        <f ca="1">IF(COUNTA(OFFSET(Database!$A$1,MATCH(S27,Database!$B:$B,0)-1,2,1,15))&gt;1,TRUE,FALSE)</f>
        <v>0</v>
      </c>
      <c r="U27" s="16"/>
      <c r="V27" s="39"/>
      <c r="W27" s="15" t="b">
        <f ca="1">IF(COUNTA(OFFSET(Database!$A$1,MATCH(V27,Database!$B:$B,0)-1,2,1,15))&gt;1,TRUE,FALSE)</f>
        <v>0</v>
      </c>
      <c r="X27" s="16"/>
      <c r="Y27" s="39"/>
      <c r="Z27" s="15" t="b">
        <f ca="1">IF(COUNTA(OFFSET(Database!$A$1,MATCH(Y27,Database!$B:$B,0)-1,2,1,15))&gt;1,TRUE,FALSE)</f>
        <v>0</v>
      </c>
      <c r="AA27" s="16"/>
      <c r="AB27" s="39"/>
      <c r="AC27" s="15" t="b">
        <f ca="1">IF(COUNTA(OFFSET(Database!$A$1,MATCH(AB27,Database!$B:$B,0)-1,2,1,15))&gt;1,TRUE,FALSE)</f>
        <v>0</v>
      </c>
      <c r="AD27" s="16"/>
      <c r="AE27" s="39"/>
      <c r="AF27" s="15" t="b">
        <f ca="1">IF(COUNTA(OFFSET(Database!$A$1,MATCH(AE27,Database!$B:$B,0)-1,2,1,15))&gt;1,TRUE,FALSE)</f>
        <v>0</v>
      </c>
      <c r="AG27" s="16"/>
      <c r="AH27" s="18" t="s">
        <v>300</v>
      </c>
      <c r="AI27" s="18" t="s">
        <v>17</v>
      </c>
      <c r="AJ27" s="18" t="str">
        <f>VLOOKUP(AH27,Database!B:B,1,0)</f>
        <v>BMS 506</v>
      </c>
      <c r="AK27" s="18"/>
      <c r="AL27" s="18"/>
      <c r="AM27" s="18"/>
      <c r="AN27" s="18"/>
      <c r="AO27" s="18"/>
      <c r="AP27" s="18"/>
      <c r="AQ27" s="18"/>
      <c r="AR27" s="18"/>
      <c r="AS27" s="18"/>
      <c r="AT27" s="18"/>
    </row>
    <row r="28" spans="1:46" ht="13.5" customHeight="1">
      <c r="A28" s="39" t="str">
        <f ca="1">IFERROR(__xludf.DUMMYFUNCTION("""COMPUTED_VALUE"""),"BMS 506L")</f>
        <v>BMS 506L</v>
      </c>
      <c r="B28" s="15" t="b">
        <f ca="1">IF(COUNTA(OFFSET(Database!$A$1,MATCH(A28,Database!$B:$B,0)-1,2,1,15))&gt;1,TRUE,FALSE)</f>
        <v>1</v>
      </c>
      <c r="C28" s="16"/>
      <c r="D28" s="39"/>
      <c r="E28" s="15" t="b">
        <f ca="1">IF(COUNTA(OFFSET(Database!$A$1,MATCH(D28,Database!$B:$B,0)-1,2,1,15))&gt;1,TRUE,FALSE)</f>
        <v>0</v>
      </c>
      <c r="F28" s="16"/>
      <c r="G28" s="39"/>
      <c r="H28" s="15" t="b">
        <f ca="1">IF(COUNTA(OFFSET(Database!$A$1,MATCH(G28,Database!$B:$B,0)-1,2,1,15))&gt;1,TRUE,FALSE)</f>
        <v>0</v>
      </c>
      <c r="I28" s="16"/>
      <c r="J28" s="39"/>
      <c r="K28" s="15" t="b">
        <f ca="1">IF(COUNTA(OFFSET(Database!$A$1,MATCH(J28,Database!$B:$B,0)-1,2,1,15))&gt;1,TRUE,FALSE)</f>
        <v>0</v>
      </c>
      <c r="L28" s="16"/>
      <c r="M28" s="39"/>
      <c r="N28" s="15" t="b">
        <f ca="1">IF(COUNTA(OFFSET(Database!$A$1,MATCH(M28,Database!$B:$B,0)-1,2,1,15))&gt;1,TRUE,FALSE)</f>
        <v>0</v>
      </c>
      <c r="O28" s="16"/>
      <c r="P28" s="39"/>
      <c r="Q28" s="15" t="b">
        <f ca="1">IF(COUNTA(OFFSET(Database!$A$1,MATCH(P28,Database!$B:$B,0)-1,2,1,15))&gt;1,TRUE,FALSE)</f>
        <v>0</v>
      </c>
      <c r="R28" s="16"/>
      <c r="S28" s="39"/>
      <c r="T28" s="15" t="b">
        <f ca="1">IF(COUNTA(OFFSET(Database!$A$1,MATCH(S28,Database!$B:$B,0)-1,2,1,15))&gt;1,TRUE,FALSE)</f>
        <v>0</v>
      </c>
      <c r="U28" s="16"/>
      <c r="V28" s="39"/>
      <c r="W28" s="15" t="b">
        <f ca="1">IF(COUNTA(OFFSET(Database!$A$1,MATCH(V28,Database!$B:$B,0)-1,2,1,15))&gt;1,TRUE,FALSE)</f>
        <v>0</v>
      </c>
      <c r="X28" s="16"/>
      <c r="Y28" s="39"/>
      <c r="Z28" s="15" t="b">
        <f ca="1">IF(COUNTA(OFFSET(Database!$A$1,MATCH(Y28,Database!$B:$B,0)-1,2,1,15))&gt;1,TRUE,FALSE)</f>
        <v>0</v>
      </c>
      <c r="AA28" s="16"/>
      <c r="AB28" s="39"/>
      <c r="AC28" s="15" t="b">
        <f ca="1">IF(COUNTA(OFFSET(Database!$A$1,MATCH(AB28,Database!$B:$B,0)-1,2,1,15))&gt;1,TRUE,FALSE)</f>
        <v>0</v>
      </c>
      <c r="AD28" s="16"/>
      <c r="AE28" s="39"/>
      <c r="AF28" s="15" t="b">
        <f ca="1">IF(COUNTA(OFFSET(Database!$A$1,MATCH(AE28,Database!$B:$B,0)-1,2,1,15))&gt;1,TRUE,FALSE)</f>
        <v>0</v>
      </c>
      <c r="AG28" s="16"/>
      <c r="AH28" s="18" t="s">
        <v>302</v>
      </c>
      <c r="AI28" s="18" t="s">
        <v>17</v>
      </c>
      <c r="AJ28" s="18" t="str">
        <f>VLOOKUP(AH28,Database!B:B,1,0)</f>
        <v>BMS 506L</v>
      </c>
      <c r="AK28" s="18"/>
      <c r="AL28" s="18"/>
      <c r="AM28" s="18"/>
      <c r="AN28" s="18"/>
      <c r="AO28" s="18"/>
      <c r="AP28" s="18"/>
      <c r="AQ28" s="18"/>
      <c r="AR28" s="18"/>
      <c r="AS28" s="18"/>
      <c r="AT28" s="18"/>
    </row>
    <row r="29" spans="1:46" ht="13.5" hidden="1"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t="s">
        <v>1110</v>
      </c>
      <c r="AI29" s="41" t="s">
        <v>1340</v>
      </c>
      <c r="AJ29" s="18" t="str">
        <f>VLOOKUP(AH29,Database!B:B,1,0)</f>
        <v>CHEM 101</v>
      </c>
      <c r="AK29" s="18"/>
      <c r="AL29" s="18"/>
      <c r="AM29" s="18"/>
      <c r="AN29" s="18"/>
      <c r="AO29" s="18"/>
      <c r="AP29" s="18"/>
      <c r="AQ29" s="18"/>
      <c r="AR29" s="18"/>
      <c r="AS29" s="18"/>
      <c r="AT29" s="18"/>
    </row>
    <row r="30" spans="1:46" ht="13.5" hidden="1"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t="s">
        <v>1146</v>
      </c>
      <c r="AI30" s="42" t="s">
        <v>1340</v>
      </c>
      <c r="AJ30" s="18" t="str">
        <f>VLOOKUP(AH30,Database!B:B,1,0)</f>
        <v>CHEM 102</v>
      </c>
      <c r="AK30" s="18"/>
      <c r="AL30" s="18"/>
      <c r="AM30" s="18"/>
      <c r="AN30" s="18"/>
      <c r="AO30" s="18"/>
      <c r="AP30" s="18"/>
      <c r="AQ30" s="18"/>
      <c r="AR30" s="18"/>
      <c r="AS30" s="18"/>
      <c r="AT30" s="18"/>
    </row>
    <row r="31" spans="1:46" ht="13.5" hidden="1"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t="s">
        <v>1175</v>
      </c>
      <c r="AI31" s="41" t="s">
        <v>1340</v>
      </c>
      <c r="AJ31" s="18" t="str">
        <f>VLOOKUP(AH31,Database!B:B,1,0)</f>
        <v>CHEM 111</v>
      </c>
      <c r="AK31" s="18"/>
      <c r="AL31" s="18"/>
      <c r="AM31" s="18"/>
      <c r="AN31" s="18"/>
      <c r="AO31" s="18"/>
      <c r="AP31" s="18"/>
      <c r="AQ31" s="18"/>
      <c r="AR31" s="18"/>
      <c r="AS31" s="18"/>
      <c r="AT31" s="18"/>
    </row>
    <row r="32" spans="1:46" ht="13.5" hidden="1"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t="s">
        <v>1246</v>
      </c>
      <c r="AI32" s="42" t="s">
        <v>1340</v>
      </c>
      <c r="AJ32" s="18" t="str">
        <f>VLOOKUP(AH32,Database!B:B,1,0)</f>
        <v>CHEM 112</v>
      </c>
      <c r="AK32" s="18"/>
      <c r="AL32" s="18"/>
      <c r="AM32" s="18"/>
      <c r="AN32" s="18"/>
      <c r="AO32" s="18"/>
      <c r="AP32" s="18"/>
      <c r="AQ32" s="18"/>
      <c r="AR32" s="18"/>
      <c r="AS32" s="18"/>
      <c r="AT32" s="18"/>
    </row>
    <row r="33" spans="1:46" ht="13.5" hidden="1"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t="s">
        <v>1317</v>
      </c>
      <c r="AI33" s="41" t="s">
        <v>1340</v>
      </c>
      <c r="AJ33" s="18" t="str">
        <f>VLOOKUP(AH33,Database!B:B,1,0)</f>
        <v>CHEM 201</v>
      </c>
      <c r="AK33" s="18"/>
      <c r="AL33" s="18"/>
      <c r="AM33" s="18"/>
      <c r="AN33" s="18"/>
      <c r="AO33" s="18"/>
      <c r="AP33" s="18"/>
      <c r="AQ33" s="18"/>
      <c r="AR33" s="18"/>
      <c r="AS33" s="18"/>
      <c r="AT33" s="18"/>
    </row>
    <row r="34" spans="1:46" ht="13.5" hidden="1"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t="s">
        <v>1349</v>
      </c>
      <c r="AI34" s="42" t="s">
        <v>1340</v>
      </c>
      <c r="AJ34" s="18" t="str">
        <f>VLOOKUP(AH34,Database!B:B,1,0)</f>
        <v>CHEM 203</v>
      </c>
      <c r="AK34" s="18"/>
      <c r="AL34" s="18"/>
      <c r="AM34" s="18"/>
      <c r="AN34" s="18"/>
      <c r="AO34" s="18"/>
      <c r="AP34" s="18"/>
      <c r="AQ34" s="18"/>
      <c r="AR34" s="18"/>
      <c r="AS34" s="18"/>
      <c r="AT34" s="18"/>
    </row>
    <row r="35" spans="1:46" ht="13.5" hidden="1"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t="s">
        <v>1357</v>
      </c>
      <c r="AI35" s="41" t="s">
        <v>1340</v>
      </c>
      <c r="AJ35" s="18" t="str">
        <f>VLOOKUP(AH35,Database!B:B,1,0)</f>
        <v>CHEM 211</v>
      </c>
      <c r="AK35" s="18"/>
      <c r="AL35" s="18"/>
      <c r="AM35" s="18"/>
      <c r="AN35" s="18"/>
      <c r="AO35" s="18"/>
      <c r="AP35" s="18"/>
      <c r="AQ35" s="18"/>
      <c r="AR35" s="18"/>
      <c r="AS35" s="18"/>
      <c r="AT35" s="18"/>
    </row>
    <row r="36" spans="1:46" ht="13.5" hidden="1"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t="s">
        <v>308</v>
      </c>
      <c r="AI36" s="18" t="s">
        <v>307</v>
      </c>
      <c r="AJ36" s="18" t="str">
        <f>VLOOKUP(AH36,Database!B:B,1,0)</f>
        <v>CIE 202</v>
      </c>
      <c r="AK36" s="18"/>
      <c r="AL36" s="18"/>
      <c r="AM36" s="18"/>
      <c r="AN36" s="18"/>
      <c r="AO36" s="18"/>
      <c r="AP36" s="18"/>
      <c r="AQ36" s="18"/>
      <c r="AR36" s="18"/>
      <c r="AS36" s="18"/>
      <c r="AT36" s="18"/>
    </row>
    <row r="37" spans="1:46" ht="13.5" hidden="1"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t="s">
        <v>315</v>
      </c>
      <c r="AI37" s="18" t="s">
        <v>307</v>
      </c>
      <c r="AJ37" s="18" t="str">
        <f>VLOOKUP(AH37,Database!B:B,1,0)</f>
        <v>CIE 205</v>
      </c>
      <c r="AK37" s="18"/>
      <c r="AL37" s="18"/>
      <c r="AM37" s="18"/>
      <c r="AN37" s="18"/>
      <c r="AO37" s="18"/>
      <c r="AP37" s="18"/>
      <c r="AQ37" s="18"/>
      <c r="AR37" s="18"/>
      <c r="AS37" s="18"/>
      <c r="AT37" s="18"/>
    </row>
    <row r="38" spans="1:46" ht="13.5" hidden="1"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t="s">
        <v>339</v>
      </c>
      <c r="AI38" s="18" t="s">
        <v>307</v>
      </c>
      <c r="AJ38" s="18" t="str">
        <f>VLOOKUP(AH38,Database!B:B,1,0)</f>
        <v>CIE 239</v>
      </c>
      <c r="AK38" s="18"/>
      <c r="AL38" s="18"/>
      <c r="AM38" s="18"/>
      <c r="AN38" s="18"/>
      <c r="AO38" s="18"/>
      <c r="AP38" s="18"/>
      <c r="AQ38" s="18"/>
      <c r="AR38" s="18"/>
      <c r="AS38" s="18"/>
      <c r="AT38" s="18"/>
    </row>
    <row r="39" spans="1:46" ht="13.5" hidden="1"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t="s">
        <v>340</v>
      </c>
      <c r="AI39" s="18" t="s">
        <v>307</v>
      </c>
      <c r="AJ39" s="18" t="str">
        <f>VLOOKUP(AH39,Database!B:B,1,0)</f>
        <v>CIE 301</v>
      </c>
      <c r="AK39" s="18"/>
      <c r="AL39" s="18"/>
      <c r="AM39" s="18"/>
      <c r="AN39" s="18"/>
      <c r="AO39" s="18"/>
      <c r="AP39" s="18"/>
      <c r="AQ39" s="18"/>
      <c r="AR39" s="18"/>
      <c r="AS39" s="18"/>
      <c r="AT39" s="18"/>
    </row>
    <row r="40" spans="1:46" ht="13.5" hidden="1"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t="s">
        <v>380</v>
      </c>
      <c r="AI40" s="18" t="s">
        <v>307</v>
      </c>
      <c r="AJ40" s="18" t="str">
        <f>VLOOKUP(AH40,Database!B:B,1,0)</f>
        <v>CIE 327</v>
      </c>
      <c r="AK40" s="18"/>
      <c r="AL40" s="18"/>
      <c r="AM40" s="18"/>
      <c r="AN40" s="18"/>
      <c r="AO40" s="18"/>
      <c r="AP40" s="18"/>
      <c r="AQ40" s="18"/>
      <c r="AR40" s="18"/>
      <c r="AS40" s="18"/>
      <c r="AT40" s="18"/>
    </row>
    <row r="41" spans="1:46" ht="13.5" hidden="1"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t="s">
        <v>388</v>
      </c>
      <c r="AI41" s="18" t="s">
        <v>307</v>
      </c>
      <c r="AJ41" s="18" t="str">
        <f>VLOOKUP(AH41,Database!B:B,1,0)</f>
        <v>CIE 328</v>
      </c>
      <c r="AK41" s="18"/>
      <c r="AL41" s="18"/>
      <c r="AM41" s="18"/>
      <c r="AN41" s="18"/>
      <c r="AO41" s="18"/>
      <c r="AP41" s="18"/>
      <c r="AQ41" s="18"/>
      <c r="AR41" s="18"/>
      <c r="AS41" s="18"/>
      <c r="AT41" s="18"/>
    </row>
    <row r="42" spans="1:46" ht="13.5" hidden="1"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t="s">
        <v>415</v>
      </c>
      <c r="AI42" s="18" t="s">
        <v>307</v>
      </c>
      <c r="AJ42" s="18" t="str">
        <f>VLOOKUP(AH42,Database!B:B,1,0)</f>
        <v>CIE 408</v>
      </c>
      <c r="AK42" s="18"/>
      <c r="AL42" s="18"/>
      <c r="AM42" s="18"/>
      <c r="AN42" s="18"/>
      <c r="AO42" s="18"/>
      <c r="AP42" s="18"/>
      <c r="AQ42" s="18"/>
      <c r="AR42" s="18"/>
      <c r="AS42" s="18"/>
      <c r="AT42" s="18"/>
    </row>
    <row r="43" spans="1:46" ht="13.5" hidden="1"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t="s">
        <v>429</v>
      </c>
      <c r="AI43" s="18" t="s">
        <v>307</v>
      </c>
      <c r="AJ43" s="18" t="str">
        <f>VLOOKUP(AH43,Database!B:B,1,0)</f>
        <v>CIE 417</v>
      </c>
      <c r="AK43" s="18"/>
      <c r="AL43" s="18"/>
      <c r="AM43" s="18"/>
      <c r="AN43" s="18"/>
      <c r="AO43" s="18"/>
      <c r="AP43" s="18"/>
      <c r="AQ43" s="18"/>
      <c r="AR43" s="18"/>
      <c r="AS43" s="18"/>
      <c r="AT43" s="18"/>
    </row>
    <row r="44" spans="1:46" ht="13.5" hidden="1"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t="s">
        <v>435</v>
      </c>
      <c r="AI44" s="18" t="s">
        <v>307</v>
      </c>
      <c r="AJ44" s="18" t="str">
        <f>VLOOKUP(AH44,Database!B:B,1,0)</f>
        <v>CIE 425</v>
      </c>
      <c r="AK44" s="18"/>
      <c r="AL44" s="18"/>
      <c r="AM44" s="18"/>
      <c r="AN44" s="18"/>
      <c r="AO44" s="18"/>
      <c r="AP44" s="18"/>
      <c r="AQ44" s="18"/>
      <c r="AR44" s="18"/>
      <c r="AS44" s="18"/>
      <c r="AT44" s="18"/>
    </row>
    <row r="45" spans="1:46" ht="13.5" hidden="1"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t="s">
        <v>448</v>
      </c>
      <c r="AI45" s="18" t="s">
        <v>307</v>
      </c>
      <c r="AJ45" s="18" t="str">
        <f>VLOOKUP(AH45,Database!B:B,1,0)</f>
        <v>CIE 427</v>
      </c>
      <c r="AK45" s="18"/>
      <c r="AL45" s="18"/>
      <c r="AM45" s="18"/>
      <c r="AN45" s="18"/>
      <c r="AO45" s="18"/>
      <c r="AP45" s="18"/>
      <c r="AQ45" s="18"/>
      <c r="AR45" s="18"/>
      <c r="AS45" s="18"/>
      <c r="AT45" s="18"/>
    </row>
    <row r="46" spans="1:46" ht="13.5" hidden="1"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t="s">
        <v>455</v>
      </c>
      <c r="AI46" s="18" t="s">
        <v>307</v>
      </c>
      <c r="AJ46" s="18" t="str">
        <f>VLOOKUP(AH46,Database!B:B,1,0)</f>
        <v>CIE 428</v>
      </c>
      <c r="AK46" s="18"/>
      <c r="AL46" s="18"/>
      <c r="AM46" s="18"/>
      <c r="AN46" s="18"/>
      <c r="AO46" s="18"/>
      <c r="AP46" s="18"/>
      <c r="AQ46" s="18"/>
      <c r="AR46" s="18"/>
      <c r="AS46" s="18"/>
      <c r="AT46" s="18"/>
    </row>
    <row r="47" spans="1:46" ht="13.5" hidden="1"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t="s">
        <v>472</v>
      </c>
      <c r="AI47" s="18" t="s">
        <v>307</v>
      </c>
      <c r="AJ47" s="18" t="str">
        <f>VLOOKUP(AH47,Database!B:B,1,0)</f>
        <v>CIE 442</v>
      </c>
      <c r="AK47" s="18"/>
      <c r="AL47" s="18"/>
      <c r="AM47" s="18"/>
      <c r="AN47" s="18"/>
      <c r="AO47" s="18"/>
      <c r="AP47" s="18"/>
      <c r="AQ47" s="18"/>
      <c r="AR47" s="18"/>
      <c r="AS47" s="18"/>
      <c r="AT47" s="18"/>
    </row>
    <row r="48" spans="1:46" ht="13.5" hidden="1"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41" t="s">
        <v>480</v>
      </c>
      <c r="AI48" s="41" t="s">
        <v>307</v>
      </c>
      <c r="AJ48" s="18" t="str">
        <f>VLOOKUP(AH48,Database!B:B,1,0)</f>
        <v>CIE 458</v>
      </c>
      <c r="AK48" s="18"/>
      <c r="AL48" s="18"/>
      <c r="AM48" s="18"/>
      <c r="AN48" s="18"/>
      <c r="AO48" s="18"/>
      <c r="AP48" s="18"/>
      <c r="AQ48" s="18"/>
      <c r="AR48" s="18"/>
      <c r="AS48" s="18"/>
      <c r="AT48" s="18"/>
    </row>
    <row r="49" spans="1:46" ht="13.5" hidden="1"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t="s">
        <v>488</v>
      </c>
      <c r="AI49" s="18" t="s">
        <v>307</v>
      </c>
      <c r="AJ49" s="18" t="str">
        <f>VLOOKUP(AH49,Database!B:B,1,0)</f>
        <v>CIE 510</v>
      </c>
      <c r="AK49" s="18"/>
      <c r="AL49" s="18"/>
      <c r="AM49" s="18"/>
      <c r="AN49" s="18"/>
      <c r="AO49" s="18"/>
      <c r="AP49" s="18"/>
      <c r="AQ49" s="18"/>
      <c r="AR49" s="18"/>
      <c r="AS49" s="18"/>
      <c r="AT49" s="18"/>
    </row>
    <row r="50" spans="1:46" ht="13.5" hidden="1"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t="s">
        <v>512</v>
      </c>
      <c r="AI50" s="18" t="s">
        <v>307</v>
      </c>
      <c r="AJ50" s="18" t="str">
        <f>VLOOKUP(AH50,Database!B:B,1,0)</f>
        <v>CIE 553</v>
      </c>
      <c r="AK50" s="18"/>
      <c r="AL50" s="18"/>
      <c r="AM50" s="18"/>
      <c r="AN50" s="18"/>
      <c r="AO50" s="18"/>
      <c r="AP50" s="18"/>
      <c r="AQ50" s="18"/>
      <c r="AR50" s="18"/>
      <c r="AS50" s="18"/>
      <c r="AT50" s="18"/>
    </row>
    <row r="51" spans="1:46" ht="13.5" hidden="1"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41" t="s">
        <v>525</v>
      </c>
      <c r="AI51" s="41" t="s">
        <v>307</v>
      </c>
      <c r="AJ51" s="18" t="str">
        <f>VLOOKUP(AH51,Database!B:B,1,0)</f>
        <v>CIE 556</v>
      </c>
      <c r="AK51" s="18"/>
      <c r="AL51" s="18"/>
      <c r="AM51" s="18"/>
      <c r="AN51" s="18"/>
      <c r="AO51" s="18"/>
      <c r="AP51" s="18"/>
      <c r="AQ51" s="18"/>
      <c r="AR51" s="18"/>
      <c r="AS51" s="18"/>
      <c r="AT51" s="18"/>
    </row>
    <row r="52" spans="1:46" ht="13.5" hidden="1"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t="s">
        <v>526</v>
      </c>
      <c r="AI52" s="18" t="s">
        <v>307</v>
      </c>
      <c r="AJ52" s="18" t="str">
        <f>VLOOKUP(AH52,Database!B:B,1,0)</f>
        <v>CIE 564</v>
      </c>
      <c r="AK52" s="18"/>
      <c r="AL52" s="18"/>
      <c r="AM52" s="18"/>
      <c r="AN52" s="18"/>
      <c r="AO52" s="18"/>
      <c r="AP52" s="18"/>
      <c r="AQ52" s="18"/>
      <c r="AR52" s="18"/>
      <c r="AS52" s="18"/>
      <c r="AT52" s="18"/>
    </row>
    <row r="53" spans="1:46" ht="13.5" hidden="1"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t="s">
        <v>533</v>
      </c>
      <c r="AI53" s="18" t="s">
        <v>307</v>
      </c>
      <c r="AJ53" s="18" t="str">
        <f>VLOOKUP(AH53,Database!B:B,1,0)</f>
        <v>CSCI 101</v>
      </c>
      <c r="AK53" s="18"/>
      <c r="AL53" s="18"/>
      <c r="AM53" s="18"/>
      <c r="AN53" s="18"/>
      <c r="AO53" s="18"/>
      <c r="AP53" s="18"/>
      <c r="AQ53" s="18"/>
      <c r="AR53" s="18"/>
      <c r="AS53" s="18"/>
      <c r="AT53" s="18"/>
    </row>
    <row r="54" spans="1:46" ht="13.5" hidden="1"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41" t="s">
        <v>804</v>
      </c>
      <c r="AI54" s="42" t="s">
        <v>803</v>
      </c>
      <c r="AJ54" s="18" t="str">
        <f>VLOOKUP(AH54,Database!B:B,1,0)</f>
        <v>ENG 151</v>
      </c>
      <c r="AK54" s="18"/>
      <c r="AL54" s="18"/>
      <c r="AM54" s="18"/>
      <c r="AN54" s="18"/>
      <c r="AO54" s="18"/>
      <c r="AP54" s="18"/>
      <c r="AQ54" s="18"/>
      <c r="AR54" s="18"/>
      <c r="AS54" s="18"/>
      <c r="AT54" s="18"/>
    </row>
    <row r="55" spans="1:46" ht="13.5" hidden="1"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41" t="s">
        <v>813</v>
      </c>
      <c r="AI55" s="42" t="s">
        <v>803</v>
      </c>
      <c r="AJ55" s="18" t="str">
        <f>VLOOKUP(AH55,Database!B:B,1,0)</f>
        <v>ENG 152</v>
      </c>
      <c r="AK55" s="18"/>
      <c r="AL55" s="18"/>
      <c r="AM55" s="18"/>
      <c r="AN55" s="18"/>
      <c r="AO55" s="18"/>
      <c r="AP55" s="18"/>
      <c r="AQ55" s="18"/>
      <c r="AR55" s="18"/>
      <c r="AS55" s="18"/>
      <c r="AT55" s="18"/>
    </row>
    <row r="56" spans="1:46" ht="13.5" hidden="1"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t="s">
        <v>851</v>
      </c>
      <c r="AI56" s="42" t="s">
        <v>803</v>
      </c>
      <c r="AJ56" s="18" t="str">
        <f>VLOOKUP(AH56,Database!B:B,1,0)</f>
        <v>ENGL 202</v>
      </c>
      <c r="AK56" s="18"/>
      <c r="AL56" s="18"/>
      <c r="AM56" s="18"/>
      <c r="AN56" s="18"/>
      <c r="AO56" s="18"/>
      <c r="AP56" s="18"/>
      <c r="AQ56" s="18"/>
      <c r="AR56" s="18"/>
      <c r="AS56" s="18"/>
      <c r="AT56" s="18"/>
    </row>
    <row r="57" spans="1:46" ht="13.5" hidden="1"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t="s">
        <v>1577</v>
      </c>
      <c r="AI57" s="41" t="s">
        <v>1552</v>
      </c>
      <c r="AJ57" s="18" t="str">
        <f>VLOOKUP(AH57,Database!B:B,1,0)</f>
        <v>ENGR 201</v>
      </c>
      <c r="AK57" s="18"/>
      <c r="AL57" s="18"/>
      <c r="AM57" s="18"/>
      <c r="AN57" s="18"/>
      <c r="AO57" s="18"/>
      <c r="AP57" s="18"/>
      <c r="AQ57" s="18"/>
      <c r="AR57" s="18"/>
      <c r="AS57" s="18"/>
      <c r="AT57" s="18"/>
    </row>
    <row r="58" spans="1:46" ht="13.5" hidden="1"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t="s">
        <v>542</v>
      </c>
      <c r="AI58" s="41" t="s">
        <v>307</v>
      </c>
      <c r="AJ58" s="18" t="str">
        <f>VLOOKUP(AH58,Database!B:B,1,0)</f>
        <v>ENGR 210</v>
      </c>
      <c r="AK58" s="18"/>
      <c r="AL58" s="18"/>
      <c r="AM58" s="18"/>
      <c r="AN58" s="18"/>
      <c r="AO58" s="18"/>
      <c r="AP58" s="18"/>
      <c r="AQ58" s="18"/>
      <c r="AR58" s="18"/>
      <c r="AS58" s="18"/>
      <c r="AT58" s="18"/>
    </row>
    <row r="59" spans="1:46" ht="13.5" hidden="1"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t="s">
        <v>1554</v>
      </c>
      <c r="AI59" s="41" t="s">
        <v>1552</v>
      </c>
      <c r="AJ59" s="18" t="str">
        <f>VLOOKUP(AH59,Database!B:B,1,0)</f>
        <v>ENGR 219</v>
      </c>
      <c r="AK59" s="18"/>
      <c r="AL59" s="18"/>
      <c r="AM59" s="18"/>
      <c r="AN59" s="18"/>
      <c r="AO59" s="18"/>
      <c r="AP59" s="18"/>
      <c r="AQ59" s="18"/>
      <c r="AR59" s="18"/>
      <c r="AS59" s="18"/>
      <c r="AT59" s="18"/>
    </row>
    <row r="60" spans="1:46" ht="13.5" hidden="1"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t="s">
        <v>1578</v>
      </c>
      <c r="AI60" s="41" t="s">
        <v>1576</v>
      </c>
      <c r="AJ60" s="18" t="str">
        <f>VLOOKUP(AH60,Database!B:B,1,0)</f>
        <v>ENGR 332</v>
      </c>
      <c r="AK60" s="18"/>
      <c r="AL60" s="18"/>
      <c r="AM60" s="18"/>
      <c r="AN60" s="18"/>
      <c r="AO60" s="18"/>
      <c r="AP60" s="18"/>
      <c r="AQ60" s="18"/>
      <c r="AR60" s="18"/>
      <c r="AS60" s="18"/>
      <c r="AT60" s="18"/>
    </row>
    <row r="61" spans="1:46" ht="13.5" hidden="1"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t="s">
        <v>610</v>
      </c>
      <c r="AI61" s="18" t="s">
        <v>562</v>
      </c>
      <c r="AJ61" s="18" t="str">
        <f>VLOOKUP(AH61,Database!B:B,1,0)</f>
        <v>ENV 220</v>
      </c>
      <c r="AK61" s="18"/>
      <c r="AL61" s="18"/>
      <c r="AM61" s="18"/>
      <c r="AN61" s="18"/>
      <c r="AO61" s="18"/>
      <c r="AP61" s="18"/>
      <c r="AQ61" s="18"/>
      <c r="AR61" s="18"/>
      <c r="AS61" s="18"/>
      <c r="AT61" s="18"/>
    </row>
    <row r="62" spans="1:46" ht="13.5" hidden="1"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t="s">
        <v>612</v>
      </c>
      <c r="AI62" s="18" t="s">
        <v>562</v>
      </c>
      <c r="AJ62" s="18" t="str">
        <f>VLOOKUP(AH62,Database!B:B,1,0)</f>
        <v>ENV 221</v>
      </c>
      <c r="AK62" s="18"/>
      <c r="AL62" s="18"/>
      <c r="AM62" s="18"/>
      <c r="AN62" s="18"/>
      <c r="AO62" s="18"/>
      <c r="AP62" s="18"/>
      <c r="AQ62" s="18"/>
      <c r="AR62" s="18"/>
      <c r="AS62" s="18"/>
      <c r="AT62" s="18"/>
    </row>
    <row r="63" spans="1:46" ht="13.5" hidden="1"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t="s">
        <v>613</v>
      </c>
      <c r="AI63" s="18" t="s">
        <v>562</v>
      </c>
      <c r="AJ63" s="18" t="str">
        <f>VLOOKUP(AH63,Database!B:B,1,0)</f>
        <v>ENV 319</v>
      </c>
      <c r="AK63" s="18"/>
      <c r="AL63" s="18"/>
      <c r="AM63" s="18"/>
      <c r="AN63" s="18"/>
      <c r="AO63" s="18"/>
      <c r="AP63" s="18"/>
      <c r="AQ63" s="18"/>
      <c r="AR63" s="18"/>
      <c r="AS63" s="18"/>
      <c r="AT63" s="18"/>
    </row>
    <row r="64" spans="1:46" ht="13.5" hidden="1"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t="s">
        <v>642</v>
      </c>
      <c r="AI64" s="18" t="s">
        <v>562</v>
      </c>
      <c r="AJ64" s="18" t="str">
        <f>VLOOKUP(AH64,Database!B:B,1,0)</f>
        <v>ENV 330</v>
      </c>
      <c r="AK64" s="18"/>
      <c r="AL64" s="18"/>
      <c r="AM64" s="18"/>
      <c r="AN64" s="18"/>
      <c r="AO64" s="18"/>
      <c r="AP64" s="18"/>
      <c r="AQ64" s="18"/>
      <c r="AR64" s="18"/>
      <c r="AS64" s="18"/>
      <c r="AT64" s="18"/>
    </row>
    <row r="65" spans="1:46" ht="13.5" hidden="1"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t="s">
        <v>658</v>
      </c>
      <c r="AI65" s="18" t="s">
        <v>562</v>
      </c>
      <c r="AJ65" s="18" t="str">
        <f>VLOOKUP(AH65,Database!B:B,1,0)</f>
        <v>ENV 350</v>
      </c>
      <c r="AK65" s="18"/>
      <c r="AL65" s="18"/>
      <c r="AM65" s="18"/>
      <c r="AN65" s="18"/>
      <c r="AO65" s="18"/>
      <c r="AP65" s="18"/>
      <c r="AQ65" s="18"/>
      <c r="AR65" s="18"/>
      <c r="AS65" s="18"/>
      <c r="AT65" s="18"/>
    </row>
    <row r="66" spans="1:46" ht="13.5" hidden="1"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t="s">
        <v>666</v>
      </c>
      <c r="AI66" s="18" t="s">
        <v>562</v>
      </c>
      <c r="AJ66" s="18" t="str">
        <f>VLOOKUP(AH66,Database!B:B,1,0)</f>
        <v>ENV 357</v>
      </c>
      <c r="AK66" s="18"/>
      <c r="AL66" s="18"/>
      <c r="AM66" s="18"/>
      <c r="AN66" s="18"/>
      <c r="AO66" s="18"/>
      <c r="AP66" s="18"/>
      <c r="AQ66" s="18"/>
      <c r="AR66" s="18"/>
      <c r="AS66" s="18"/>
      <c r="AT66" s="18"/>
    </row>
    <row r="67" spans="1:46" ht="13.5" hidden="1"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41" t="s">
        <v>679</v>
      </c>
      <c r="AI67" s="18" t="s">
        <v>562</v>
      </c>
      <c r="AJ67" s="18" t="str">
        <f>VLOOKUP(AH67,Database!B:B,1,0)</f>
        <v>ENV 406</v>
      </c>
      <c r="AK67" s="18"/>
      <c r="AL67" s="18"/>
      <c r="AM67" s="18"/>
      <c r="AN67" s="18"/>
      <c r="AO67" s="18"/>
      <c r="AP67" s="18"/>
      <c r="AQ67" s="18"/>
      <c r="AR67" s="18"/>
      <c r="AS67" s="18"/>
      <c r="AT67" s="18"/>
    </row>
    <row r="68" spans="1:46" ht="13.5" hidden="1"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t="s">
        <v>694</v>
      </c>
      <c r="AI68" s="18" t="s">
        <v>562</v>
      </c>
      <c r="AJ68" s="18" t="str">
        <f>VLOOKUP(AH68,Database!B:B,1,0)</f>
        <v>ENV 420</v>
      </c>
      <c r="AK68" s="18"/>
      <c r="AL68" s="18"/>
      <c r="AM68" s="18"/>
      <c r="AN68" s="18"/>
      <c r="AO68" s="18"/>
      <c r="AP68" s="18"/>
      <c r="AQ68" s="18"/>
      <c r="AR68" s="18"/>
      <c r="AS68" s="18"/>
      <c r="AT68" s="18"/>
    </row>
    <row r="69" spans="1:46" ht="13.5" hidden="1"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t="s">
        <v>700</v>
      </c>
      <c r="AI69" s="18" t="s">
        <v>562</v>
      </c>
      <c r="AJ69" s="18" t="str">
        <f>VLOOKUP(AH69,Database!B:B,1,0)</f>
        <v>ENV 422</v>
      </c>
      <c r="AK69" s="18"/>
      <c r="AL69" s="18"/>
      <c r="AM69" s="18"/>
      <c r="AN69" s="18"/>
      <c r="AO69" s="18"/>
      <c r="AP69" s="18"/>
      <c r="AQ69" s="18"/>
      <c r="AR69" s="18"/>
      <c r="AS69" s="18"/>
      <c r="AT69" s="18"/>
    </row>
    <row r="70" spans="1:46" ht="13.5" hidden="1"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t="s">
        <v>705</v>
      </c>
      <c r="AI70" s="18" t="s">
        <v>562</v>
      </c>
      <c r="AJ70" s="18" t="str">
        <f>VLOOKUP(AH70,Database!B:B,1,0)</f>
        <v>ENV 423</v>
      </c>
      <c r="AK70" s="18"/>
      <c r="AL70" s="18"/>
      <c r="AM70" s="18"/>
      <c r="AN70" s="18"/>
      <c r="AO70" s="18"/>
      <c r="AP70" s="18"/>
      <c r="AQ70" s="18"/>
      <c r="AR70" s="18"/>
      <c r="AS70" s="18"/>
      <c r="AT70" s="18"/>
    </row>
    <row r="71" spans="1:46" ht="13.5" hidden="1"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t="s">
        <v>710</v>
      </c>
      <c r="AI71" s="18" t="s">
        <v>562</v>
      </c>
      <c r="AJ71" s="18" t="str">
        <f>VLOOKUP(AH71,Database!B:B,1,0)</f>
        <v>ENV 425</v>
      </c>
      <c r="AK71" s="18"/>
      <c r="AL71" s="18"/>
      <c r="AM71" s="18"/>
      <c r="AN71" s="18"/>
      <c r="AO71" s="18"/>
      <c r="AP71" s="18"/>
      <c r="AQ71" s="18"/>
      <c r="AR71" s="18"/>
      <c r="AS71" s="18"/>
      <c r="AT71" s="18"/>
    </row>
    <row r="72" spans="1:46" ht="13.5" hidden="1"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t="s">
        <v>734</v>
      </c>
      <c r="AI72" s="18" t="s">
        <v>562</v>
      </c>
      <c r="AJ72" s="18" t="str">
        <f>VLOOKUP(AH72,Database!B:B,1,0)</f>
        <v>ENV 465</v>
      </c>
      <c r="AK72" s="18"/>
      <c r="AL72" s="18"/>
      <c r="AM72" s="18"/>
      <c r="AN72" s="18"/>
      <c r="AO72" s="18"/>
      <c r="AP72" s="18"/>
      <c r="AQ72" s="18"/>
      <c r="AR72" s="18"/>
      <c r="AS72" s="18"/>
      <c r="AT72" s="18"/>
    </row>
    <row r="73" spans="1:46" ht="13.5" hidden="1"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t="s">
        <v>751</v>
      </c>
      <c r="AI73" s="18" t="s">
        <v>562</v>
      </c>
      <c r="AJ73" s="18" t="str">
        <f>VLOOKUP(AH73,Database!B:B,1,0)</f>
        <v>ENV 506</v>
      </c>
      <c r="AK73" s="18"/>
      <c r="AL73" s="18"/>
      <c r="AM73" s="18"/>
      <c r="AN73" s="18"/>
      <c r="AO73" s="18"/>
      <c r="AP73" s="18"/>
      <c r="AQ73" s="18"/>
      <c r="AR73" s="18"/>
      <c r="AS73" s="18"/>
      <c r="AT73" s="18"/>
    </row>
    <row r="74" spans="1:46" ht="13.5" hidden="1"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t="s">
        <v>755</v>
      </c>
      <c r="AI74" s="18" t="s">
        <v>562</v>
      </c>
      <c r="AJ74" s="18" t="str">
        <f>VLOOKUP(AH74,Database!B:B,1,0)</f>
        <v>ENV 510</v>
      </c>
      <c r="AK74" s="18"/>
      <c r="AL74" s="18"/>
      <c r="AM74" s="18"/>
      <c r="AN74" s="18"/>
      <c r="AO74" s="18"/>
      <c r="AP74" s="18"/>
      <c r="AQ74" s="18"/>
      <c r="AR74" s="18"/>
      <c r="AS74" s="18"/>
      <c r="AT74" s="18"/>
    </row>
    <row r="75" spans="1:46" ht="13.5" hidden="1"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t="s">
        <v>778</v>
      </c>
      <c r="AI75" s="18" t="s">
        <v>562</v>
      </c>
      <c r="AJ75" s="18" t="str">
        <f>VLOOKUP(AH75,Database!B:B,1,0)</f>
        <v>ENV 527</v>
      </c>
      <c r="AK75" s="18"/>
      <c r="AL75" s="18"/>
      <c r="AM75" s="18"/>
      <c r="AN75" s="18"/>
      <c r="AO75" s="18"/>
      <c r="AP75" s="18"/>
      <c r="AQ75" s="18"/>
      <c r="AR75" s="18"/>
      <c r="AS75" s="18"/>
      <c r="AT75" s="18"/>
    </row>
    <row r="76" spans="1:46" ht="13.5" hidden="1"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t="s">
        <v>783</v>
      </c>
      <c r="AI76" s="18" t="s">
        <v>562</v>
      </c>
      <c r="AJ76" s="18" t="str">
        <f>VLOOKUP(AH76,Database!B:B,1,0)</f>
        <v>ENV 528</v>
      </c>
      <c r="AK76" s="18"/>
      <c r="AL76" s="18"/>
      <c r="AM76" s="18"/>
      <c r="AN76" s="18"/>
      <c r="AO76" s="18"/>
      <c r="AP76" s="18"/>
      <c r="AQ76" s="18"/>
      <c r="AR76" s="18"/>
      <c r="AS76" s="18"/>
      <c r="AT76" s="18"/>
    </row>
    <row r="77" spans="1:46" ht="13.5" hidden="1"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t="s">
        <v>1592</v>
      </c>
      <c r="AI77" s="18" t="s">
        <v>945</v>
      </c>
      <c r="AJ77" s="18" t="str">
        <f>VLOOKUP(AH77,Database!B:B,1,0)</f>
        <v>MATH 101</v>
      </c>
      <c r="AK77" s="18"/>
      <c r="AL77" s="18"/>
      <c r="AM77" s="18"/>
      <c r="AN77" s="18"/>
      <c r="AO77" s="18"/>
      <c r="AP77" s="18"/>
      <c r="AQ77" s="18"/>
      <c r="AR77" s="18"/>
      <c r="AS77" s="18"/>
      <c r="AT77" s="18"/>
    </row>
    <row r="78" spans="1:46" ht="13.5" hidden="1"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t="s">
        <v>1593</v>
      </c>
      <c r="AI78" s="18" t="s">
        <v>945</v>
      </c>
      <c r="AJ78" s="18" t="str">
        <f>VLOOKUP(AH78,Database!B:B,1,0)</f>
        <v>MATH 201</v>
      </c>
      <c r="AK78" s="18"/>
      <c r="AL78" s="18"/>
      <c r="AM78" s="18"/>
      <c r="AN78" s="18"/>
      <c r="AO78" s="18"/>
      <c r="AP78" s="18"/>
      <c r="AQ78" s="18"/>
      <c r="AR78" s="18"/>
      <c r="AS78" s="18"/>
      <c r="AT78" s="18"/>
    </row>
    <row r="79" spans="1:46" ht="13.5" hidden="1"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t="s">
        <v>966</v>
      </c>
      <c r="AI79" s="18" t="s">
        <v>945</v>
      </c>
      <c r="AJ79" s="18" t="str">
        <f>VLOOKUP(AH79,Database!B:B,1,0)</f>
        <v>MATH 201</v>
      </c>
      <c r="AK79" s="18"/>
      <c r="AL79" s="18"/>
      <c r="AM79" s="18"/>
      <c r="AN79" s="18"/>
      <c r="AO79" s="18"/>
      <c r="AP79" s="18"/>
      <c r="AQ79" s="18"/>
      <c r="AR79" s="18"/>
      <c r="AS79" s="18"/>
      <c r="AT79" s="18"/>
    </row>
    <row r="80" spans="1:46" ht="13.5" hidden="1"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t="s">
        <v>1594</v>
      </c>
      <c r="AI80" s="18" t="s">
        <v>945</v>
      </c>
      <c r="AJ80" s="18" t="str">
        <f>VLOOKUP(AH80,Database!B:B,1,0)</f>
        <v>MATH 203</v>
      </c>
      <c r="AK80" s="18"/>
      <c r="AL80" s="18"/>
      <c r="AM80" s="18"/>
      <c r="AN80" s="18"/>
      <c r="AO80" s="18"/>
      <c r="AP80" s="18"/>
      <c r="AQ80" s="18"/>
      <c r="AR80" s="18"/>
      <c r="AS80" s="18"/>
      <c r="AT80" s="18"/>
    </row>
    <row r="81" spans="1:46" ht="13.5" hidden="1"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t="s">
        <v>1595</v>
      </c>
      <c r="AI81" s="18" t="s">
        <v>945</v>
      </c>
      <c r="AJ81" s="18" t="str">
        <f>VLOOKUP(AH81,Database!B:B,1,0)</f>
        <v>MATH 302</v>
      </c>
      <c r="AK81" s="18"/>
      <c r="AL81" s="18"/>
      <c r="AM81" s="18"/>
      <c r="AN81" s="18"/>
      <c r="AO81" s="18"/>
      <c r="AP81" s="18"/>
      <c r="AQ81" s="18"/>
      <c r="AR81" s="18"/>
      <c r="AS81" s="18"/>
      <c r="AT81" s="18"/>
    </row>
    <row r="82" spans="1:46" ht="13.5" hidden="1"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t="s">
        <v>996</v>
      </c>
      <c r="AI82" s="18" t="s">
        <v>945</v>
      </c>
      <c r="AJ82" s="18" t="str">
        <f>VLOOKUP(AH82,Database!B:B,1,0)</f>
        <v>MATH 302</v>
      </c>
      <c r="AK82" s="18"/>
      <c r="AL82" s="18"/>
      <c r="AM82" s="18"/>
      <c r="AN82" s="18"/>
      <c r="AO82" s="18"/>
      <c r="AP82" s="18"/>
      <c r="AQ82" s="18"/>
      <c r="AR82" s="18"/>
      <c r="AS82" s="18"/>
      <c r="AT82" s="18"/>
    </row>
    <row r="83" spans="1:46" ht="13.5" hidden="1"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t="s">
        <v>1596</v>
      </c>
      <c r="AI83" s="18" t="s">
        <v>945</v>
      </c>
      <c r="AJ83" s="18" t="str">
        <f>VLOOKUP(AH83,Database!B:B,1,0)</f>
        <v>MATH 306</v>
      </c>
      <c r="AK83" s="18"/>
      <c r="AL83" s="18"/>
      <c r="AM83" s="18"/>
      <c r="AN83" s="18"/>
      <c r="AO83" s="18"/>
      <c r="AP83" s="18"/>
      <c r="AQ83" s="18"/>
      <c r="AR83" s="18"/>
      <c r="AS83" s="18"/>
      <c r="AT83" s="18"/>
    </row>
    <row r="84" spans="1:46" ht="13.5" hidden="1"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t="s">
        <v>1004</v>
      </c>
      <c r="AI84" s="18" t="s">
        <v>945</v>
      </c>
      <c r="AJ84" s="18" t="str">
        <f>VLOOKUP(AH84,Database!B:B,1,0)</f>
        <v>MATH 306</v>
      </c>
      <c r="AK84" s="18"/>
      <c r="AL84" s="18"/>
      <c r="AM84" s="18"/>
      <c r="AN84" s="18"/>
      <c r="AO84" s="18"/>
      <c r="AP84" s="18"/>
      <c r="AQ84" s="18"/>
      <c r="AR84" s="18"/>
      <c r="AS84" s="18"/>
      <c r="AT84" s="18"/>
    </row>
    <row r="85" spans="1:46" ht="13.5" hidden="1"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t="s">
        <v>1597</v>
      </c>
      <c r="AI85" s="18" t="s">
        <v>945</v>
      </c>
      <c r="AJ85" s="18" t="str">
        <f>VLOOKUP(AH85,Database!B:B,1,0)</f>
        <v>MATH 404</v>
      </c>
      <c r="AK85" s="18"/>
      <c r="AL85" s="18"/>
      <c r="AM85" s="18"/>
      <c r="AN85" s="18"/>
      <c r="AO85" s="18"/>
      <c r="AP85" s="18"/>
      <c r="AQ85" s="18"/>
      <c r="AR85" s="18"/>
      <c r="AS85" s="18"/>
      <c r="AT85" s="18"/>
    </row>
    <row r="86" spans="1:46" ht="13.5" hidden="1"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t="s">
        <v>1039</v>
      </c>
      <c r="AI86" s="18" t="s">
        <v>1019</v>
      </c>
      <c r="AJ86" s="18" t="str">
        <f>VLOOKUP(AH86,Database!B:B,1,0)</f>
        <v>MATSCI 201</v>
      </c>
      <c r="AK86" s="18"/>
      <c r="AL86" s="18"/>
      <c r="AM86" s="18"/>
      <c r="AN86" s="18"/>
      <c r="AO86" s="18"/>
      <c r="AP86" s="18"/>
      <c r="AQ86" s="18"/>
      <c r="AR86" s="18"/>
      <c r="AS86" s="18"/>
      <c r="AT86" s="18"/>
    </row>
    <row r="87" spans="1:46" ht="13.5" hidden="1"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t="s">
        <v>1048</v>
      </c>
      <c r="AI87" s="18" t="s">
        <v>1019</v>
      </c>
      <c r="AJ87" s="18" t="str">
        <f>VLOOKUP(AH87,Database!B:B,1,0)</f>
        <v>MATSCI 204</v>
      </c>
      <c r="AK87" s="18"/>
      <c r="AL87" s="18"/>
      <c r="AM87" s="18"/>
      <c r="AN87" s="18"/>
      <c r="AO87" s="18"/>
      <c r="AP87" s="18"/>
      <c r="AQ87" s="18"/>
      <c r="AR87" s="18"/>
      <c r="AS87" s="18"/>
      <c r="AT87" s="18"/>
    </row>
    <row r="88" spans="1:46" ht="13.5" hidden="1"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t="s">
        <v>1055</v>
      </c>
      <c r="AI88" s="18" t="s">
        <v>1019</v>
      </c>
      <c r="AJ88" s="18" t="str">
        <f>VLOOKUP(AH88,Database!B:B,1,0)</f>
        <v>MATSCI 214</v>
      </c>
      <c r="AK88" s="18"/>
      <c r="AL88" s="18"/>
      <c r="AM88" s="18"/>
      <c r="AN88" s="18"/>
      <c r="AO88" s="18"/>
      <c r="AP88" s="18"/>
      <c r="AQ88" s="18"/>
      <c r="AR88" s="18"/>
      <c r="AS88" s="18"/>
      <c r="AT88" s="18"/>
    </row>
    <row r="89" spans="1:46" ht="13.5" hidden="1"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t="s">
        <v>1082</v>
      </c>
      <c r="AI89" s="18" t="s">
        <v>1019</v>
      </c>
      <c r="AJ89" s="18" t="str">
        <f>VLOOKUP(AH89,Database!B:B,1,0)</f>
        <v>MATSCI 303</v>
      </c>
      <c r="AK89" s="18"/>
      <c r="AL89" s="18"/>
      <c r="AM89" s="18"/>
      <c r="AN89" s="18"/>
      <c r="AO89" s="18"/>
      <c r="AP89" s="18"/>
      <c r="AQ89" s="18"/>
      <c r="AR89" s="18"/>
      <c r="AS89" s="18"/>
      <c r="AT89" s="18"/>
    </row>
    <row r="90" spans="1:46" ht="13.5" hidden="1"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t="s">
        <v>1088</v>
      </c>
      <c r="AI90" s="18" t="s">
        <v>1019</v>
      </c>
      <c r="AJ90" s="18" t="str">
        <f>VLOOKUP(AH90,Database!B:B,1,0)</f>
        <v>MATSCI 318</v>
      </c>
      <c r="AK90" s="18"/>
      <c r="AL90" s="18"/>
      <c r="AM90" s="18"/>
      <c r="AN90" s="18"/>
      <c r="AO90" s="18"/>
      <c r="AP90" s="18"/>
      <c r="AQ90" s="18"/>
      <c r="AR90" s="18"/>
      <c r="AS90" s="18"/>
      <c r="AT90" s="18"/>
    </row>
    <row r="91" spans="1:46" ht="13.5" hidden="1"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41" t="s">
        <v>1096</v>
      </c>
      <c r="AI91" s="18" t="s">
        <v>1019</v>
      </c>
      <c r="AJ91" s="18" t="str">
        <f>VLOOKUP(AH91,Database!B:B,1,0)</f>
        <v>MATSCI 405</v>
      </c>
      <c r="AK91" s="18"/>
      <c r="AL91" s="18"/>
      <c r="AM91" s="18"/>
      <c r="AN91" s="18"/>
      <c r="AO91" s="18"/>
      <c r="AP91" s="18"/>
      <c r="AQ91" s="18"/>
      <c r="AR91" s="18"/>
      <c r="AS91" s="18"/>
      <c r="AT91" s="18"/>
    </row>
    <row r="92" spans="1:46" ht="13.5" hidden="1"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41" t="s">
        <v>1103</v>
      </c>
      <c r="AI92" s="18" t="s">
        <v>1019</v>
      </c>
      <c r="AJ92" s="18" t="str">
        <f>VLOOKUP(AH92,Database!B:B,1,0)</f>
        <v>MATSCI 411</v>
      </c>
      <c r="AK92" s="18"/>
      <c r="AL92" s="18"/>
      <c r="AM92" s="18"/>
      <c r="AN92" s="18"/>
      <c r="AO92" s="18"/>
      <c r="AP92" s="18"/>
      <c r="AQ92" s="18"/>
      <c r="AR92" s="18"/>
      <c r="AS92" s="18"/>
      <c r="AT92" s="18"/>
    </row>
    <row r="93" spans="1:46" ht="13.5" hidden="1"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t="s">
        <v>1113</v>
      </c>
      <c r="AI93" s="18" t="s">
        <v>1019</v>
      </c>
      <c r="AJ93" s="18" t="str">
        <f>VLOOKUP(AH93,Database!B:B,1,0)</f>
        <v>MATSCI 463</v>
      </c>
      <c r="AK93" s="18"/>
      <c r="AL93" s="18"/>
      <c r="AM93" s="18"/>
      <c r="AN93" s="18"/>
      <c r="AO93" s="18"/>
      <c r="AP93" s="18"/>
      <c r="AQ93" s="18"/>
      <c r="AR93" s="18"/>
      <c r="AS93" s="18"/>
      <c r="AT93" s="18"/>
    </row>
    <row r="94" spans="1:46" ht="13.5" hidden="1"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t="s">
        <v>1121</v>
      </c>
      <c r="AI94" s="18" t="s">
        <v>1019</v>
      </c>
      <c r="AJ94" s="18" t="str">
        <f>VLOOKUP(AH94,Database!B:B,1,0)</f>
        <v>MATSCI 480</v>
      </c>
      <c r="AK94" s="18"/>
      <c r="AL94" s="18"/>
      <c r="AM94" s="18"/>
      <c r="AN94" s="18"/>
      <c r="AO94" s="18"/>
      <c r="AP94" s="18"/>
      <c r="AQ94" s="18"/>
      <c r="AR94" s="18"/>
      <c r="AS94" s="18"/>
      <c r="AT94" s="18"/>
    </row>
    <row r="95" spans="1:46" ht="13.5" hidden="1"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t="s">
        <v>1141</v>
      </c>
      <c r="AI95" s="18" t="s">
        <v>1019</v>
      </c>
      <c r="AJ95" s="18" t="str">
        <f>VLOOKUP(AH95,Database!B:B,1,0)</f>
        <v>MATSCI 494</v>
      </c>
      <c r="AK95" s="18"/>
      <c r="AL95" s="18"/>
      <c r="AM95" s="18"/>
      <c r="AN95" s="18"/>
      <c r="AO95" s="18"/>
      <c r="AP95" s="18"/>
      <c r="AQ95" s="18"/>
      <c r="AR95" s="18"/>
      <c r="AS95" s="18"/>
      <c r="AT95" s="18"/>
    </row>
    <row r="96" spans="1:46" ht="13.5" hidden="1"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t="s">
        <v>1144</v>
      </c>
      <c r="AI96" s="18" t="s">
        <v>1019</v>
      </c>
      <c r="AJ96" s="18" t="str">
        <f>VLOOKUP(AH96,Database!B:B,1,0)</f>
        <v>MATSCI 499</v>
      </c>
      <c r="AK96" s="18"/>
      <c r="AL96" s="18"/>
      <c r="AM96" s="18"/>
      <c r="AN96" s="18"/>
      <c r="AO96" s="18"/>
      <c r="AP96" s="18"/>
      <c r="AQ96" s="18"/>
      <c r="AR96" s="18"/>
      <c r="AS96" s="18"/>
      <c r="AT96" s="18"/>
    </row>
    <row r="97" spans="1:46" ht="13.5" hidden="1"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t="s">
        <v>1154</v>
      </c>
      <c r="AI97" s="18" t="s">
        <v>1151</v>
      </c>
      <c r="AJ97" s="18" t="str">
        <f>VLOOKUP(AH97,Database!B:B,1,0)</f>
        <v>NANENG 204</v>
      </c>
      <c r="AK97" s="18"/>
      <c r="AL97" s="18"/>
      <c r="AM97" s="18"/>
      <c r="AN97" s="18"/>
      <c r="AO97" s="18"/>
      <c r="AP97" s="18"/>
      <c r="AQ97" s="18"/>
      <c r="AR97" s="18"/>
      <c r="AS97" s="18"/>
      <c r="AT97" s="18"/>
    </row>
    <row r="98" spans="1:46" ht="13.5" hidden="1"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t="s">
        <v>1162</v>
      </c>
      <c r="AI98" s="18" t="s">
        <v>1151</v>
      </c>
      <c r="AJ98" s="18" t="str">
        <f>VLOOKUP(AH98,Database!B:B,1,0)</f>
        <v>NANENG 305</v>
      </c>
      <c r="AK98" s="18"/>
      <c r="AL98" s="18"/>
      <c r="AM98" s="18"/>
      <c r="AN98" s="18"/>
      <c r="AO98" s="18"/>
      <c r="AP98" s="18"/>
      <c r="AQ98" s="18"/>
      <c r="AR98" s="18"/>
      <c r="AS98" s="18"/>
      <c r="AT98" s="18"/>
    </row>
    <row r="99" spans="1:46" ht="13.5" hidden="1"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t="s">
        <v>1176</v>
      </c>
      <c r="AI99" s="18" t="s">
        <v>1151</v>
      </c>
      <c r="AJ99" s="18" t="str">
        <f>VLOOKUP(AH99,Database!B:B,1,0)</f>
        <v>NANENG 312</v>
      </c>
      <c r="AK99" s="18"/>
      <c r="AL99" s="18"/>
      <c r="AM99" s="18"/>
      <c r="AN99" s="18"/>
      <c r="AO99" s="18"/>
      <c r="AP99" s="18"/>
      <c r="AQ99" s="18"/>
      <c r="AR99" s="18"/>
      <c r="AS99" s="18"/>
      <c r="AT99" s="18"/>
    </row>
    <row r="100" spans="1:46" ht="13.5" hidden="1"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t="s">
        <v>1184</v>
      </c>
      <c r="AI100" s="18" t="s">
        <v>1151</v>
      </c>
      <c r="AJ100" s="18" t="str">
        <f>VLOOKUP(AH100,Database!B:B,1,0)</f>
        <v>NANENG 322</v>
      </c>
      <c r="AK100" s="18"/>
      <c r="AL100" s="18"/>
      <c r="AM100" s="18"/>
      <c r="AN100" s="18"/>
      <c r="AO100" s="18"/>
      <c r="AP100" s="18"/>
      <c r="AQ100" s="18"/>
      <c r="AR100" s="18"/>
      <c r="AS100" s="18"/>
      <c r="AT100" s="18"/>
    </row>
    <row r="101" spans="1:46" ht="13.5" hidden="1"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t="s">
        <v>1196</v>
      </c>
      <c r="AI101" s="18" t="s">
        <v>1151</v>
      </c>
      <c r="AJ101" s="18" t="str">
        <f>VLOOKUP(AH101,Database!B:B,1,0)</f>
        <v>NANENG 331</v>
      </c>
      <c r="AK101" s="18"/>
      <c r="AL101" s="18"/>
      <c r="AM101" s="18"/>
      <c r="AN101" s="18"/>
      <c r="AO101" s="18"/>
      <c r="AP101" s="18"/>
      <c r="AQ101" s="18"/>
      <c r="AR101" s="18"/>
      <c r="AS101" s="18"/>
      <c r="AT101" s="18"/>
    </row>
    <row r="102" spans="1:46" ht="13.5" hidden="1"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t="s">
        <v>1214</v>
      </c>
      <c r="AI102" s="18" t="s">
        <v>1151</v>
      </c>
      <c r="AJ102" s="18" t="str">
        <f>VLOOKUP(AH102,Database!B:B,1,0)</f>
        <v>NANENG 401</v>
      </c>
      <c r="AK102" s="18"/>
      <c r="AL102" s="18"/>
      <c r="AM102" s="18"/>
      <c r="AN102" s="18"/>
      <c r="AO102" s="18"/>
      <c r="AP102" s="18"/>
      <c r="AQ102" s="18"/>
      <c r="AR102" s="18"/>
      <c r="AS102" s="18"/>
      <c r="AT102" s="18"/>
    </row>
    <row r="103" spans="1:46" ht="13.5" hidden="1"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t="s">
        <v>1223</v>
      </c>
      <c r="AI103" s="18" t="s">
        <v>1151</v>
      </c>
      <c r="AJ103" s="18" t="str">
        <f>VLOOKUP(AH103,Database!B:B,1,0)</f>
        <v>NANENG 404</v>
      </c>
      <c r="AK103" s="18"/>
      <c r="AL103" s="18"/>
      <c r="AM103" s="18"/>
      <c r="AN103" s="18"/>
      <c r="AO103" s="18"/>
      <c r="AP103" s="18"/>
      <c r="AQ103" s="18"/>
      <c r="AR103" s="18"/>
      <c r="AS103" s="18"/>
      <c r="AT103" s="18"/>
    </row>
    <row r="104" spans="1:46" ht="13.5" hidden="1"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t="s">
        <v>1241</v>
      </c>
      <c r="AI104" s="18" t="s">
        <v>1151</v>
      </c>
      <c r="AJ104" s="18" t="str">
        <f>VLOOKUP(AH104,Database!B:B,1,0)</f>
        <v>NANENG 421</v>
      </c>
      <c r="AK104" s="18"/>
      <c r="AL104" s="18"/>
      <c r="AM104" s="18"/>
      <c r="AN104" s="18"/>
      <c r="AO104" s="18"/>
      <c r="AP104" s="18"/>
      <c r="AQ104" s="18"/>
      <c r="AR104" s="18"/>
      <c r="AS104" s="18"/>
      <c r="AT104" s="18"/>
    </row>
    <row r="105" spans="1:46" ht="13.5" hidden="1"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t="s">
        <v>1248</v>
      </c>
      <c r="AI105" s="18" t="s">
        <v>1151</v>
      </c>
      <c r="AJ105" s="18" t="str">
        <f>VLOOKUP(AH105,Database!B:B,1,0)</f>
        <v>NANENG 424</v>
      </c>
      <c r="AK105" s="18"/>
      <c r="AL105" s="18"/>
      <c r="AM105" s="18"/>
      <c r="AN105" s="18"/>
      <c r="AO105" s="18"/>
      <c r="AP105" s="18"/>
      <c r="AQ105" s="18"/>
      <c r="AR105" s="18"/>
      <c r="AS105" s="18"/>
      <c r="AT105" s="18"/>
    </row>
    <row r="106" spans="1:46" ht="13.5" hidden="1"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t="s">
        <v>1262</v>
      </c>
      <c r="AI106" s="18" t="s">
        <v>1151</v>
      </c>
      <c r="AJ106" s="18" t="str">
        <f>VLOOKUP(AH106,Database!B:B,1,0)</f>
        <v>NANENG 433</v>
      </c>
      <c r="AK106" s="18"/>
      <c r="AL106" s="18"/>
      <c r="AM106" s="18"/>
      <c r="AN106" s="18"/>
      <c r="AO106" s="18"/>
      <c r="AP106" s="18"/>
      <c r="AQ106" s="18"/>
      <c r="AR106" s="18"/>
      <c r="AS106" s="18"/>
      <c r="AT106" s="18"/>
    </row>
    <row r="107" spans="1:46" ht="13.5" hidden="1"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t="s">
        <v>1269</v>
      </c>
      <c r="AI107" s="18" t="s">
        <v>1151</v>
      </c>
      <c r="AJ107" s="18" t="str">
        <f>VLOOKUP(AH107,Database!B:B,1,0)</f>
        <v>NANENG 500</v>
      </c>
      <c r="AK107" s="18"/>
      <c r="AL107" s="18"/>
      <c r="AM107" s="18"/>
      <c r="AN107" s="18"/>
      <c r="AO107" s="18"/>
      <c r="AP107" s="18"/>
      <c r="AQ107" s="18"/>
      <c r="AR107" s="18"/>
      <c r="AS107" s="18"/>
      <c r="AT107" s="18"/>
    </row>
    <row r="108" spans="1:46" ht="13.5" hidden="1"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t="s">
        <v>1279</v>
      </c>
      <c r="AI108" s="18" t="s">
        <v>1151</v>
      </c>
      <c r="AJ108" s="18" t="str">
        <f>VLOOKUP(AH108,Database!B:B,1,0)</f>
        <v>NANENG 503</v>
      </c>
      <c r="AK108" s="18"/>
      <c r="AL108" s="18"/>
      <c r="AM108" s="18"/>
      <c r="AN108" s="18"/>
      <c r="AO108" s="18"/>
      <c r="AP108" s="18"/>
      <c r="AQ108" s="18"/>
      <c r="AR108" s="18"/>
      <c r="AS108" s="18"/>
      <c r="AT108" s="18"/>
    </row>
    <row r="109" spans="1:46" ht="13.5" hidden="1"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t="s">
        <v>1289</v>
      </c>
      <c r="AI109" s="18" t="s">
        <v>1151</v>
      </c>
      <c r="AJ109" s="18" t="str">
        <f>VLOOKUP(AH109,Database!B:B,1,0)</f>
        <v>NANENG 511</v>
      </c>
      <c r="AK109" s="18"/>
      <c r="AL109" s="18"/>
      <c r="AM109" s="18"/>
      <c r="AN109" s="18"/>
      <c r="AO109" s="18"/>
      <c r="AP109" s="18"/>
      <c r="AQ109" s="18"/>
      <c r="AR109" s="18"/>
      <c r="AS109" s="18"/>
      <c r="AT109" s="18"/>
    </row>
    <row r="110" spans="1:46" ht="13.5" hidden="1"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t="s">
        <v>1299</v>
      </c>
      <c r="AI110" s="18" t="s">
        <v>1151</v>
      </c>
      <c r="AJ110" s="18" t="str">
        <f>VLOOKUP(AH110,Database!B:B,1,0)</f>
        <v>NANENG 512</v>
      </c>
      <c r="AK110" s="18"/>
      <c r="AL110" s="18"/>
      <c r="AM110" s="18"/>
      <c r="AN110" s="18"/>
      <c r="AO110" s="18"/>
      <c r="AP110" s="18"/>
      <c r="AQ110" s="18"/>
      <c r="AR110" s="18"/>
      <c r="AS110" s="18"/>
      <c r="AT110" s="18"/>
    </row>
    <row r="111" spans="1:46" ht="13.5" hidden="1"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t="s">
        <v>1322</v>
      </c>
      <c r="AI111" s="18" t="s">
        <v>1151</v>
      </c>
      <c r="AJ111" s="18" t="str">
        <f>VLOOKUP(AH111,Database!B:B,1,0)</f>
        <v>NANENG 515</v>
      </c>
      <c r="AK111" s="18"/>
      <c r="AL111" s="18"/>
      <c r="AM111" s="18"/>
      <c r="AN111" s="18"/>
      <c r="AO111" s="18"/>
      <c r="AP111" s="18"/>
      <c r="AQ111" s="18"/>
      <c r="AR111" s="18"/>
      <c r="AS111" s="18"/>
      <c r="AT111" s="18"/>
    </row>
    <row r="112" spans="1:46" ht="13.5" hidden="1"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41" t="s">
        <v>1329</v>
      </c>
      <c r="AI112" s="18" t="s">
        <v>1151</v>
      </c>
      <c r="AJ112" s="18" t="str">
        <f>VLOOKUP(AH112,Database!B:B,1,0)</f>
        <v>NANENG 520</v>
      </c>
      <c r="AK112" s="18"/>
      <c r="AL112" s="18"/>
      <c r="AM112" s="18"/>
      <c r="AN112" s="18"/>
      <c r="AO112" s="18"/>
      <c r="AP112" s="18"/>
      <c r="AQ112" s="18"/>
      <c r="AR112" s="18"/>
      <c r="AS112" s="18"/>
      <c r="AT112" s="18"/>
    </row>
    <row r="113" spans="1:46" ht="13.5" hidden="1"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t="s">
        <v>1369</v>
      </c>
      <c r="AI113" s="18" t="s">
        <v>1340</v>
      </c>
      <c r="AJ113" s="18" t="str">
        <f>VLOOKUP(AH113,Database!B:B,1,0)</f>
        <v>NANOSC 302</v>
      </c>
      <c r="AK113" s="18"/>
      <c r="AL113" s="18"/>
      <c r="AM113" s="18"/>
      <c r="AN113" s="18"/>
      <c r="AO113" s="18"/>
      <c r="AP113" s="18"/>
      <c r="AQ113" s="18"/>
      <c r="AR113" s="18"/>
      <c r="AS113" s="18"/>
      <c r="AT113" s="18"/>
    </row>
    <row r="114" spans="1:46" ht="13.5" hidden="1"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t="s">
        <v>1375</v>
      </c>
      <c r="AI114" s="18" t="s">
        <v>1340</v>
      </c>
      <c r="AJ114" s="18" t="str">
        <f>VLOOKUP(AH114,Database!B:B,1,0)</f>
        <v>NANOSC 303</v>
      </c>
      <c r="AK114" s="18"/>
      <c r="AL114" s="18"/>
      <c r="AM114" s="18"/>
      <c r="AN114" s="18"/>
      <c r="AO114" s="18"/>
      <c r="AP114" s="18"/>
      <c r="AQ114" s="18"/>
      <c r="AR114" s="18"/>
      <c r="AS114" s="18"/>
      <c r="AT114" s="18"/>
    </row>
    <row r="115" spans="1:46" ht="13.5" hidden="1"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t="s">
        <v>1376</v>
      </c>
      <c r="AI115" s="18" t="s">
        <v>1340</v>
      </c>
      <c r="AJ115" s="18" t="str">
        <f>VLOOKUP(AH115,Database!B:B,1,0)</f>
        <v>NANOSC 305</v>
      </c>
      <c r="AK115" s="18"/>
      <c r="AL115" s="18"/>
      <c r="AM115" s="18"/>
      <c r="AN115" s="18"/>
      <c r="AO115" s="18"/>
      <c r="AP115" s="18"/>
      <c r="AQ115" s="18"/>
      <c r="AR115" s="18"/>
      <c r="AS115" s="18"/>
      <c r="AT115" s="18"/>
    </row>
    <row r="116" spans="1:46" ht="13.5" hidden="1"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t="s">
        <v>1382</v>
      </c>
      <c r="AI116" s="18" t="s">
        <v>1340</v>
      </c>
      <c r="AJ116" s="18" t="str">
        <f>VLOOKUP(AH116,Database!B:B,1,0)</f>
        <v>NANOSC 306</v>
      </c>
      <c r="AK116" s="18"/>
      <c r="AL116" s="18"/>
      <c r="AM116" s="18"/>
      <c r="AN116" s="18"/>
      <c r="AO116" s="18"/>
      <c r="AP116" s="18"/>
      <c r="AQ116" s="18"/>
      <c r="AR116" s="18"/>
      <c r="AS116" s="18"/>
      <c r="AT116" s="18"/>
    </row>
    <row r="117" spans="1:46" ht="13.5" hidden="1"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t="s">
        <v>1385</v>
      </c>
      <c r="AI117" s="18" t="s">
        <v>1340</v>
      </c>
      <c r="AJ117" s="18" t="str">
        <f>VLOOKUP(AH117,Database!B:B,1,0)</f>
        <v>NANOSC 312</v>
      </c>
      <c r="AK117" s="18"/>
      <c r="AL117" s="18"/>
      <c r="AM117" s="18"/>
      <c r="AN117" s="18"/>
      <c r="AO117" s="18"/>
      <c r="AP117" s="18"/>
      <c r="AQ117" s="18"/>
      <c r="AR117" s="18"/>
      <c r="AS117" s="18"/>
      <c r="AT117" s="18"/>
    </row>
    <row r="118" spans="1:46" ht="13.5" hidden="1"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t="s">
        <v>1390</v>
      </c>
      <c r="AI118" s="18" t="s">
        <v>1340</v>
      </c>
      <c r="AJ118" s="18" t="str">
        <f>VLOOKUP(AH118,Database!B:B,1,0)</f>
        <v>NANOSC 315</v>
      </c>
      <c r="AK118" s="18"/>
      <c r="AL118" s="18"/>
      <c r="AM118" s="18"/>
      <c r="AN118" s="18"/>
      <c r="AO118" s="18"/>
      <c r="AP118" s="18"/>
      <c r="AQ118" s="18"/>
      <c r="AR118" s="18"/>
      <c r="AS118" s="18"/>
      <c r="AT118" s="18"/>
    </row>
    <row r="119" spans="1:46" ht="13.5" hidden="1"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t="s">
        <v>1393</v>
      </c>
      <c r="AI119" s="18" t="s">
        <v>1340</v>
      </c>
      <c r="AJ119" s="18" t="str">
        <f>VLOOKUP(AH119,Database!B:B,1,0)</f>
        <v>NANOSC 401</v>
      </c>
      <c r="AK119" s="18"/>
      <c r="AL119" s="18"/>
      <c r="AM119" s="18"/>
      <c r="AN119" s="18"/>
      <c r="AO119" s="18"/>
      <c r="AP119" s="18"/>
      <c r="AQ119" s="18"/>
      <c r="AR119" s="18"/>
      <c r="AS119" s="18"/>
      <c r="AT119" s="18"/>
    </row>
    <row r="120" spans="1:46" ht="13.5" hidden="1"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t="s">
        <v>1394</v>
      </c>
      <c r="AI120" s="18" t="s">
        <v>1340</v>
      </c>
      <c r="AJ120" s="18" t="str">
        <f>VLOOKUP(AH120,Database!B:B,1,0)</f>
        <v>NANOSC 403</v>
      </c>
      <c r="AK120" s="18"/>
      <c r="AL120" s="18"/>
      <c r="AM120" s="18"/>
      <c r="AN120" s="18"/>
      <c r="AO120" s="18"/>
      <c r="AP120" s="18"/>
      <c r="AQ120" s="18"/>
      <c r="AR120" s="18"/>
      <c r="AS120" s="18"/>
      <c r="AT120" s="18"/>
    </row>
    <row r="121" spans="1:46" ht="13.5" hidden="1"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t="s">
        <v>1395</v>
      </c>
      <c r="AI121" s="18" t="s">
        <v>1340</v>
      </c>
      <c r="AJ121" s="18" t="str">
        <f>VLOOKUP(AH121,Database!B:B,1,0)</f>
        <v>NANOSC 405</v>
      </c>
      <c r="AK121" s="18"/>
      <c r="AL121" s="18"/>
      <c r="AM121" s="18"/>
      <c r="AN121" s="18"/>
      <c r="AO121" s="18"/>
      <c r="AP121" s="18"/>
      <c r="AQ121" s="18"/>
      <c r="AR121" s="18"/>
      <c r="AS121" s="18"/>
      <c r="AT121" s="18"/>
    </row>
    <row r="122" spans="1:46" ht="13.5" hidden="1"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t="s">
        <v>1406</v>
      </c>
      <c r="AI122" s="18" t="s">
        <v>1340</v>
      </c>
      <c r="AJ122" s="18" t="str">
        <f>VLOOKUP(AH122,Database!B:B,1,0)</f>
        <v>NANOSC 413</v>
      </c>
      <c r="AK122" s="18"/>
      <c r="AL122" s="18"/>
      <c r="AM122" s="18"/>
      <c r="AN122" s="18"/>
      <c r="AO122" s="18"/>
      <c r="AP122" s="18"/>
      <c r="AQ122" s="18"/>
      <c r="AR122" s="18"/>
      <c r="AS122" s="18"/>
      <c r="AT122" s="18"/>
    </row>
    <row r="123" spans="1:46" ht="13.5" hidden="1"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t="s">
        <v>1407</v>
      </c>
      <c r="AI123" s="18" t="s">
        <v>1340</v>
      </c>
      <c r="AJ123" s="18" t="str">
        <f>VLOOKUP(AH123,Database!B:B,1,0)</f>
        <v>NANOSC 415</v>
      </c>
      <c r="AK123" s="18"/>
      <c r="AL123" s="18"/>
      <c r="AM123" s="18"/>
      <c r="AN123" s="18"/>
      <c r="AO123" s="18"/>
      <c r="AP123" s="18"/>
      <c r="AQ123" s="18"/>
      <c r="AR123" s="18"/>
      <c r="AS123" s="18"/>
      <c r="AT123" s="18"/>
    </row>
    <row r="124" spans="1:46" ht="13.5" hidden="1"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t="s">
        <v>1409</v>
      </c>
      <c r="AI124" s="18" t="s">
        <v>1340</v>
      </c>
      <c r="AJ124" s="18" t="str">
        <f>VLOOKUP(AH124,Database!B:B,1,0)</f>
        <v>NANOSC 417</v>
      </c>
      <c r="AK124" s="18"/>
      <c r="AL124" s="18"/>
      <c r="AM124" s="18"/>
      <c r="AN124" s="18"/>
      <c r="AO124" s="18"/>
      <c r="AP124" s="18"/>
      <c r="AQ124" s="18"/>
      <c r="AR124" s="18"/>
      <c r="AS124" s="18"/>
      <c r="AT124" s="18"/>
    </row>
    <row r="125" spans="1:46" ht="13.5" hidden="1"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t="s">
        <v>1410</v>
      </c>
      <c r="AI125" s="18" t="s">
        <v>1340</v>
      </c>
      <c r="AJ125" s="18" t="str">
        <f>VLOOKUP(AH125,Database!B:B,1,0)</f>
        <v>NANOSC 499</v>
      </c>
      <c r="AK125" s="18"/>
      <c r="AL125" s="18"/>
      <c r="AM125" s="18"/>
      <c r="AN125" s="18"/>
      <c r="AO125" s="18"/>
      <c r="AP125" s="18"/>
      <c r="AQ125" s="18"/>
      <c r="AR125" s="18"/>
      <c r="AS125" s="18"/>
      <c r="AT125" s="18"/>
    </row>
    <row r="126" spans="1:46" ht="13.5" hidden="1"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t="s">
        <v>1424</v>
      </c>
      <c r="AI126" s="18" t="s">
        <v>1411</v>
      </c>
      <c r="AJ126" s="18" t="str">
        <f>VLOOKUP(AH126,Database!B:B,1,0)</f>
        <v>PEU 205</v>
      </c>
      <c r="AK126" s="18"/>
      <c r="AL126" s="18"/>
      <c r="AM126" s="18"/>
      <c r="AN126" s="18"/>
      <c r="AO126" s="18"/>
      <c r="AP126" s="18"/>
      <c r="AQ126" s="18"/>
      <c r="AR126" s="18"/>
      <c r="AS126" s="18"/>
      <c r="AT126" s="18"/>
    </row>
    <row r="127" spans="1:46" ht="13.5" hidden="1"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t="s">
        <v>1463</v>
      </c>
      <c r="AI127" s="18" t="s">
        <v>1411</v>
      </c>
      <c r="AJ127" s="18" t="str">
        <f>VLOOKUP(AH127,Database!B:B,1,0)</f>
        <v>PEU 228</v>
      </c>
      <c r="AK127" s="18"/>
      <c r="AL127" s="18"/>
      <c r="AM127" s="18"/>
      <c r="AN127" s="18"/>
      <c r="AO127" s="18"/>
      <c r="AP127" s="18"/>
      <c r="AQ127" s="18"/>
      <c r="AR127" s="18"/>
      <c r="AS127" s="18"/>
      <c r="AT127" s="18"/>
    </row>
    <row r="128" spans="1:46" ht="13.5" hidden="1"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t="s">
        <v>1464</v>
      </c>
      <c r="AI128" s="18" t="s">
        <v>1411</v>
      </c>
      <c r="AJ128" s="18" t="str">
        <f>VLOOKUP(AH128,Database!B:B,1,0)</f>
        <v>PEU 311</v>
      </c>
      <c r="AK128" s="18"/>
      <c r="AL128" s="18"/>
      <c r="AM128" s="18"/>
      <c r="AN128" s="18"/>
      <c r="AO128" s="18"/>
      <c r="AP128" s="18"/>
      <c r="AQ128" s="18"/>
      <c r="AR128" s="18"/>
      <c r="AS128" s="18"/>
      <c r="AT128" s="18"/>
    </row>
    <row r="129" spans="1:46" ht="13.5" hidden="1"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t="s">
        <v>1465</v>
      </c>
      <c r="AI129" s="18" t="s">
        <v>1411</v>
      </c>
      <c r="AJ129" s="18" t="str">
        <f>VLOOKUP(AH129,Database!B:B,1,0)</f>
        <v>PEU 323</v>
      </c>
      <c r="AK129" s="18"/>
      <c r="AL129" s="18"/>
      <c r="AM129" s="18"/>
      <c r="AN129" s="18"/>
      <c r="AO129" s="18"/>
      <c r="AP129" s="18"/>
      <c r="AQ129" s="18"/>
      <c r="AR129" s="18"/>
      <c r="AS129" s="18"/>
      <c r="AT129" s="18"/>
    </row>
    <row r="130" spans="1:46" ht="13.5" hidden="1"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t="s">
        <v>1471</v>
      </c>
      <c r="AI130" s="18" t="s">
        <v>1411</v>
      </c>
      <c r="AJ130" s="18" t="str">
        <f>VLOOKUP(AH130,Database!B:B,1,0)</f>
        <v>PEU 346</v>
      </c>
      <c r="AK130" s="18"/>
      <c r="AL130" s="18"/>
      <c r="AM130" s="18"/>
      <c r="AN130" s="18"/>
      <c r="AO130" s="18"/>
      <c r="AP130" s="18"/>
      <c r="AQ130" s="18"/>
      <c r="AR130" s="18"/>
      <c r="AS130" s="18"/>
      <c r="AT130" s="18"/>
    </row>
    <row r="131" spans="1:46" ht="13.5" hidden="1"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t="s">
        <v>1486</v>
      </c>
      <c r="AI131" s="18" t="s">
        <v>1411</v>
      </c>
      <c r="AJ131" s="18" t="str">
        <f>VLOOKUP(AH131,Database!B:B,1,0)</f>
        <v>PEU 403</v>
      </c>
      <c r="AK131" s="18"/>
      <c r="AL131" s="18"/>
      <c r="AM131" s="18"/>
      <c r="AN131" s="18"/>
      <c r="AO131" s="18"/>
      <c r="AP131" s="18"/>
      <c r="AQ131" s="18"/>
      <c r="AR131" s="18"/>
      <c r="AS131" s="18"/>
      <c r="AT131" s="18"/>
    </row>
    <row r="132" spans="1:46" ht="13.5" hidden="1"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t="s">
        <v>1496</v>
      </c>
      <c r="AI132" s="18" t="s">
        <v>1411</v>
      </c>
      <c r="AJ132" s="18" t="str">
        <f>VLOOKUP(AH132,Database!B:B,1,0)</f>
        <v>PEU 407</v>
      </c>
      <c r="AK132" s="18"/>
      <c r="AL132" s="18"/>
      <c r="AM132" s="18"/>
      <c r="AN132" s="18"/>
      <c r="AO132" s="18"/>
      <c r="AP132" s="18"/>
      <c r="AQ132" s="18"/>
      <c r="AR132" s="18"/>
      <c r="AS132" s="18"/>
      <c r="AT132" s="18"/>
    </row>
    <row r="133" spans="1:46" ht="13.5" hidden="1"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t="s">
        <v>1497</v>
      </c>
      <c r="AI133" s="18" t="s">
        <v>1411</v>
      </c>
      <c r="AJ133" s="18" t="str">
        <f>VLOOKUP(AH133,Database!B:B,1,0)</f>
        <v>PEU 430</v>
      </c>
      <c r="AK133" s="18"/>
      <c r="AL133" s="18"/>
      <c r="AM133" s="18"/>
      <c r="AN133" s="18"/>
      <c r="AO133" s="18"/>
      <c r="AP133" s="18"/>
      <c r="AQ133" s="18"/>
      <c r="AR133" s="18"/>
      <c r="AS133" s="18"/>
      <c r="AT133" s="18"/>
    </row>
    <row r="134" spans="1:46" ht="13.5" hidden="1"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t="s">
        <v>1507</v>
      </c>
      <c r="AI134" s="18" t="s">
        <v>1411</v>
      </c>
      <c r="AJ134" s="18" t="str">
        <f>VLOOKUP(AH134,Database!B:B,1,0)</f>
        <v>PEU 450</v>
      </c>
      <c r="AK134" s="18"/>
      <c r="AL134" s="18"/>
      <c r="AM134" s="18"/>
      <c r="AN134" s="18"/>
      <c r="AO134" s="18"/>
      <c r="AP134" s="18"/>
      <c r="AQ134" s="18"/>
      <c r="AR134" s="18"/>
      <c r="AS134" s="18"/>
      <c r="AT134" s="18"/>
    </row>
    <row r="135" spans="1:46" ht="13.5" hidden="1"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t="s">
        <v>1508</v>
      </c>
      <c r="AI135" s="18" t="s">
        <v>1411</v>
      </c>
      <c r="AJ135" s="18" t="str">
        <f>VLOOKUP(AH135,Database!B:B,1,0)</f>
        <v>PEU 453</v>
      </c>
      <c r="AK135" s="18"/>
      <c r="AL135" s="18"/>
      <c r="AM135" s="18"/>
      <c r="AN135" s="18"/>
      <c r="AO135" s="18"/>
      <c r="AP135" s="18"/>
      <c r="AQ135" s="18"/>
      <c r="AR135" s="18"/>
      <c r="AS135" s="18"/>
      <c r="AT135" s="18"/>
    </row>
    <row r="136" spans="1:46" ht="13.5" hidden="1"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t="s">
        <v>1509</v>
      </c>
      <c r="AI136" s="18" t="s">
        <v>1411</v>
      </c>
      <c r="AJ136" s="18" t="str">
        <f>VLOOKUP(AH136,Database!B:B,1,0)</f>
        <v>PEU 455</v>
      </c>
      <c r="AK136" s="18"/>
      <c r="AL136" s="18"/>
      <c r="AM136" s="18"/>
      <c r="AN136" s="18"/>
      <c r="AO136" s="18"/>
      <c r="AP136" s="18"/>
      <c r="AQ136" s="18"/>
      <c r="AR136" s="18"/>
      <c r="AS136" s="18"/>
      <c r="AT136" s="18"/>
    </row>
    <row r="137" spans="1:46" ht="13.5" hidden="1"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t="s">
        <v>871</v>
      </c>
      <c r="AI137" s="41" t="s">
        <v>803</v>
      </c>
      <c r="AJ137" s="18" t="str">
        <f>VLOOKUP(AH137,Database!B:B,1,0)</f>
        <v>PHIL 301</v>
      </c>
      <c r="AK137" s="18"/>
      <c r="AL137" s="18"/>
      <c r="AM137" s="18"/>
      <c r="AN137" s="18"/>
      <c r="AO137" s="18"/>
      <c r="AP137" s="18"/>
      <c r="AQ137" s="18"/>
      <c r="AR137" s="18"/>
      <c r="AS137" s="18"/>
      <c r="AT137" s="18"/>
    </row>
    <row r="138" spans="1:46" ht="13.5" hidden="1"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t="s">
        <v>1518</v>
      </c>
      <c r="AI138" s="18" t="s">
        <v>1411</v>
      </c>
      <c r="AJ138" s="18" t="str">
        <f>VLOOKUP(AH138,Database!B:B,1,0)</f>
        <v>PHYS 101</v>
      </c>
      <c r="AK138" s="18"/>
      <c r="AL138" s="18"/>
      <c r="AM138" s="18"/>
      <c r="AN138" s="18"/>
      <c r="AO138" s="18"/>
      <c r="AP138" s="18"/>
      <c r="AQ138" s="18"/>
      <c r="AR138" s="18"/>
      <c r="AS138" s="18"/>
      <c r="AT138" s="18"/>
    </row>
    <row r="139" spans="1:46" ht="13.5" hidden="1"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t="s">
        <v>1531</v>
      </c>
      <c r="AI139" s="18" t="s">
        <v>1411</v>
      </c>
      <c r="AJ139" s="18" t="str">
        <f>VLOOKUP(AH139,Database!B:B,1,0)</f>
        <v>PHYS 111</v>
      </c>
      <c r="AK139" s="18"/>
      <c r="AL139" s="18"/>
      <c r="AM139" s="18"/>
      <c r="AN139" s="18"/>
      <c r="AO139" s="18"/>
      <c r="AP139" s="18"/>
      <c r="AQ139" s="18"/>
      <c r="AR139" s="18"/>
      <c r="AS139" s="18"/>
      <c r="AT139" s="18"/>
    </row>
    <row r="140" spans="1:46" ht="13.5" hidden="1"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t="s">
        <v>1533</v>
      </c>
      <c r="AI140" s="18" t="s">
        <v>1411</v>
      </c>
      <c r="AJ140" s="18" t="str">
        <f>VLOOKUP(AH140,Database!B:B,1,0)</f>
        <v>PHYS 201</v>
      </c>
      <c r="AK140" s="18"/>
      <c r="AL140" s="18"/>
      <c r="AM140" s="18"/>
      <c r="AN140" s="18"/>
      <c r="AO140" s="18"/>
      <c r="AP140" s="18"/>
      <c r="AQ140" s="18"/>
      <c r="AR140" s="18"/>
      <c r="AS140" s="18"/>
      <c r="AT140" s="18"/>
    </row>
    <row r="141" spans="1:46" ht="13.5" hidden="1"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t="s">
        <v>1550</v>
      </c>
      <c r="AI141" s="18" t="s">
        <v>1411</v>
      </c>
      <c r="AJ141" s="18" t="str">
        <f>VLOOKUP(AH141,Database!B:B,1,0)</f>
        <v>PHYS 211</v>
      </c>
      <c r="AK141" s="18"/>
      <c r="AL141" s="18"/>
      <c r="AM141" s="18"/>
      <c r="AN141" s="18"/>
      <c r="AO141" s="18"/>
      <c r="AP141" s="18"/>
      <c r="AQ141" s="18"/>
      <c r="AR141" s="18"/>
      <c r="AS141" s="18"/>
      <c r="AT141" s="18"/>
    </row>
    <row r="142" spans="1:46" ht="13.5" hidden="1"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t="s">
        <v>1556</v>
      </c>
      <c r="AI142" s="18" t="s">
        <v>1552</v>
      </c>
      <c r="AJ142" s="18" t="str">
        <f>VLOOKUP(AH142,Database!B:B,1,0)</f>
        <v>REE 201</v>
      </c>
      <c r="AK142" s="18"/>
      <c r="AL142" s="18"/>
      <c r="AM142" s="18"/>
      <c r="AN142" s="18"/>
      <c r="AO142" s="18"/>
      <c r="AP142" s="18"/>
      <c r="AQ142" s="18"/>
      <c r="AR142" s="18"/>
      <c r="AS142" s="18"/>
      <c r="AT142" s="18"/>
    </row>
    <row r="143" spans="1:46" ht="13.5" hidden="1"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t="s">
        <v>1558</v>
      </c>
      <c r="AI143" s="18" t="s">
        <v>1552</v>
      </c>
      <c r="AJ143" s="18" t="str">
        <f>VLOOKUP(AH143,Database!B:B,1,0)</f>
        <v>REE 209</v>
      </c>
      <c r="AK143" s="18"/>
      <c r="AL143" s="18"/>
      <c r="AM143" s="18"/>
      <c r="AN143" s="18"/>
      <c r="AO143" s="18"/>
      <c r="AP143" s="18"/>
      <c r="AQ143" s="18"/>
      <c r="AR143" s="18"/>
      <c r="AS143" s="18"/>
      <c r="AT143" s="18"/>
    </row>
    <row r="144" spans="1:46" ht="13.5" hidden="1"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t="s">
        <v>1561</v>
      </c>
      <c r="AI144" s="18" t="s">
        <v>1552</v>
      </c>
      <c r="AJ144" s="18" t="str">
        <f>VLOOKUP(AH144,Database!B:B,1,0)</f>
        <v>REE 309</v>
      </c>
      <c r="AK144" s="18"/>
      <c r="AL144" s="18"/>
      <c r="AM144" s="18"/>
      <c r="AN144" s="18"/>
      <c r="AO144" s="18"/>
      <c r="AP144" s="18"/>
      <c r="AQ144" s="18"/>
      <c r="AR144" s="18"/>
      <c r="AS144" s="18"/>
      <c r="AT144" s="18"/>
    </row>
    <row r="145" spans="1:46" ht="13.5" hidden="1"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t="s">
        <v>1564</v>
      </c>
      <c r="AI145" s="18" t="s">
        <v>1552</v>
      </c>
      <c r="AJ145" s="18" t="str">
        <f>VLOOKUP(AH145,Database!B:B,1,0)</f>
        <v>REE 401</v>
      </c>
      <c r="AK145" s="18"/>
      <c r="AL145" s="18"/>
      <c r="AM145" s="18"/>
      <c r="AN145" s="18"/>
      <c r="AO145" s="18"/>
      <c r="AP145" s="18"/>
      <c r="AQ145" s="18"/>
      <c r="AR145" s="18"/>
      <c r="AS145" s="18"/>
      <c r="AT145" s="18"/>
    </row>
    <row r="146" spans="1:46" ht="13.5" hidden="1"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t="s">
        <v>1565</v>
      </c>
      <c r="AI146" s="18" t="s">
        <v>1552</v>
      </c>
      <c r="AJ146" s="18" t="str">
        <f>VLOOKUP(AH146,Database!B:B,1,0)</f>
        <v>REE 405</v>
      </c>
      <c r="AK146" s="18"/>
      <c r="AL146" s="18"/>
      <c r="AM146" s="18"/>
      <c r="AN146" s="18"/>
      <c r="AO146" s="18"/>
      <c r="AP146" s="18"/>
      <c r="AQ146" s="18"/>
      <c r="AR146" s="18"/>
      <c r="AS146" s="18"/>
      <c r="AT146" s="18"/>
    </row>
    <row r="147" spans="1:46" ht="13.5" hidden="1"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t="s">
        <v>1570</v>
      </c>
      <c r="AI147" s="18" t="s">
        <v>1552</v>
      </c>
      <c r="AJ147" s="18" t="str">
        <f>VLOOKUP(AH147,Database!B:B,1,0)</f>
        <v>REE 466</v>
      </c>
      <c r="AK147" s="18"/>
      <c r="AL147" s="18"/>
      <c r="AM147" s="18"/>
      <c r="AN147" s="18"/>
      <c r="AO147" s="18"/>
      <c r="AP147" s="18"/>
      <c r="AQ147" s="18"/>
      <c r="AR147" s="18"/>
      <c r="AS147" s="18"/>
      <c r="AT147" s="18"/>
    </row>
    <row r="148" spans="1:46" ht="13.5" hidden="1"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t="s">
        <v>1572</v>
      </c>
      <c r="AI148" s="18" t="s">
        <v>1552</v>
      </c>
      <c r="AJ148" s="18" t="str">
        <f>VLOOKUP(AH148,Database!B:B,1,0)</f>
        <v>REE 520</v>
      </c>
      <c r="AK148" s="18"/>
      <c r="AL148" s="18"/>
      <c r="AM148" s="18"/>
      <c r="AN148" s="18"/>
      <c r="AO148" s="18"/>
      <c r="AP148" s="18"/>
      <c r="AQ148" s="18"/>
      <c r="AR148" s="18"/>
      <c r="AS148" s="18"/>
      <c r="AT148" s="18"/>
    </row>
    <row r="149" spans="1:46" ht="13.5" hidden="1"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t="s">
        <v>1573</v>
      </c>
      <c r="AI149" s="18" t="s">
        <v>1552</v>
      </c>
      <c r="AJ149" s="18" t="str">
        <f>VLOOKUP(AH149,Database!B:B,1,0)</f>
        <v>REE 532</v>
      </c>
      <c r="AK149" s="18"/>
      <c r="AL149" s="18"/>
      <c r="AM149" s="18"/>
      <c r="AN149" s="18"/>
      <c r="AO149" s="18"/>
      <c r="AP149" s="18"/>
      <c r="AQ149" s="18"/>
      <c r="AR149" s="18"/>
      <c r="AS149" s="18"/>
      <c r="AT149" s="18"/>
    </row>
    <row r="150" spans="1:46" ht="13.5" hidden="1"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t="s">
        <v>1574</v>
      </c>
      <c r="AI150" s="18" t="s">
        <v>1552</v>
      </c>
      <c r="AJ150" s="18" t="str">
        <f>VLOOKUP(AH150,Database!B:B,1,0)</f>
        <v>REE 534</v>
      </c>
      <c r="AK150" s="18"/>
      <c r="AL150" s="18"/>
      <c r="AM150" s="18"/>
      <c r="AN150" s="18"/>
      <c r="AO150" s="18"/>
      <c r="AP150" s="18"/>
      <c r="AQ150" s="18"/>
      <c r="AR150" s="18"/>
      <c r="AS150" s="18"/>
      <c r="AT150" s="18"/>
    </row>
    <row r="151" spans="1:46" ht="13.5" hidden="1"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t="s">
        <v>878</v>
      </c>
      <c r="AI151" s="41" t="s">
        <v>803</v>
      </c>
      <c r="AJ151" s="18" t="str">
        <f>VLOOKUP(AH151,Database!B:B,1,0)</f>
        <v>SCH 201</v>
      </c>
      <c r="AK151" s="18"/>
      <c r="AL151" s="18"/>
      <c r="AM151" s="18"/>
      <c r="AN151" s="18"/>
      <c r="AO151" s="18"/>
      <c r="AP151" s="18"/>
      <c r="AQ151" s="18"/>
      <c r="AR151" s="18"/>
      <c r="AS151" s="18"/>
      <c r="AT151" s="18"/>
    </row>
    <row r="152" spans="1:46" ht="13.5" hidden="1"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t="s">
        <v>879</v>
      </c>
      <c r="AI152" s="41" t="s">
        <v>803</v>
      </c>
      <c r="AJ152" s="18" t="str">
        <f>VLOOKUP(AH152,Database!B:B,1,0)</f>
        <v>SCH 202</v>
      </c>
      <c r="AK152" s="18"/>
      <c r="AL152" s="18"/>
      <c r="AM152" s="18"/>
      <c r="AN152" s="18"/>
      <c r="AO152" s="18"/>
      <c r="AP152" s="18"/>
      <c r="AQ152" s="18"/>
      <c r="AR152" s="18"/>
      <c r="AS152" s="18"/>
      <c r="AT152" s="18"/>
    </row>
    <row r="153" spans="1:46" ht="13.5" hidden="1"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t="s">
        <v>890</v>
      </c>
      <c r="AI153" s="41" t="s">
        <v>803</v>
      </c>
      <c r="AJ153" s="18" t="str">
        <f>VLOOKUP(AH153,Database!B:B,1,0)</f>
        <v>SCH 206</v>
      </c>
      <c r="AK153" s="18"/>
      <c r="AL153" s="18"/>
      <c r="AM153" s="18"/>
      <c r="AN153" s="18"/>
      <c r="AO153" s="18"/>
      <c r="AP153" s="18"/>
      <c r="AQ153" s="18"/>
      <c r="AR153" s="18"/>
      <c r="AS153" s="18"/>
      <c r="AT153" s="18"/>
    </row>
    <row r="154" spans="1:46" ht="13.5" hidden="1"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t="s">
        <v>897</v>
      </c>
      <c r="AI154" s="41" t="s">
        <v>803</v>
      </c>
      <c r="AJ154" s="18" t="str">
        <f>VLOOKUP(AH154,Database!B:B,1,0)</f>
        <v>SCH 208</v>
      </c>
      <c r="AK154" s="18"/>
      <c r="AL154" s="18"/>
      <c r="AM154" s="18"/>
      <c r="AN154" s="18"/>
      <c r="AO154" s="18"/>
      <c r="AP154" s="18"/>
      <c r="AQ154" s="18"/>
      <c r="AR154" s="18"/>
      <c r="AS154" s="18"/>
      <c r="AT154" s="18"/>
    </row>
    <row r="155" spans="1:46" ht="13.5" hidden="1"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t="s">
        <v>902</v>
      </c>
      <c r="AI155" s="41" t="s">
        <v>803</v>
      </c>
      <c r="AJ155" s="18" t="str">
        <f>VLOOKUP(AH155,Database!B:B,1,0)</f>
        <v>SCH 232</v>
      </c>
      <c r="AK155" s="18"/>
      <c r="AL155" s="18"/>
      <c r="AM155" s="18"/>
      <c r="AN155" s="18"/>
      <c r="AO155" s="18"/>
      <c r="AP155" s="18"/>
      <c r="AQ155" s="18"/>
      <c r="AR155" s="18"/>
      <c r="AS155" s="18"/>
      <c r="AT155" s="18"/>
    </row>
    <row r="156" spans="1:46" ht="13.5" hidden="1"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t="s">
        <v>918</v>
      </c>
      <c r="AI156" s="41" t="s">
        <v>803</v>
      </c>
      <c r="AJ156" s="18" t="str">
        <f>VLOOKUP(AH156,Database!B:B,1,0)</f>
        <v>SCH 244</v>
      </c>
      <c r="AK156" s="18"/>
      <c r="AL156" s="18"/>
      <c r="AM156" s="18"/>
      <c r="AN156" s="18"/>
      <c r="AO156" s="18"/>
      <c r="AP156" s="18"/>
      <c r="AQ156" s="18"/>
      <c r="AR156" s="18"/>
      <c r="AS156" s="18"/>
      <c r="AT156" s="18"/>
    </row>
    <row r="157" spans="1:46" ht="13.5" hidden="1"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t="s">
        <v>919</v>
      </c>
      <c r="AI157" s="41" t="s">
        <v>803</v>
      </c>
      <c r="AJ157" s="18" t="str">
        <f>VLOOKUP(AH157,Database!B:B,1,0)</f>
        <v>SCH 258</v>
      </c>
      <c r="AK157" s="18"/>
      <c r="AL157" s="18"/>
      <c r="AM157" s="18"/>
      <c r="AN157" s="18"/>
      <c r="AO157" s="18"/>
      <c r="AP157" s="18"/>
      <c r="AQ157" s="18"/>
      <c r="AR157" s="18"/>
      <c r="AS157" s="18"/>
      <c r="AT157" s="18"/>
    </row>
    <row r="158" spans="1:46" ht="13.5" hidden="1"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t="s">
        <v>920</v>
      </c>
      <c r="AI158" s="41" t="s">
        <v>803</v>
      </c>
      <c r="AJ158" s="18" t="str">
        <f>VLOOKUP(AH158,Database!B:B,1,0)</f>
        <v>SCH 260</v>
      </c>
      <c r="AK158" s="18"/>
      <c r="AL158" s="18"/>
      <c r="AM158" s="18"/>
      <c r="AN158" s="18"/>
      <c r="AO158" s="18"/>
      <c r="AP158" s="18"/>
      <c r="AQ158" s="18"/>
      <c r="AR158" s="18"/>
      <c r="AS158" s="18"/>
      <c r="AT158" s="18"/>
    </row>
    <row r="159" spans="1:46" ht="13.5" hidden="1"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t="s">
        <v>928</v>
      </c>
      <c r="AI159" s="41" t="s">
        <v>803</v>
      </c>
      <c r="AJ159" s="18" t="str">
        <f>VLOOKUP(AH159,Database!B:B,1,0)</f>
        <v>SCH 262</v>
      </c>
      <c r="AK159" s="18"/>
      <c r="AL159" s="18"/>
      <c r="AM159" s="18"/>
      <c r="AN159" s="18"/>
      <c r="AO159" s="18"/>
      <c r="AP159" s="18"/>
      <c r="AQ159" s="18"/>
      <c r="AR159" s="18"/>
      <c r="AS159" s="18"/>
      <c r="AT159" s="18"/>
    </row>
    <row r="160" spans="1:46" ht="13.5" hidden="1"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t="s">
        <v>929</v>
      </c>
      <c r="AI160" s="41" t="s">
        <v>803</v>
      </c>
      <c r="AJ160" s="18" t="str">
        <f>VLOOKUP(AH160,Database!B:B,1,0)</f>
        <v>SCH 263</v>
      </c>
      <c r="AK160" s="18"/>
      <c r="AL160" s="18"/>
      <c r="AM160" s="18"/>
      <c r="AN160" s="18"/>
      <c r="AO160" s="18"/>
      <c r="AP160" s="18"/>
      <c r="AQ160" s="18"/>
      <c r="AR160" s="18"/>
      <c r="AS160" s="18"/>
      <c r="AT160" s="18"/>
    </row>
    <row r="161" spans="1:46" ht="13.5" hidden="1"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t="s">
        <v>937</v>
      </c>
      <c r="AI161" s="41" t="s">
        <v>803</v>
      </c>
      <c r="AJ161" s="18" t="str">
        <f>VLOOKUP(AH161,Database!B:B,1,0)</f>
        <v>SCH 264</v>
      </c>
      <c r="AK161" s="18"/>
      <c r="AL161" s="18"/>
      <c r="AM161" s="18"/>
      <c r="AN161" s="18"/>
      <c r="AO161" s="18"/>
      <c r="AP161" s="18"/>
      <c r="AQ161" s="18"/>
      <c r="AR161" s="18"/>
      <c r="AS161" s="18"/>
      <c r="AT161" s="18"/>
    </row>
    <row r="162" spans="1:46" ht="13.5" hidden="1"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41" t="s">
        <v>938</v>
      </c>
      <c r="AI162" s="41" t="s">
        <v>803</v>
      </c>
      <c r="AJ162" s="18" t="str">
        <f>VLOOKUP(AH162,Database!B:B,1,0)</f>
        <v>SCH 273</v>
      </c>
      <c r="AK162" s="18"/>
      <c r="AL162" s="18"/>
      <c r="AM162" s="18"/>
      <c r="AN162" s="18"/>
      <c r="AO162" s="18"/>
      <c r="AP162" s="18"/>
      <c r="AQ162" s="18"/>
      <c r="AR162" s="18"/>
      <c r="AS162" s="18"/>
      <c r="AT162" s="18"/>
    </row>
    <row r="163" spans="1:46" ht="13.5" hidden="1"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41" t="s">
        <v>939</v>
      </c>
      <c r="AI163" s="41" t="s">
        <v>803</v>
      </c>
      <c r="AJ163" s="18" t="str">
        <f>VLOOKUP(AH163,Database!B:B,1,0)</f>
        <v>SCH 274</v>
      </c>
      <c r="AK163" s="18"/>
      <c r="AL163" s="18"/>
      <c r="AM163" s="18"/>
      <c r="AN163" s="18"/>
      <c r="AO163" s="18"/>
      <c r="AP163" s="18"/>
      <c r="AQ163" s="18"/>
      <c r="AR163" s="18"/>
      <c r="AS163" s="18"/>
      <c r="AT163" s="18"/>
    </row>
    <row r="164" spans="1:46" ht="13.5" hidden="1"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t="s">
        <v>1579</v>
      </c>
      <c r="AI164" s="41" t="s">
        <v>1576</v>
      </c>
      <c r="AJ164" s="18" t="str">
        <f>VLOOKUP(AH164,Database!B:B,1,0)</f>
        <v>SPC 201</v>
      </c>
      <c r="AK164" s="18"/>
      <c r="AL164" s="18"/>
      <c r="AM164" s="18"/>
      <c r="AN164" s="18"/>
      <c r="AO164" s="18"/>
      <c r="AP164" s="18"/>
      <c r="AQ164" s="18"/>
      <c r="AR164" s="18"/>
      <c r="AS164" s="18"/>
      <c r="AT164" s="18"/>
    </row>
    <row r="165" spans="1:46" ht="13.5" hidden="1"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t="s">
        <v>1580</v>
      </c>
      <c r="AI165" s="41" t="s">
        <v>1576</v>
      </c>
      <c r="AJ165" s="18" t="str">
        <f>VLOOKUP(AH165,Database!B:B,1,0)</f>
        <v>SPC 208</v>
      </c>
      <c r="AK165" s="18"/>
      <c r="AL165" s="18"/>
      <c r="AM165" s="18"/>
      <c r="AN165" s="18"/>
      <c r="AO165" s="18"/>
      <c r="AP165" s="18"/>
      <c r="AQ165" s="18"/>
      <c r="AR165" s="18"/>
      <c r="AS165" s="18"/>
      <c r="AT165" s="18"/>
    </row>
    <row r="166" spans="1:46" ht="13.5" hidden="1"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t="s">
        <v>1581</v>
      </c>
      <c r="AI166" s="41" t="s">
        <v>1576</v>
      </c>
      <c r="AJ166" s="18" t="str">
        <f>VLOOKUP(AH166,Database!B:B,1,0)</f>
        <v>SPC 209</v>
      </c>
      <c r="AK166" s="18"/>
      <c r="AL166" s="18"/>
      <c r="AM166" s="18"/>
      <c r="AN166" s="18"/>
      <c r="AO166" s="18"/>
      <c r="AP166" s="18"/>
      <c r="AQ166" s="18"/>
      <c r="AR166" s="18"/>
      <c r="AS166" s="18"/>
      <c r="AT166" s="18"/>
    </row>
    <row r="167" spans="1:46" ht="13.5" hidden="1"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t="s">
        <v>1585</v>
      </c>
      <c r="AI167" s="41" t="s">
        <v>1576</v>
      </c>
      <c r="AJ167" s="18" t="str">
        <f>VLOOKUP(AH167,Database!B:B,1,0)</f>
        <v>SPC 491</v>
      </c>
      <c r="AK167" s="18"/>
      <c r="AL167" s="18"/>
      <c r="AM167" s="18"/>
      <c r="AN167" s="18"/>
      <c r="AO167" s="18"/>
      <c r="AP167" s="18"/>
      <c r="AQ167" s="18"/>
      <c r="AR167" s="18"/>
      <c r="AS167" s="18"/>
      <c r="AT167" s="18"/>
    </row>
    <row r="168" spans="1:46" ht="13.5" hidden="1"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row>
    <row r="169" spans="1:46" ht="13.5" hidden="1"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row>
    <row r="170" spans="1:46" ht="13.5" hidden="1"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row>
    <row r="171" spans="1:46" ht="13.5" hidden="1"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row>
    <row r="172" spans="1:46" ht="13.5" hidden="1"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row>
    <row r="173" spans="1:46" ht="13.5" hidden="1"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row>
    <row r="174" spans="1:46" ht="13.5" hidden="1"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4.42578125" defaultRowHeight="15.75" customHeight="1"/>
  <cols>
    <col min="1" max="2" width="9.140625" customWidth="1"/>
    <col min="3" max="3" width="9.140625" hidden="1" customWidth="1"/>
  </cols>
  <sheetData>
    <row r="1" spans="1:3" ht="15.75" customHeight="1">
      <c r="A1" s="34" t="s">
        <v>0</v>
      </c>
      <c r="B1" s="34" t="s">
        <v>1590</v>
      </c>
      <c r="C1" s="34" t="s">
        <v>1590</v>
      </c>
    </row>
    <row r="2" spans="1:3" ht="15.75" customHeight="1">
      <c r="A2" s="35" t="str">
        <f t="array" aca="1" ref="A2:A12" ca="1">TRANSPOSE('Fl 19 Follow up'!AJ1:AT1)</f>
        <v>BMS</v>
      </c>
      <c r="B2" s="36">
        <f t="shared" ref="B2:B12" ca="1" si="0">LEFT(C2,2)/RIGHT(C2,2)</f>
        <v>1</v>
      </c>
      <c r="C2" s="35" t="str">
        <f t="array" aca="1" ref="C2" ca="1">INDEX('Fl 19 Follow up'!$A$1:$AI$1,1,MATCH(A2,'Fl 19 Follow up'!$A$1:$AI$1,0)+1)</f>
        <v>27 / 27</v>
      </c>
    </row>
    <row r="3" spans="1:3" ht="15.75" customHeight="1">
      <c r="A3" s="35" t="str">
        <f ca="1"/>
        <v>CIE</v>
      </c>
      <c r="B3" s="36">
        <f t="shared" ca="1" si="0"/>
        <v>1</v>
      </c>
      <c r="C3" s="35" t="str">
        <f t="array" aca="1" ref="C3" ca="1">INDEX('Fl 19 Follow up'!$A$1:$AI$1,1,MATCH(A3,'Fl 19 Follow up'!$A$1:$AI$1,0)+1)</f>
        <v>19 / 19</v>
      </c>
    </row>
    <row r="4" spans="1:3" ht="15.75" customHeight="1">
      <c r="A4" s="35" t="str">
        <f ca="1"/>
        <v>ENV</v>
      </c>
      <c r="B4" s="36">
        <f t="shared" ca="1" si="0"/>
        <v>1</v>
      </c>
      <c r="C4" s="35" t="str">
        <f t="array" aca="1" ref="C4" ca="1">INDEX('Fl 19 Follow up'!$A$1:$AI$1,1,MATCH(A4,'Fl 19 Follow up'!$A$1:$AI$1,0)+1)</f>
        <v>16 / 16</v>
      </c>
    </row>
    <row r="5" spans="1:3" ht="15.75" customHeight="1">
      <c r="A5" s="35" t="str">
        <f ca="1"/>
        <v>GenEd</v>
      </c>
      <c r="B5" s="36">
        <f t="shared" ca="1" si="0"/>
        <v>1</v>
      </c>
      <c r="C5" s="35" t="str">
        <f t="array" aca="1" ref="C5" ca="1">INDEX('Fl 19 Follow up'!$A$1:$AI$1,1,MATCH(A5,'Fl 19 Follow up'!$A$1:$AI$1,0)+1)</f>
        <v>17 / 17</v>
      </c>
    </row>
    <row r="6" spans="1:3" ht="15.75" customHeight="1">
      <c r="A6" s="35" t="str">
        <f ca="1"/>
        <v>MATH</v>
      </c>
      <c r="B6" s="36">
        <f t="shared" ca="1" si="0"/>
        <v>1</v>
      </c>
      <c r="C6" s="35" t="str">
        <f t="array" aca="1" ref="C6" ca="1">INDEX('Fl 19 Follow up'!$A$1:$AI$1,1,MATCH(A6,'Fl 19 Follow up'!$A$1:$AI$1,0)+1)</f>
        <v>9 / 9</v>
      </c>
    </row>
    <row r="7" spans="1:3" ht="15.75" customHeight="1">
      <c r="A7" s="35" t="str">
        <f ca="1"/>
        <v>MATSCI</v>
      </c>
      <c r="B7" s="36">
        <f t="shared" ca="1" si="0"/>
        <v>1</v>
      </c>
      <c r="C7" s="35" t="str">
        <f t="array" aca="1" ref="C7" ca="1">INDEX('Fl 19 Follow up'!$A$1:$AI$1,1,MATCH(A7,'Fl 19 Follow up'!$A$1:$AI$1,0)+1)</f>
        <v>11 / 11</v>
      </c>
    </row>
    <row r="8" spans="1:3" ht="15.75" customHeight="1">
      <c r="A8" s="35" t="str">
        <f ca="1"/>
        <v>NANENG</v>
      </c>
      <c r="B8" s="36">
        <f t="shared" ca="1" si="0"/>
        <v>1</v>
      </c>
      <c r="C8" s="35" t="str">
        <f t="array" aca="1" ref="C8" ca="1">INDEX('Fl 19 Follow up'!$A$1:$AI$1,1,MATCH(A8,'Fl 19 Follow up'!$A$1:$AI$1,0)+1)</f>
        <v>16 / 16</v>
      </c>
    </row>
    <row r="9" spans="1:3" ht="15.75" customHeight="1">
      <c r="A9" s="35" t="str">
        <f ca="1"/>
        <v>NANOSC</v>
      </c>
      <c r="B9" s="36">
        <f t="shared" ca="1" si="0"/>
        <v>1</v>
      </c>
      <c r="C9" s="35" t="str">
        <f t="array" aca="1" ref="C9" ca="1">INDEX('Fl 19 Follow up'!$A$1:$AI$1,1,MATCH(A9,'Fl 19 Follow up'!$A$1:$AI$1,0)+1)</f>
        <v>20 / 20</v>
      </c>
    </row>
    <row r="10" spans="1:3" ht="15.75" customHeight="1">
      <c r="A10" s="35" t="str">
        <f ca="1"/>
        <v>PEU</v>
      </c>
      <c r="B10" s="36">
        <f t="shared" ca="1" si="0"/>
        <v>1</v>
      </c>
      <c r="C10" s="35" t="str">
        <f t="array" aca="1" ref="C10" ca="1">INDEX('Fl 19 Follow up'!$A$1:$AI$1,1,MATCH(A10,'Fl 19 Follow up'!$A$1:$AI$1,0)+1)</f>
        <v>15 / 15</v>
      </c>
    </row>
    <row r="11" spans="1:3" ht="15.75" customHeight="1">
      <c r="A11" s="35" t="str">
        <f ca="1"/>
        <v>REE</v>
      </c>
      <c r="B11" s="36">
        <f t="shared" ca="1" si="0"/>
        <v>1</v>
      </c>
      <c r="C11" s="35" t="str">
        <f t="array" aca="1" ref="C11" ca="1">INDEX('Fl 19 Follow up'!$A$1:$AI$1,1,MATCH(A11,'Fl 19 Follow up'!$A$1:$AI$1,0)+1)</f>
        <v>11 / 11</v>
      </c>
    </row>
    <row r="12" spans="1:3" ht="15.75" customHeight="1">
      <c r="A12" s="35" t="str">
        <f ca="1"/>
        <v>SPC</v>
      </c>
      <c r="B12" s="36">
        <f t="shared" ca="1" si="0"/>
        <v>1</v>
      </c>
      <c r="C12" s="35" t="str">
        <f t="array" aca="1" ref="C12" ca="1">INDEX('Fl 19 Follow up'!$A$1:$AI$1,1,MATCH(A12,'Fl 19 Follow up'!$A$1:$AI$1,0)+1)</f>
        <v>5 / 5</v>
      </c>
    </row>
  </sheetData>
  <conditionalFormatting sqref="B2:B12">
    <cfRule type="colorScale" priority="1">
      <colorScale>
        <cfvo type="min"/>
        <cfvo type="percentile" val="50"/>
        <cfvo type="max"/>
        <color rgb="FFE67C73"/>
        <color rgb="FFFFFFFF"/>
        <color rgb="FF57BB8A"/>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2"/>
  <sheetViews>
    <sheetView workbookViewId="0"/>
  </sheetViews>
  <sheetFormatPr defaultColWidth="14.42578125" defaultRowHeight="15.75" customHeight="1"/>
  <sheetData>
    <row r="1" spans="1:1" ht="15.75" customHeight="1">
      <c r="A1" s="37" t="s">
        <v>1591</v>
      </c>
    </row>
    <row r="2" spans="1:1" ht="15.75" customHeight="1">
      <c r="A2" s="38" t="s">
        <v>17</v>
      </c>
    </row>
    <row r="3" spans="1:1" ht="15.75" customHeight="1">
      <c r="A3" s="38" t="s">
        <v>307</v>
      </c>
    </row>
    <row r="4" spans="1:1" ht="15.75" customHeight="1">
      <c r="A4" s="38" t="s">
        <v>562</v>
      </c>
    </row>
    <row r="5" spans="1:1" ht="15.75" customHeight="1">
      <c r="A5" s="38" t="s">
        <v>1019</v>
      </c>
    </row>
    <row r="6" spans="1:1" ht="15.75" customHeight="1">
      <c r="A6" s="38" t="s">
        <v>1151</v>
      </c>
    </row>
    <row r="7" spans="1:1" ht="15.75" customHeight="1">
      <c r="A7" s="38" t="s">
        <v>1340</v>
      </c>
    </row>
    <row r="8" spans="1:1" ht="15.75" customHeight="1">
      <c r="A8" s="38" t="s">
        <v>1411</v>
      </c>
    </row>
    <row r="9" spans="1:1" ht="15.75" customHeight="1">
      <c r="A9" s="38" t="s">
        <v>1552</v>
      </c>
    </row>
    <row r="10" spans="1:1" ht="15.75" customHeight="1">
      <c r="A10" s="38" t="s">
        <v>1576</v>
      </c>
    </row>
    <row r="11" spans="1:1" ht="15.75" customHeight="1">
      <c r="A11" s="38" t="s">
        <v>945</v>
      </c>
    </row>
    <row r="12" spans="1:1" ht="15.75" customHeight="1">
      <c r="A12" s="38"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Database</vt:lpstr>
      <vt:lpstr>Processing Database</vt:lpstr>
      <vt:lpstr>Fl 19 Follow up</vt:lpstr>
      <vt:lpstr>Fl 19 Summary</vt:lpstr>
      <vt:lpstr>Backlog</vt:lpstr>
      <vt:lpstr>Programs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 Dakrory</dc:creator>
  <cp:lastModifiedBy>AhmedDakrory</cp:lastModifiedBy>
  <dcterms:created xsi:type="dcterms:W3CDTF">2019-12-10T20:53:54Z</dcterms:created>
  <dcterms:modified xsi:type="dcterms:W3CDTF">2020-04-27T17:32:08Z</dcterms:modified>
</cp:coreProperties>
</file>