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hmed\Downloads\excel\course 1\C1W5-Workbooks\"/>
    </mc:Choice>
  </mc:AlternateContent>
  <xr:revisionPtr revIDLastSave="0" documentId="13_ncr:1_{CB760956-A184-449B-BCB8-33C0B59A38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ees" sheetId="4" r:id="rId1"/>
    <sheet name="Lookup Lists" sheetId="6" r:id="rId2"/>
  </sheets>
  <definedNames>
    <definedName name="Caterer">#REF!</definedName>
    <definedName name="caterer_costs">#REF!</definedName>
    <definedName name="Catering">#REF!</definedName>
    <definedName name="Guests">#REF!</definedName>
    <definedName name="prices">#REF!</definedName>
    <definedName name="Profit">#REF!</definedName>
    <definedName name="Seating">Attendees!$R$7:$R$368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Attendees!#REF!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nue">#REF!</definedName>
    <definedName name="venue_costs">#REF!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" i="4" l="1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V19" i="4"/>
  <c r="V20" i="4"/>
  <c r="V21" i="4"/>
  <c r="V22" i="4"/>
  <c r="U24" i="4"/>
  <c r="V15" i="4" l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U26" i="4" l="1"/>
  <c r="V16" i="4"/>
  <c r="U25" i="4" l="1"/>
  <c r="U29" i="4" l="1"/>
  <c r="U34" i="4"/>
  <c r="U33" i="4"/>
  <c r="U32" i="4"/>
  <c r="U31" i="4"/>
  <c r="U35" i="4"/>
  <c r="U30" i="4"/>
  <c r="V14" i="4" l="1"/>
</calcChain>
</file>

<file path=xl/sharedStrings.xml><?xml version="1.0" encoding="utf-8"?>
<sst xmlns="http://schemas.openxmlformats.org/spreadsheetml/2006/main" count="2334" uniqueCount="921">
  <si>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</si>
  <si>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</si>
  <si>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</si>
  <si>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</si>
  <si>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</si>
  <si>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</si>
  <si>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</si>
  <si>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</si>
  <si>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</si>
  <si>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</si>
  <si>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</si>
  <si>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</si>
  <si>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</si>
  <si>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</si>
  <si>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</si>
  <si>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</si>
  <si>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</si>
  <si>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</si>
  <si>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</si>
  <si>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</si>
  <si>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</si>
  <si>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</si>
  <si>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</si>
  <si>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</si>
  <si>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</si>
  <si>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</si>
  <si>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</si>
  <si>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</si>
  <si>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</si>
  <si>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</si>
  <si>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</si>
  <si>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</si>
  <si>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</si>
  <si>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</si>
  <si>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</si>
  <si>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</si>
  <si>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</si>
  <si>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</si>
  <si>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</si>
  <si>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</si>
  <si>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</si>
  <si>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</si>
  <si>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</si>
  <si>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</si>
  <si>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</si>
  <si>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</si>
  <si>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</si>
  <si>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</si>
  <si>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</si>
  <si>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</si>
  <si>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</si>
  <si>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</si>
  <si>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</si>
  <si>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</si>
  <si>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</si>
  <si>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</si>
  <si>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</si>
  <si>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</si>
  <si>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</si>
  <si>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</si>
  <si>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</si>
  <si>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</si>
  <si>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</si>
  <si>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</si>
  <si>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</si>
  <si>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</si>
  <si>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</si>
  <si>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</si>
  <si>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</si>
  <si>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</si>
  <si>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</si>
  <si>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</si>
  <si>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</si>
  <si>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</si>
  <si>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</si>
  <si>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</si>
  <si>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</si>
  <si>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</si>
  <si>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</si>
  <si>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</si>
  <si>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</si>
  <si>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</si>
  <si>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</si>
  <si>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</si>
  <si>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</si>
  <si>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</si>
  <si>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</si>
  <si>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</si>
  <si>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</si>
  <si>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</si>
  <si>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</si>
  <si>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</si>
  <si>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</si>
  <si>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</si>
  <si>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</si>
  <si>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</si>
  <si>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</si>
  <si>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</si>
  <si>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</si>
  <si>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</si>
  <si>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</si>
  <si>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</si>
  <si>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</si>
  <si>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</si>
  <si>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</si>
  <si>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</si>
  <si>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</si>
  <si>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</si>
  <si>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</si>
  <si>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</si>
  <si>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</si>
  <si>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</si>
  <si>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</si>
  <si>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</si>
  <si>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</si>
  <si>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</si>
  <si>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</si>
  <si>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</si>
  <si>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</si>
  <si>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</si>
  <si>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</si>
  <si>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</si>
  <si>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</si>
  <si>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</si>
  <si>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</si>
  <si>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</si>
  <si>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</si>
  <si>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</si>
  <si>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</si>
  <si>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</si>
  <si>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</si>
  <si>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</si>
  <si>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</si>
  <si>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</si>
  <si>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</si>
  <si>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</si>
  <si>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</si>
  <si>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</si>
  <si>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</si>
  <si>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</si>
  <si>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</si>
  <si>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</si>
  <si>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</si>
  <si>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</si>
  <si>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</si>
  <si>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</si>
  <si>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</si>
  <si>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</si>
  <si>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</si>
  <si>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</si>
  <si>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</si>
  <si>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</si>
  <si>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</si>
  <si>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</si>
  <si>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</si>
  <si>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</si>
  <si>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</si>
  <si>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</si>
  <si>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</si>
  <si>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</si>
  <si>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</si>
  <si>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</si>
  <si>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</si>
  <si>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</si>
  <si>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</si>
  <si>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</si>
  <si>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</si>
  <si>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</si>
  <si>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</si>
  <si>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</si>
  <si>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</si>
  <si>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</si>
  <si>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</si>
  <si>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</si>
  <si>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</si>
  <si>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</si>
  <si>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</si>
  <si>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</si>
  <si>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</si>
  <si>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</si>
  <si>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</si>
  <si>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</si>
  <si>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</si>
  <si>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</si>
  <si>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</si>
  <si>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</si>
  <si>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</si>
  <si>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</si>
  <si>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</si>
  <si>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</si>
  <si>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</si>
  <si>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</si>
  <si>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</si>
  <si>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</si>
  <si>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</si>
  <si>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</si>
  <si>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</si>
  <si>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</si>
  <si>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</si>
  <si>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</si>
  <si>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</si>
  <si>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</si>
  <si>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</si>
  <si>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</si>
  <si>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</si>
  <si>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</si>
  <si>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</si>
  <si>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</si>
  <si>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</si>
  <si>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</si>
  <si>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</si>
  <si>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</si>
  <si>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</si>
  <si>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</si>
  <si>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</si>
  <si>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</si>
  <si>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</si>
  <si>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</si>
  <si>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</si>
  <si>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</si>
  <si>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</si>
  <si>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</si>
  <si>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</si>
  <si>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</si>
  <si>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</si>
  <si>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</si>
  <si>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</si>
  <si>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</si>
  <si>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</si>
  <si>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</si>
  <si>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</si>
  <si>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</si>
  <si>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</si>
  <si>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</si>
  <si>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</si>
  <si>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</si>
  <si>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</si>
  <si>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</si>
  <si>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</si>
  <si>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</si>
  <si>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</si>
  <si>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</si>
  <si>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</si>
  <si>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</si>
  <si>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</si>
  <si>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</si>
  <si>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</si>
  <si>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</si>
  <si>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</si>
  <si>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</si>
  <si>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</si>
  <si>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</si>
  <si>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</si>
  <si>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</si>
  <si>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</si>
  <si>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</si>
  <si>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</si>
  <si>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</si>
  <si>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</si>
  <si>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</si>
  <si>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</si>
  <si>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</si>
  <si>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</si>
  <si>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</si>
  <si>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</si>
  <si>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</si>
  <si>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</si>
  <si>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</si>
  <si>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</si>
  <si>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</si>
  <si>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</si>
  <si>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</si>
  <si>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</si>
  <si>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</si>
  <si>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</si>
  <si>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</si>
  <si>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</si>
  <si>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</si>
  <si>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</si>
  <si>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</si>
  <si>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</si>
  <si>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</si>
  <si>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</si>
  <si>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</si>
  <si>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</si>
  <si>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</si>
  <si>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</si>
  <si>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</si>
  <si>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</si>
  <si>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</si>
  <si>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</si>
  <si>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</si>
  <si>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</si>
  <si>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</si>
  <si>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</si>
  <si>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</si>
  <si>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</si>
  <si>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</si>
  <si>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</si>
  <si>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</si>
  <si>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</si>
  <si>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</si>
  <si>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</si>
  <si>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</si>
  <si>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</si>
  <si>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</si>
  <si>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</si>
  <si>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</si>
  <si>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</si>
  <si>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</si>
  <si>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</si>
  <si>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</si>
  <si>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</si>
  <si>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</si>
  <si>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</si>
  <si>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</si>
  <si>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</si>
  <si>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</si>
  <si>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</si>
  <si>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</si>
  <si>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</si>
  <si>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</si>
  <si>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</si>
  <si>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</si>
  <si>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</si>
  <si>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</si>
  <si>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</si>
  <si>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</si>
  <si>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</si>
  <si>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</si>
  <si>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</si>
  <si>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</si>
  <si>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</si>
  <si>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</si>
  <si>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</si>
  <si>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</si>
  <si>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</si>
  <si>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</si>
  <si>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</si>
  <si>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</si>
  <si>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</si>
  <si>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</si>
  <si>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</si>
  <si>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</si>
  <si>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</si>
  <si>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</si>
  <si>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</si>
  <si>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</si>
  <si>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</si>
  <si>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</si>
  <si>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</si>
  <si>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</si>
  <si>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</si>
  <si>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</si>
  <si>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</si>
  <si>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</si>
  <si>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</si>
  <si>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</si>
  <si>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</si>
  <si>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</si>
  <si>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</si>
  <si>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</si>
  <si>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</si>
  <si>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</si>
  <si>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</si>
  <si>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</si>
  <si>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</si>
  <si>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</si>
  <si>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</si>
  <si>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</si>
  <si>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</si>
  <si>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</si>
  <si>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</si>
  <si>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</si>
  <si>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</si>
  <si>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</si>
  <si>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</si>
  <si>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</si>
  <si>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</si>
  <si>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</si>
  <si>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</si>
  <si>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</si>
  <si>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</si>
  <si>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</si>
  <si>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</si>
  <si>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</si>
  <si>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</si>
  <si>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</si>
  <si>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</si>
  <si>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</si>
  <si>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</si>
  <si>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</si>
  <si>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</si>
  <si>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</si>
  <si>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</si>
  <si>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</si>
  <si>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</si>
  <si>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</si>
  <si>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</si>
  <si>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</si>
  <si>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</si>
  <si>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</si>
  <si>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</si>
  <si>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</si>
  <si>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</si>
  <si>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</si>
  <si>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</si>
  <si>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</si>
  <si>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</si>
  <si>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</si>
  <si>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</si>
  <si>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</si>
  <si>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</si>
  <si>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</si>
  <si>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</si>
  <si>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</si>
  <si>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</si>
  <si>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</si>
  <si>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</si>
  <si>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</si>
  <si>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</si>
  <si>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</si>
  <si>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</si>
  <si>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</si>
  <si>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</si>
  <si>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</si>
  <si>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</si>
  <si>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</si>
  <si>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</si>
  <si>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</si>
  <si>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</si>
  <si>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</si>
  <si>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</si>
  <si>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</si>
  <si>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</si>
  <si>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</si>
  <si>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</si>
  <si>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</si>
  <si>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</si>
  <si>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</si>
  <si>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</si>
  <si>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</si>
  <si>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</si>
  <si>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</si>
  <si>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</si>
  <si>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</si>
  <si>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</si>
  <si>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</si>
  <si>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</si>
  <si>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</si>
  <si>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</si>
  <si>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</si>
  <si>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</si>
  <si>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</si>
  <si>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</si>
  <si>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</si>
  <si>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</si>
  <si>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</si>
  <si>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</si>
  <si>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</si>
  <si>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</si>
  <si>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</si>
  <si>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</si>
  <si>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</si>
  <si>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</si>
  <si>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</si>
  <si>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</si>
  <si>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</si>
  <si>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</si>
  <si>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</si>
  <si>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</si>
  <si>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</si>
  <si>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</si>
  <si>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</si>
  <si>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</si>
  <si>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</si>
  <si>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</si>
  <si>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</si>
  <si>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</si>
  <si>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</si>
  <si>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</si>
  <si>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</si>
  <si>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</si>
  <si>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</si>
  <si>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</si>
  <si>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</si>
  <si>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</si>
  <si>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</si>
  <si>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</si>
  <si>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</si>
  <si>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</si>
  <si>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</si>
  <si>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</si>
  <si>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</si>
  <si>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</si>
  <si>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</si>
  <si>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</si>
  <si>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</si>
  <si>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</si>
  <si>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</si>
  <si>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</si>
  <si>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</si>
  <si>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</si>
  <si>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</si>
  <si>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</si>
  <si>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</si>
  <si>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</si>
  <si>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</si>
  <si>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</si>
  <si>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</si>
  <si>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</si>
  <si>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</si>
  <si>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</si>
  <si>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</si>
  <si>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</si>
  <si>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</si>
  <si>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</si>
  <si>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</si>
  <si>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</si>
  <si>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</si>
  <si>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</si>
  <si>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</si>
  <si>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</si>
  <si>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</si>
  <si>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</si>
  <si>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</si>
  <si>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</si>
  <si>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</si>
  <si>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</si>
  <si>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</si>
  <si>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</si>
  <si>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</si>
  <si>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</si>
  <si>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</si>
  <si>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</si>
  <si>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</si>
  <si>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</si>
  <si>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</si>
  <si>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</si>
  <si>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</si>
  <si>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</si>
  <si>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</si>
  <si>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</si>
  <si>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</si>
  <si>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</si>
  <si>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</si>
  <si>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</si>
  <si>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</si>
  <si>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</si>
  <si>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</si>
  <si>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</si>
  <si>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</si>
  <si>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</si>
  <si>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</si>
  <si>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</si>
  <si>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</si>
  <si>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</si>
  <si>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</si>
  <si>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</si>
  <si>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</si>
  <si>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</si>
  <si>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</si>
  <si>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</si>
  <si>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</si>
  <si>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</si>
  <si>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</si>
  <si>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</si>
  <si>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</si>
  <si>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</si>
  <si>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</si>
  <si>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</si>
  <si>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</si>
  <si>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</si>
  <si>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</si>
  <si>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</si>
  <si>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</si>
  <si>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</si>
  <si>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</si>
  <si>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</si>
  <si>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</si>
  <si>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</si>
  <si>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</si>
  <si>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</si>
  <si>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</si>
  <si>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</si>
  <si>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</si>
  <si>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</si>
  <si>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</si>
  <si>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</si>
  <si>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</si>
  <si>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</si>
  <si>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</si>
  <si>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</si>
  <si>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</si>
  <si>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</si>
  <si>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</si>
  <si>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</si>
  <si>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</si>
  <si>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</si>
  <si>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</si>
  <si>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</si>
  <si>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</si>
  <si>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</si>
  <si>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</si>
  <si>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</si>
  <si>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</si>
  <si>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</si>
  <si>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</si>
  <si>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</si>
  <si>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</si>
  <si>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</si>
  <si>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</si>
  <si>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</si>
  <si>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</si>
  <si>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</si>
  <si>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</si>
  <si>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</si>
  <si>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</si>
  <si>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</si>
  <si>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</si>
  <si>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</si>
  <si>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</si>
  <si>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</si>
  <si>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</si>
  <si>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</si>
  <si>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</si>
  <si>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</si>
  <si>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</si>
  <si>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</si>
  <si>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</si>
  <si>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</si>
  <si>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</si>
  <si>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</si>
  <si>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</si>
  <si>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</si>
  <si>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</si>
  <si>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</si>
  <si>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</si>
  <si>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</si>
  <si>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</si>
  <si>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</si>
  <si>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</si>
  <si>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</si>
  <si>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</si>
  <si>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</si>
  <si>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</si>
  <si>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</si>
  <si>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</si>
  <si>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</si>
  <si>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</si>
  <si>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</si>
  <si>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</si>
  <si>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</si>
  <si>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</si>
  <si>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</si>
  <si>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</si>
  <si>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</si>
  <si>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</si>
  <si>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</si>
  <si>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</si>
  <si>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</si>
  <si>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</si>
  <si>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</si>
  <si>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</si>
  <si>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</si>
  <si>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</si>
  <si>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</si>
  <si>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</si>
  <si>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</si>
  <si>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</si>
  <si>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</si>
  <si>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</si>
  <si>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</si>
  <si>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</si>
  <si>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</si>
  <si>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</si>
  <si>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</si>
  <si>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</si>
  <si>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</si>
  <si>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</si>
  <si>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</si>
  <si>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</si>
  <si>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</si>
  <si>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</si>
  <si>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</si>
  <si>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</si>
  <si>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</si>
  <si>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</si>
  <si>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</si>
  <si>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</si>
  <si>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</si>
  <si>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</si>
  <si>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</si>
  <si>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</si>
  <si>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</si>
  <si>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</si>
  <si>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</si>
  <si>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</si>
  <si>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</si>
  <si>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</si>
  <si>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</si>
  <si>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</si>
  <si>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</si>
  <si>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</si>
  <si>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</si>
  <si>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</si>
  <si>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</si>
  <si>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</si>
  <si>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</si>
  <si>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</si>
  <si>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</si>
  <si>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</si>
  <si>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</si>
  <si>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</si>
  <si>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</si>
  <si>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</si>
  <si>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</si>
  <si>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</si>
  <si>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</si>
  <si>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</si>
  <si>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</si>
  <si>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</si>
  <si>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</si>
  <si>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</si>
  <si>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</si>
  <si>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</si>
  <si>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</si>
  <si>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</si>
  <si>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</si>
  <si>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</si>
  <si>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</si>
  <si>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</si>
  <si>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</si>
  <si>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</si>
  <si>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</si>
  <si>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</si>
  <si>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</si>
  <si>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</si>
  <si>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</si>
  <si>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</si>
  <si>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</si>
  <si>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</si>
  <si>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</si>
  <si>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</si>
  <si>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</si>
  <si>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</si>
  <si>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</si>
  <si>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</si>
  <si>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</si>
  <si>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</si>
  <si>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</si>
  <si>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</si>
  <si>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</si>
  <si>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</si>
  <si>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</si>
  <si>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</si>
  <si>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</si>
  <si>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</si>
  <si>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</si>
  <si>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</si>
  <si>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</si>
  <si>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</si>
  <si>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</si>
  <si>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</si>
  <si>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</si>
  <si>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</si>
  <si>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</si>
  <si>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</si>
  <si>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</si>
  <si>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</si>
  <si>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</si>
  <si>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Lookup Lists</t>
  </si>
  <si>
    <t>Country Codes</t>
  </si>
  <si>
    <t>Status</t>
  </si>
  <si>
    <t>C</t>
  </si>
  <si>
    <t>A</t>
  </si>
  <si>
    <t>B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</si>
  <si>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</si>
  <si>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</si>
  <si>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</si>
  <si>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</si>
  <si>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</si>
  <si>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</si>
  <si>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</si>
  <si>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</si>
  <si>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</si>
  <si>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</si>
  <si>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D</t>
  </si>
  <si>
    <t>E</t>
  </si>
  <si>
    <t>F</t>
  </si>
  <si>
    <t>G</t>
  </si>
  <si>
    <t>Gift?</t>
  </si>
  <si>
    <t>Country Code</t>
  </si>
  <si>
    <t>Organisation Code</t>
  </si>
  <si>
    <t>Organisation Name</t>
  </si>
  <si>
    <t>A1193</t>
  </si>
  <si>
    <t>A1357</t>
  </si>
  <si>
    <t>A1517</t>
  </si>
  <si>
    <t>A1675</t>
  </si>
  <si>
    <t>B1327</t>
  </si>
  <si>
    <t>C1674</t>
  </si>
  <si>
    <t>C1640</t>
  </si>
  <si>
    <t>C1227</t>
  </si>
  <si>
    <t>C1821</t>
  </si>
  <si>
    <t>C1822</t>
  </si>
  <si>
    <t>D1374</t>
  </si>
  <si>
    <t>D1346</t>
  </si>
  <si>
    <t>D1686</t>
  </si>
  <si>
    <t>E1416</t>
  </si>
  <si>
    <t>E1794</t>
  </si>
  <si>
    <t>E1987</t>
  </si>
  <si>
    <t>E1691</t>
  </si>
  <si>
    <t>F1631</t>
  </si>
  <si>
    <t>H1224</t>
  </si>
  <si>
    <t>I1825</t>
  </si>
  <si>
    <t>I1586</t>
  </si>
  <si>
    <t>I1201</t>
  </si>
  <si>
    <t>L1105</t>
  </si>
  <si>
    <t>M1109</t>
  </si>
  <si>
    <t>N1159</t>
  </si>
  <si>
    <t>O1384</t>
  </si>
  <si>
    <t>P1088</t>
  </si>
  <si>
    <t>P1683</t>
  </si>
  <si>
    <t>P1836</t>
  </si>
  <si>
    <t>P1779</t>
  </si>
  <si>
    <t>Q1608</t>
  </si>
  <si>
    <t>R1735</t>
  </si>
  <si>
    <t>R1392</t>
  </si>
  <si>
    <t>S1643</t>
  </si>
  <si>
    <t>S1675</t>
  </si>
  <si>
    <t>S1436</t>
  </si>
  <si>
    <t>T1058</t>
  </si>
  <si>
    <t>T1538</t>
  </si>
  <si>
    <t>U1669</t>
  </si>
  <si>
    <t>V1744</t>
  </si>
  <si>
    <t>W1758</t>
  </si>
  <si>
    <t>W1513</t>
  </si>
  <si>
    <t>W1369</t>
  </si>
  <si>
    <t>x1304</t>
  </si>
  <si>
    <t>Z1567</t>
  </si>
  <si>
    <t>Z1522</t>
  </si>
  <si>
    <t>Org Code</t>
  </si>
  <si>
    <t>United Arab Emirates</t>
  </si>
  <si>
    <t>Armenia</t>
  </si>
  <si>
    <t>Argentina</t>
  </si>
  <si>
    <t>Austria</t>
  </si>
  <si>
    <t>Australia</t>
  </si>
  <si>
    <t>Belgium</t>
  </si>
  <si>
    <t>Bulgaria</t>
  </si>
  <si>
    <t>Bahrain</t>
  </si>
  <si>
    <t>Canada</t>
  </si>
  <si>
    <t>Switzerland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</si>
  <si>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</si>
  <si>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</si>
  <si>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</si>
  <si>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</si>
  <si>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</si>
  <si>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</si>
  <si>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</si>
  <si>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</si>
  <si>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</si>
  <si>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Hong Kong</t>
  </si>
  <si>
    <t>Hungary</t>
  </si>
  <si>
    <t>Ireland</t>
  </si>
  <si>
    <t>Iraq</t>
  </si>
  <si>
    <t>Iran</t>
  </si>
  <si>
    <t>Italy</t>
  </si>
  <si>
    <t>Jordan</t>
  </si>
  <si>
    <t>Japan</t>
  </si>
  <si>
    <t>Kenya</t>
  </si>
  <si>
    <t>Kuwait</t>
  </si>
  <si>
    <t>Lebanon</t>
  </si>
  <si>
    <t>Lithuania</t>
  </si>
  <si>
    <t>Mauritius</t>
  </si>
  <si>
    <t>Malaysia</t>
  </si>
  <si>
    <t>Netherlands</t>
  </si>
  <si>
    <t>Norway</t>
  </si>
  <si>
    <t>New Zealand</t>
  </si>
  <si>
    <t>Oman</t>
  </si>
  <si>
    <t>Poland</t>
  </si>
  <si>
    <t>Palestinian Territories</t>
  </si>
  <si>
    <t>Portugal</t>
  </si>
  <si>
    <t>Romania</t>
  </si>
  <si>
    <t>Russia</t>
  </si>
  <si>
    <t>Saudi Arabia</t>
  </si>
  <si>
    <t>Sudan</t>
  </si>
  <si>
    <t>Sweden</t>
  </si>
  <si>
    <t>Slovenia</t>
  </si>
  <si>
    <t>Slovakia</t>
  </si>
  <si>
    <t>Syria</t>
  </si>
  <si>
    <t>Turkey</t>
  </si>
  <si>
    <t>Ukraine</t>
  </si>
  <si>
    <t>Uganda</t>
  </si>
  <si>
    <t>United States</t>
  </si>
  <si>
    <t>Uruguay</t>
  </si>
  <si>
    <t>From UK or US</t>
  </si>
  <si>
    <t>Event Attendee List</t>
  </si>
  <si>
    <t>Start Year</t>
  </si>
  <si>
    <t>Meal</t>
  </si>
  <si>
    <t>Vegan</t>
  </si>
  <si>
    <t>Special</t>
  </si>
  <si>
    <t>Regular</t>
  </si>
  <si>
    <t>Vegetarian</t>
  </si>
  <si>
    <t>Seating</t>
  </si>
  <si>
    <t>Days</t>
  </si>
  <si>
    <t>Costs</t>
  </si>
  <si>
    <t>Price</t>
  </si>
  <si>
    <t>After Discount</t>
  </si>
  <si>
    <t>Total Price</t>
  </si>
  <si>
    <t>After Discounts</t>
  </si>
  <si>
    <t>Price/Day</t>
  </si>
  <si>
    <t>1 Day</t>
  </si>
  <si>
    <t>More than 1 day</t>
  </si>
  <si>
    <t>Discount</t>
  </si>
  <si>
    <t>10+</t>
  </si>
  <si>
    <t>5 to 9</t>
  </si>
  <si>
    <t/>
  </si>
  <si>
    <t xml:space="preserve"> Gifts</t>
  </si>
  <si>
    <t>Attendees from</t>
  </si>
  <si>
    <t>Seating Numbers</t>
  </si>
  <si>
    <t>=XLOOKUP([@Meal];Table4[[#Headers];[Regular]:[Special]];Table4[[Regular]:[Special]];"";1)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</si>
</sst>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9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2"/>
      <color theme="0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2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5" borderId="0" applyNumberFormat="0" applyBorder="0" applyAlignment="0" applyProtection="0"/>
  </cellStyleXfs>
  <cellXfs count="4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2" borderId="0" xfId="2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2" borderId="0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0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4" fillId="2" borderId="0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4" fillId="2" borderId="0" xfId="2" applyNumberFormat="1" applyFont="1" applyBorder="1" applyAlignment="1">
      <alignment horizontal="left" vertical="center"/>
    </xf>
    <xf numFmtId="0" fontId="0" fillId="0" borderId="2" xfId="0" applyBorder="1" applyAlignment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165" fontId="0" fillId="0" borderId="2" xfId="0" applyNumberFormat="1" applyBorder="1"/>
    <xf numFmtId="9" fontId="0" fillId="0" borderId="4" xfId="0" applyNumberFormat="1" applyBorder="1"/>
    <xf numFmtId="0" fontId="0" fillId="0" borderId="8" xfId="0" applyNumberFormat="1" applyBorder="1"/>
    <xf numFmtId="165" fontId="0" fillId="0" borderId="8" xfId="0" applyNumberFormat="1" applyBorder="1"/>
    <xf numFmtId="0" fontId="0" fillId="0" borderId="0" xfId="0" applyNumberFormat="1" applyAlignment="1">
      <alignment horizontal="center"/>
    </xf>
    <xf numFmtId="0" fontId="7" fillId="6" borderId="0" xfId="0" applyFont="1" applyFill="1"/>
    <xf numFmtId="0" fontId="8" fillId="6" borderId="0" xfId="2" applyFont="1" applyFill="1" applyBorder="1" applyAlignment="1">
      <alignment horizontal="left" vertical="center"/>
    </xf>
    <xf numFmtId="0" fontId="6" fillId="5" borderId="3" xfId="3" applyBorder="1" applyAlignment="1">
      <alignment horizontal="center"/>
    </xf>
    <xf numFmtId="0" fontId="6" fillId="5" borderId="5" xfId="3" applyBorder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4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theme="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  <vertical/>
        <horizontal/>
      </border>
    </dxf>
    <dxf>
      <border outline="0">
        <bottom style="medium">
          <color theme="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165" formatCode="&quot;$&quot;#,##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41"/>
      <tableStyleElement type="headerRow" dxfId="40"/>
      <tableStyleElement type="totalRow" dxfId="39"/>
      <tableStyleElement type="firstRow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1</xdr:rowOff>
    </xdr:from>
    <xdr:to>
      <xdr:col>17</xdr:col>
      <xdr:colOff>719137</xdr:colOff>
      <xdr:row>0</xdr:row>
      <xdr:rowOff>171451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1"/>
          <a:ext cx="16013822" cy="17145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11</xdr:col>
      <xdr:colOff>0</xdr:colOff>
      <xdr:row>0</xdr:row>
      <xdr:rowOff>152401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C74BF818-E3E1-4F16-9B06-BF7AAE0520F0}"/>
            </a:ext>
          </a:extLst>
        </xdr:cNvPr>
        <xdr:cNvGrpSpPr/>
      </xdr:nvGrpSpPr>
      <xdr:grpSpPr>
        <a:xfrm>
          <a:off x="0" y="1"/>
          <a:ext cx="10899321" cy="152400"/>
          <a:chOff x="0" y="0"/>
          <a:chExt cx="10293879" cy="186266"/>
        </a:xfrm>
      </xdr:grpSpPr>
      <xdr:grpSp>
        <xdr:nvGrpSpPr>
          <xdr:cNvPr id="291" name="Title Border" descr="Flourish pattern" title="Title Border">
            <a:extLst>
              <a:ext uri="{FF2B5EF4-FFF2-40B4-BE49-F238E27FC236}">
                <a16:creationId xmlns:a16="http://schemas.microsoft.com/office/drawing/2014/main" id="{8B5110AF-F88F-4CCF-B3D8-E2AA9A04D0BE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580" name="Group 3">
              <a:extLst>
                <a:ext uri="{FF2B5EF4-FFF2-40B4-BE49-F238E27FC236}">
                  <a16:creationId xmlns:a16="http://schemas.microsoft.com/office/drawing/2014/main" id="{07BE91E3-6CD0-4E07-B2D5-589FB6017D0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611" name="Group 204">
                <a:extLst>
                  <a:ext uri="{FF2B5EF4-FFF2-40B4-BE49-F238E27FC236}">
                    <a16:creationId xmlns:a16="http://schemas.microsoft.com/office/drawing/2014/main" id="{74BFC696-829E-4AD3-AD26-EBDC3975C1A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668" name="Freeform 5">
                  <a:extLst>
                    <a:ext uri="{FF2B5EF4-FFF2-40B4-BE49-F238E27FC236}">
                      <a16:creationId xmlns:a16="http://schemas.microsoft.com/office/drawing/2014/main" id="{CD0E030A-1061-443F-A5FF-3A7496D55D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69" name="Freeform 6">
                  <a:extLst>
                    <a:ext uri="{FF2B5EF4-FFF2-40B4-BE49-F238E27FC236}">
                      <a16:creationId xmlns:a16="http://schemas.microsoft.com/office/drawing/2014/main" id="{5EBAFE80-C825-42F1-89C4-7D1792C6C0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0" name="Freeform 7">
                  <a:extLst>
                    <a:ext uri="{FF2B5EF4-FFF2-40B4-BE49-F238E27FC236}">
                      <a16:creationId xmlns:a16="http://schemas.microsoft.com/office/drawing/2014/main" id="{E967E1D0-6197-428B-B44A-38AAE225C3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1" name="Freeform 8">
                  <a:extLst>
                    <a:ext uri="{FF2B5EF4-FFF2-40B4-BE49-F238E27FC236}">
                      <a16:creationId xmlns:a16="http://schemas.microsoft.com/office/drawing/2014/main" id="{7CD01347-CE43-4929-B09A-94B9EDFDAA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2" name="Freeform 9">
                  <a:extLst>
                    <a:ext uri="{FF2B5EF4-FFF2-40B4-BE49-F238E27FC236}">
                      <a16:creationId xmlns:a16="http://schemas.microsoft.com/office/drawing/2014/main" id="{5E5A0AC2-6926-4FE1-8B6D-9B706075E5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3" name="Freeform 10">
                  <a:extLst>
                    <a:ext uri="{FF2B5EF4-FFF2-40B4-BE49-F238E27FC236}">
                      <a16:creationId xmlns:a16="http://schemas.microsoft.com/office/drawing/2014/main" id="{965354B3-0DCE-45E2-93FC-800FCF2227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4" name="Freeform 11">
                  <a:extLst>
                    <a:ext uri="{FF2B5EF4-FFF2-40B4-BE49-F238E27FC236}">
                      <a16:creationId xmlns:a16="http://schemas.microsoft.com/office/drawing/2014/main" id="{1737AC69-EF19-44DF-B009-85305AE00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5" name="Freeform 12">
                  <a:extLst>
                    <a:ext uri="{FF2B5EF4-FFF2-40B4-BE49-F238E27FC236}">
                      <a16:creationId xmlns:a16="http://schemas.microsoft.com/office/drawing/2014/main" id="{90491242-80AE-4B7A-BF02-18C5913192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6" name="Freeform 13">
                  <a:extLst>
                    <a:ext uri="{FF2B5EF4-FFF2-40B4-BE49-F238E27FC236}">
                      <a16:creationId xmlns:a16="http://schemas.microsoft.com/office/drawing/2014/main" id="{DC2F7D50-F466-4BCB-B613-CDE7959E4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7" name="Freeform 14">
                  <a:extLst>
                    <a:ext uri="{FF2B5EF4-FFF2-40B4-BE49-F238E27FC236}">
                      <a16:creationId xmlns:a16="http://schemas.microsoft.com/office/drawing/2014/main" id="{0191BB7F-551E-467A-B344-AB50E2A559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8" name="Freeform 15">
                  <a:extLst>
                    <a:ext uri="{FF2B5EF4-FFF2-40B4-BE49-F238E27FC236}">
                      <a16:creationId xmlns:a16="http://schemas.microsoft.com/office/drawing/2014/main" id="{6F6568E3-7E1A-462A-810C-CA0DB1BBE9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9" name="Freeform 16">
                  <a:extLst>
                    <a:ext uri="{FF2B5EF4-FFF2-40B4-BE49-F238E27FC236}">
                      <a16:creationId xmlns:a16="http://schemas.microsoft.com/office/drawing/2014/main" id="{5C186135-8FFE-4F46-9C5D-7B36FBBD2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0" name="Freeform 17">
                  <a:extLst>
                    <a:ext uri="{FF2B5EF4-FFF2-40B4-BE49-F238E27FC236}">
                      <a16:creationId xmlns:a16="http://schemas.microsoft.com/office/drawing/2014/main" id="{B802A867-72ED-49F6-991A-7836B29B09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1" name="Freeform 18">
                  <a:extLst>
                    <a:ext uri="{FF2B5EF4-FFF2-40B4-BE49-F238E27FC236}">
                      <a16:creationId xmlns:a16="http://schemas.microsoft.com/office/drawing/2014/main" id="{12FB5D48-0C03-47A6-A646-CFFE4A7FB8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2" name="Freeform 19">
                  <a:extLst>
                    <a:ext uri="{FF2B5EF4-FFF2-40B4-BE49-F238E27FC236}">
                      <a16:creationId xmlns:a16="http://schemas.microsoft.com/office/drawing/2014/main" id="{C644BFB1-99DE-47D8-8583-938364990F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3" name="Freeform 20">
                  <a:extLst>
                    <a:ext uri="{FF2B5EF4-FFF2-40B4-BE49-F238E27FC236}">
                      <a16:creationId xmlns:a16="http://schemas.microsoft.com/office/drawing/2014/main" id="{5B7CB3BF-D1F9-4D48-B1F0-886FE8A6BD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4" name="Freeform 21">
                  <a:extLst>
                    <a:ext uri="{FF2B5EF4-FFF2-40B4-BE49-F238E27FC236}">
                      <a16:creationId xmlns:a16="http://schemas.microsoft.com/office/drawing/2014/main" id="{921EA886-9120-433B-82E9-243AA531B8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5" name="Freeform 22">
                  <a:extLst>
                    <a:ext uri="{FF2B5EF4-FFF2-40B4-BE49-F238E27FC236}">
                      <a16:creationId xmlns:a16="http://schemas.microsoft.com/office/drawing/2014/main" id="{DB14C640-67F4-494D-9985-E2181E9B17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6" name="Freeform 23">
                  <a:extLst>
                    <a:ext uri="{FF2B5EF4-FFF2-40B4-BE49-F238E27FC236}">
                      <a16:creationId xmlns:a16="http://schemas.microsoft.com/office/drawing/2014/main" id="{C878DE64-05F5-4B9A-B151-65F9192854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7" name="Freeform 24">
                  <a:extLst>
                    <a:ext uri="{FF2B5EF4-FFF2-40B4-BE49-F238E27FC236}">
                      <a16:creationId xmlns:a16="http://schemas.microsoft.com/office/drawing/2014/main" id="{66912B7B-EDA7-45EB-9044-DACC30D967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8" name="Freeform 25">
                  <a:extLst>
                    <a:ext uri="{FF2B5EF4-FFF2-40B4-BE49-F238E27FC236}">
                      <a16:creationId xmlns:a16="http://schemas.microsoft.com/office/drawing/2014/main" id="{83962BAD-DF59-4FC0-95E7-6A9AFEC388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9" name="Freeform 26">
                  <a:extLst>
                    <a:ext uri="{FF2B5EF4-FFF2-40B4-BE49-F238E27FC236}">
                      <a16:creationId xmlns:a16="http://schemas.microsoft.com/office/drawing/2014/main" id="{99AD3CF7-52C4-48C9-924B-630FC331DB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0" name="Freeform 27">
                  <a:extLst>
                    <a:ext uri="{FF2B5EF4-FFF2-40B4-BE49-F238E27FC236}">
                      <a16:creationId xmlns:a16="http://schemas.microsoft.com/office/drawing/2014/main" id="{827750EC-CF0D-47D7-B0AD-024ECEE9C9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1" name="Freeform 28">
                  <a:extLst>
                    <a:ext uri="{FF2B5EF4-FFF2-40B4-BE49-F238E27FC236}">
                      <a16:creationId xmlns:a16="http://schemas.microsoft.com/office/drawing/2014/main" id="{61CC49C3-E415-4308-8D13-A1C9C299D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2" name="Freeform 29">
                  <a:extLst>
                    <a:ext uri="{FF2B5EF4-FFF2-40B4-BE49-F238E27FC236}">
                      <a16:creationId xmlns:a16="http://schemas.microsoft.com/office/drawing/2014/main" id="{462D243C-8512-4BF5-B6B1-19BD39B942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3" name="Freeform 30">
                  <a:extLst>
                    <a:ext uri="{FF2B5EF4-FFF2-40B4-BE49-F238E27FC236}">
                      <a16:creationId xmlns:a16="http://schemas.microsoft.com/office/drawing/2014/main" id="{A442AB21-B66C-4608-BB76-3BFCE2D378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4" name="Freeform 31">
                  <a:extLst>
                    <a:ext uri="{FF2B5EF4-FFF2-40B4-BE49-F238E27FC236}">
                      <a16:creationId xmlns:a16="http://schemas.microsoft.com/office/drawing/2014/main" id="{8823BED8-1273-4091-93CF-E6351E195C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5" name="Freeform 32">
                  <a:extLst>
                    <a:ext uri="{FF2B5EF4-FFF2-40B4-BE49-F238E27FC236}">
                      <a16:creationId xmlns:a16="http://schemas.microsoft.com/office/drawing/2014/main" id="{AA1DB0A3-A3F0-4421-93FC-411FBBD075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6" name="Freeform 33">
                  <a:extLst>
                    <a:ext uri="{FF2B5EF4-FFF2-40B4-BE49-F238E27FC236}">
                      <a16:creationId xmlns:a16="http://schemas.microsoft.com/office/drawing/2014/main" id="{F9DA0457-EB5D-46EC-9E9C-F55517B16B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7" name="Freeform 34">
                  <a:extLst>
                    <a:ext uri="{FF2B5EF4-FFF2-40B4-BE49-F238E27FC236}">
                      <a16:creationId xmlns:a16="http://schemas.microsoft.com/office/drawing/2014/main" id="{E8E1DCB9-AFF3-4D4D-A8D0-EAC90602BB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8" name="Freeform 35">
                  <a:extLst>
                    <a:ext uri="{FF2B5EF4-FFF2-40B4-BE49-F238E27FC236}">
                      <a16:creationId xmlns:a16="http://schemas.microsoft.com/office/drawing/2014/main" id="{3AB4F451-2180-486A-9055-62DFFE111F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9" name="Freeform 36">
                  <a:extLst>
                    <a:ext uri="{FF2B5EF4-FFF2-40B4-BE49-F238E27FC236}">
                      <a16:creationId xmlns:a16="http://schemas.microsoft.com/office/drawing/2014/main" id="{AB3F69D4-F0A2-4577-AEDE-A8A68F6C7A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0" name="Freeform 37">
                  <a:extLst>
                    <a:ext uri="{FF2B5EF4-FFF2-40B4-BE49-F238E27FC236}">
                      <a16:creationId xmlns:a16="http://schemas.microsoft.com/office/drawing/2014/main" id="{2A8E2A9B-82DA-444A-8BCA-F51973ED3F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1" name="Freeform 38">
                  <a:extLst>
                    <a:ext uri="{FF2B5EF4-FFF2-40B4-BE49-F238E27FC236}">
                      <a16:creationId xmlns:a16="http://schemas.microsoft.com/office/drawing/2014/main" id="{56AB45CE-C871-4887-B3E8-BB2E3BB42E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2" name="Freeform 39">
                  <a:extLst>
                    <a:ext uri="{FF2B5EF4-FFF2-40B4-BE49-F238E27FC236}">
                      <a16:creationId xmlns:a16="http://schemas.microsoft.com/office/drawing/2014/main" id="{6E03403C-E088-472A-8E59-7CE6F2DD80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3" name="Freeform 40">
                  <a:extLst>
                    <a:ext uri="{FF2B5EF4-FFF2-40B4-BE49-F238E27FC236}">
                      <a16:creationId xmlns:a16="http://schemas.microsoft.com/office/drawing/2014/main" id="{CFC4FD2A-B660-4558-9F6A-7CC96C82FB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4" name="Freeform 41">
                  <a:extLst>
                    <a:ext uri="{FF2B5EF4-FFF2-40B4-BE49-F238E27FC236}">
                      <a16:creationId xmlns:a16="http://schemas.microsoft.com/office/drawing/2014/main" id="{22438BBC-D9D4-4EFF-9D08-3DE9A309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5" name="Freeform 42">
                  <a:extLst>
                    <a:ext uri="{FF2B5EF4-FFF2-40B4-BE49-F238E27FC236}">
                      <a16:creationId xmlns:a16="http://schemas.microsoft.com/office/drawing/2014/main" id="{5D55B0B0-1324-4CF7-BD45-44488F5C6D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6" name="Freeform 43">
                  <a:extLst>
                    <a:ext uri="{FF2B5EF4-FFF2-40B4-BE49-F238E27FC236}">
                      <a16:creationId xmlns:a16="http://schemas.microsoft.com/office/drawing/2014/main" id="{A3DF0112-0A51-4525-A3EA-EE5688E46E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7" name="Freeform 44">
                  <a:extLst>
                    <a:ext uri="{FF2B5EF4-FFF2-40B4-BE49-F238E27FC236}">
                      <a16:creationId xmlns:a16="http://schemas.microsoft.com/office/drawing/2014/main" id="{3C1D3E89-912B-433F-9F7B-3F36A37C4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8" name="Freeform 45">
                  <a:extLst>
                    <a:ext uri="{FF2B5EF4-FFF2-40B4-BE49-F238E27FC236}">
                      <a16:creationId xmlns:a16="http://schemas.microsoft.com/office/drawing/2014/main" id="{5A4E2594-AAEE-44B3-9136-7B04DBFDC4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9" name="Freeform 46">
                  <a:extLst>
                    <a:ext uri="{FF2B5EF4-FFF2-40B4-BE49-F238E27FC236}">
                      <a16:creationId xmlns:a16="http://schemas.microsoft.com/office/drawing/2014/main" id="{E5534949-783A-492A-AF39-84D8208643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0" name="Freeform 47">
                  <a:extLst>
                    <a:ext uri="{FF2B5EF4-FFF2-40B4-BE49-F238E27FC236}">
                      <a16:creationId xmlns:a16="http://schemas.microsoft.com/office/drawing/2014/main" id="{23D31722-6654-4A6F-B1F4-B327660CB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1" name="Freeform 48">
                  <a:extLst>
                    <a:ext uri="{FF2B5EF4-FFF2-40B4-BE49-F238E27FC236}">
                      <a16:creationId xmlns:a16="http://schemas.microsoft.com/office/drawing/2014/main" id="{1598D914-8C09-4C04-B0A4-67B81C31A8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2" name="Freeform 49">
                  <a:extLst>
                    <a:ext uri="{FF2B5EF4-FFF2-40B4-BE49-F238E27FC236}">
                      <a16:creationId xmlns:a16="http://schemas.microsoft.com/office/drawing/2014/main" id="{39C53F8C-498A-4F6D-9FA4-84CAA6A6A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3" name="Freeform 50">
                  <a:extLst>
                    <a:ext uri="{FF2B5EF4-FFF2-40B4-BE49-F238E27FC236}">
                      <a16:creationId xmlns:a16="http://schemas.microsoft.com/office/drawing/2014/main" id="{C3820E49-3C00-424F-A3A5-A13FF4CD8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4" name="Freeform 51">
                  <a:extLst>
                    <a:ext uri="{FF2B5EF4-FFF2-40B4-BE49-F238E27FC236}">
                      <a16:creationId xmlns:a16="http://schemas.microsoft.com/office/drawing/2014/main" id="{75E37FA4-9FE4-4857-9BAB-A836CBB98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5" name="Freeform 52">
                  <a:extLst>
                    <a:ext uri="{FF2B5EF4-FFF2-40B4-BE49-F238E27FC236}">
                      <a16:creationId xmlns:a16="http://schemas.microsoft.com/office/drawing/2014/main" id="{455C8588-5A28-4276-854E-F35A566AA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6" name="Freeform 53">
                  <a:extLst>
                    <a:ext uri="{FF2B5EF4-FFF2-40B4-BE49-F238E27FC236}">
                      <a16:creationId xmlns:a16="http://schemas.microsoft.com/office/drawing/2014/main" id="{ED2E6CDF-E5F6-4DA0-8104-81352E4CC5D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7" name="Freeform 54">
                  <a:extLst>
                    <a:ext uri="{FF2B5EF4-FFF2-40B4-BE49-F238E27FC236}">
                      <a16:creationId xmlns:a16="http://schemas.microsoft.com/office/drawing/2014/main" id="{81C599B8-F934-4186-AEEA-F06FFD417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8" name="Freeform 55">
                  <a:extLst>
                    <a:ext uri="{FF2B5EF4-FFF2-40B4-BE49-F238E27FC236}">
                      <a16:creationId xmlns:a16="http://schemas.microsoft.com/office/drawing/2014/main" id="{E26A0BF8-0876-4804-8167-366DCD0F54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9" name="Freeform 56">
                  <a:extLst>
                    <a:ext uri="{FF2B5EF4-FFF2-40B4-BE49-F238E27FC236}">
                      <a16:creationId xmlns:a16="http://schemas.microsoft.com/office/drawing/2014/main" id="{110C89C6-3852-4201-9BAB-7C606B6BE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0" name="Freeform 57">
                  <a:extLst>
                    <a:ext uri="{FF2B5EF4-FFF2-40B4-BE49-F238E27FC236}">
                      <a16:creationId xmlns:a16="http://schemas.microsoft.com/office/drawing/2014/main" id="{A1467E58-BC71-44A3-BB7D-FE490AE410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1" name="Freeform 58">
                  <a:extLst>
                    <a:ext uri="{FF2B5EF4-FFF2-40B4-BE49-F238E27FC236}">
                      <a16:creationId xmlns:a16="http://schemas.microsoft.com/office/drawing/2014/main" id="{0528A39D-AAC9-4E47-9F8D-059B376DE7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2" name="Freeform 59">
                  <a:extLst>
                    <a:ext uri="{FF2B5EF4-FFF2-40B4-BE49-F238E27FC236}">
                      <a16:creationId xmlns:a16="http://schemas.microsoft.com/office/drawing/2014/main" id="{3B37115B-FE10-42C8-AEEC-E3BC61BFA0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3" name="Freeform 60">
                  <a:extLst>
                    <a:ext uri="{FF2B5EF4-FFF2-40B4-BE49-F238E27FC236}">
                      <a16:creationId xmlns:a16="http://schemas.microsoft.com/office/drawing/2014/main" id="{9991234D-1B7D-4D0D-8F09-7E7C5A557E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4" name="Freeform 61">
                  <a:extLst>
                    <a:ext uri="{FF2B5EF4-FFF2-40B4-BE49-F238E27FC236}">
                      <a16:creationId xmlns:a16="http://schemas.microsoft.com/office/drawing/2014/main" id="{260CB2C3-947E-4DC2-A45B-BF13267CA7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5" name="Freeform 62">
                  <a:extLst>
                    <a:ext uri="{FF2B5EF4-FFF2-40B4-BE49-F238E27FC236}">
                      <a16:creationId xmlns:a16="http://schemas.microsoft.com/office/drawing/2014/main" id="{0E1FE8A6-B924-468A-BBEA-4D84AC1016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6" name="Freeform 63">
                  <a:extLst>
                    <a:ext uri="{FF2B5EF4-FFF2-40B4-BE49-F238E27FC236}">
                      <a16:creationId xmlns:a16="http://schemas.microsoft.com/office/drawing/2014/main" id="{C0FEED07-198B-4F4E-AC47-7BEFEAE0B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7" name="Freeform 64">
                  <a:extLst>
                    <a:ext uri="{FF2B5EF4-FFF2-40B4-BE49-F238E27FC236}">
                      <a16:creationId xmlns:a16="http://schemas.microsoft.com/office/drawing/2014/main" id="{141FE9CD-3C6E-4CA6-930C-FDE921B27A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8" name="Freeform 65">
                  <a:extLst>
                    <a:ext uri="{FF2B5EF4-FFF2-40B4-BE49-F238E27FC236}">
                      <a16:creationId xmlns:a16="http://schemas.microsoft.com/office/drawing/2014/main" id="{C10890CE-896D-42F9-BA27-C22C41F5A1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9" name="Freeform 66">
                  <a:extLst>
                    <a:ext uri="{FF2B5EF4-FFF2-40B4-BE49-F238E27FC236}">
                      <a16:creationId xmlns:a16="http://schemas.microsoft.com/office/drawing/2014/main" id="{D26E8A27-43C3-4A3A-875F-BDB83510FF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0" name="Freeform 67">
                  <a:extLst>
                    <a:ext uri="{FF2B5EF4-FFF2-40B4-BE49-F238E27FC236}">
                      <a16:creationId xmlns:a16="http://schemas.microsoft.com/office/drawing/2014/main" id="{15A6C28C-FC6E-42BD-9F0D-BCE904D0C9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1" name="Freeform 68">
                  <a:extLst>
                    <a:ext uri="{FF2B5EF4-FFF2-40B4-BE49-F238E27FC236}">
                      <a16:creationId xmlns:a16="http://schemas.microsoft.com/office/drawing/2014/main" id="{EC5CF076-BF74-4BAE-903D-BAA86A71321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2" name="Freeform 69">
                  <a:extLst>
                    <a:ext uri="{FF2B5EF4-FFF2-40B4-BE49-F238E27FC236}">
                      <a16:creationId xmlns:a16="http://schemas.microsoft.com/office/drawing/2014/main" id="{F6387C15-9035-4BEF-AD8F-F106C32CD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3" name="Freeform 70">
                  <a:extLst>
                    <a:ext uri="{FF2B5EF4-FFF2-40B4-BE49-F238E27FC236}">
                      <a16:creationId xmlns:a16="http://schemas.microsoft.com/office/drawing/2014/main" id="{82CE88DA-027E-4013-B7B5-7F5C85A41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4" name="Freeform 71">
                  <a:extLst>
                    <a:ext uri="{FF2B5EF4-FFF2-40B4-BE49-F238E27FC236}">
                      <a16:creationId xmlns:a16="http://schemas.microsoft.com/office/drawing/2014/main" id="{5A26C692-4D5E-4049-A01D-1D54AE30E5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5" name="Freeform 72">
                  <a:extLst>
                    <a:ext uri="{FF2B5EF4-FFF2-40B4-BE49-F238E27FC236}">
                      <a16:creationId xmlns:a16="http://schemas.microsoft.com/office/drawing/2014/main" id="{19FB60CB-8F26-43F6-84A3-EA8F5D60E1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6" name="Freeform 73">
                  <a:extLst>
                    <a:ext uri="{FF2B5EF4-FFF2-40B4-BE49-F238E27FC236}">
                      <a16:creationId xmlns:a16="http://schemas.microsoft.com/office/drawing/2014/main" id="{8146B665-EF9C-46D0-B7E5-921DA8BA94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7" name="Freeform 74">
                  <a:extLst>
                    <a:ext uri="{FF2B5EF4-FFF2-40B4-BE49-F238E27FC236}">
                      <a16:creationId xmlns:a16="http://schemas.microsoft.com/office/drawing/2014/main" id="{EF5CECE9-E53C-45AB-9706-D3629260DAB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8" name="Freeform 75">
                  <a:extLst>
                    <a:ext uri="{FF2B5EF4-FFF2-40B4-BE49-F238E27FC236}">
                      <a16:creationId xmlns:a16="http://schemas.microsoft.com/office/drawing/2014/main" id="{4347E774-2FDF-4071-9CF3-F2C7C039D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9" name="Freeform 76">
                  <a:extLst>
                    <a:ext uri="{FF2B5EF4-FFF2-40B4-BE49-F238E27FC236}">
                      <a16:creationId xmlns:a16="http://schemas.microsoft.com/office/drawing/2014/main" id="{B6919F1E-2895-40AC-B41D-02F04F1B22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0" name="Freeform 77">
                  <a:extLst>
                    <a:ext uri="{FF2B5EF4-FFF2-40B4-BE49-F238E27FC236}">
                      <a16:creationId xmlns:a16="http://schemas.microsoft.com/office/drawing/2014/main" id="{93BC947C-D96D-4D54-A598-2A45D8F97C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1" name="Freeform 78">
                  <a:extLst>
                    <a:ext uri="{FF2B5EF4-FFF2-40B4-BE49-F238E27FC236}">
                      <a16:creationId xmlns:a16="http://schemas.microsoft.com/office/drawing/2014/main" id="{6BC13E8E-36E6-4B14-858B-C409042A8A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2" name="Freeform 79">
                  <a:extLst>
                    <a:ext uri="{FF2B5EF4-FFF2-40B4-BE49-F238E27FC236}">
                      <a16:creationId xmlns:a16="http://schemas.microsoft.com/office/drawing/2014/main" id="{00A02B01-C802-4BCC-A048-EF65888348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3" name="Freeform 80">
                  <a:extLst>
                    <a:ext uri="{FF2B5EF4-FFF2-40B4-BE49-F238E27FC236}">
                      <a16:creationId xmlns:a16="http://schemas.microsoft.com/office/drawing/2014/main" id="{EF13E4AE-57CF-44BF-B4CE-130A31C0F1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4" name="Freeform 81">
                  <a:extLst>
                    <a:ext uri="{FF2B5EF4-FFF2-40B4-BE49-F238E27FC236}">
                      <a16:creationId xmlns:a16="http://schemas.microsoft.com/office/drawing/2014/main" id="{402ED7A8-8536-4EBD-8608-CE25409DCA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5" name="Freeform 82">
                  <a:extLst>
                    <a:ext uri="{FF2B5EF4-FFF2-40B4-BE49-F238E27FC236}">
                      <a16:creationId xmlns:a16="http://schemas.microsoft.com/office/drawing/2014/main" id="{656CFF1E-F78D-48E8-963B-139201A8E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6" name="Freeform 83">
                  <a:extLst>
                    <a:ext uri="{FF2B5EF4-FFF2-40B4-BE49-F238E27FC236}">
                      <a16:creationId xmlns:a16="http://schemas.microsoft.com/office/drawing/2014/main" id="{AB74C8B2-9F7A-429C-B90C-6FFE1FA47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7" name="Freeform 84">
                  <a:extLst>
                    <a:ext uri="{FF2B5EF4-FFF2-40B4-BE49-F238E27FC236}">
                      <a16:creationId xmlns:a16="http://schemas.microsoft.com/office/drawing/2014/main" id="{2CBCCAE7-70B6-4FB7-B9CF-F87494FF7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8" name="Freeform 85">
                  <a:extLst>
                    <a:ext uri="{FF2B5EF4-FFF2-40B4-BE49-F238E27FC236}">
                      <a16:creationId xmlns:a16="http://schemas.microsoft.com/office/drawing/2014/main" id="{85B4CE47-0B11-4A8B-87AE-1E6AF4989C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9" name="Freeform 86">
                  <a:extLst>
                    <a:ext uri="{FF2B5EF4-FFF2-40B4-BE49-F238E27FC236}">
                      <a16:creationId xmlns:a16="http://schemas.microsoft.com/office/drawing/2014/main" id="{6756015C-8E7B-4BE8-890C-EDCDC3AC0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0" name="Freeform 87">
                  <a:extLst>
                    <a:ext uri="{FF2B5EF4-FFF2-40B4-BE49-F238E27FC236}">
                      <a16:creationId xmlns:a16="http://schemas.microsoft.com/office/drawing/2014/main" id="{E93213A0-E53D-4F6E-815A-FC1493147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1" name="Freeform 88">
                  <a:extLst>
                    <a:ext uri="{FF2B5EF4-FFF2-40B4-BE49-F238E27FC236}">
                      <a16:creationId xmlns:a16="http://schemas.microsoft.com/office/drawing/2014/main" id="{E3D7B49D-E294-4312-9E9A-A6656CDEFA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2" name="Freeform 89">
                  <a:extLst>
                    <a:ext uri="{FF2B5EF4-FFF2-40B4-BE49-F238E27FC236}">
                      <a16:creationId xmlns:a16="http://schemas.microsoft.com/office/drawing/2014/main" id="{9E5A94B6-4B70-432F-851E-C6EEB0CB86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3" name="Freeform 90">
                  <a:extLst>
                    <a:ext uri="{FF2B5EF4-FFF2-40B4-BE49-F238E27FC236}">
                      <a16:creationId xmlns:a16="http://schemas.microsoft.com/office/drawing/2014/main" id="{6C1F3FCE-70DA-4922-B417-5D991EAE12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4" name="Freeform 91">
                  <a:extLst>
                    <a:ext uri="{FF2B5EF4-FFF2-40B4-BE49-F238E27FC236}">
                      <a16:creationId xmlns:a16="http://schemas.microsoft.com/office/drawing/2014/main" id="{57E6441E-1D8F-44F9-AFC9-130F60F841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5" name="Freeform 92">
                  <a:extLst>
                    <a:ext uri="{FF2B5EF4-FFF2-40B4-BE49-F238E27FC236}">
                      <a16:creationId xmlns:a16="http://schemas.microsoft.com/office/drawing/2014/main" id="{B5A6ED1F-654C-4C59-8466-49F590A1D0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6" name="Freeform 93">
                  <a:extLst>
                    <a:ext uri="{FF2B5EF4-FFF2-40B4-BE49-F238E27FC236}">
                      <a16:creationId xmlns:a16="http://schemas.microsoft.com/office/drawing/2014/main" id="{08D642A6-1468-4B5C-88DB-D5955836A7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7" name="Freeform 94">
                  <a:extLst>
                    <a:ext uri="{FF2B5EF4-FFF2-40B4-BE49-F238E27FC236}">
                      <a16:creationId xmlns:a16="http://schemas.microsoft.com/office/drawing/2014/main" id="{0B29BEF1-E007-47C4-8001-211A152D03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8" name="Freeform 95">
                  <a:extLst>
                    <a:ext uri="{FF2B5EF4-FFF2-40B4-BE49-F238E27FC236}">
                      <a16:creationId xmlns:a16="http://schemas.microsoft.com/office/drawing/2014/main" id="{B4B74E60-E4B0-466D-B57A-015261EFC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9" name="Freeform 96">
                  <a:extLst>
                    <a:ext uri="{FF2B5EF4-FFF2-40B4-BE49-F238E27FC236}">
                      <a16:creationId xmlns:a16="http://schemas.microsoft.com/office/drawing/2014/main" id="{0ED4365F-9222-4EA9-A272-B916EA3D358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0" name="Freeform 97">
                  <a:extLst>
                    <a:ext uri="{FF2B5EF4-FFF2-40B4-BE49-F238E27FC236}">
                      <a16:creationId xmlns:a16="http://schemas.microsoft.com/office/drawing/2014/main" id="{B6862376-983F-4144-8A86-6A7FF1F9B7F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1" name="Freeform 98">
                  <a:extLst>
                    <a:ext uri="{FF2B5EF4-FFF2-40B4-BE49-F238E27FC236}">
                      <a16:creationId xmlns:a16="http://schemas.microsoft.com/office/drawing/2014/main" id="{E51C33F3-E57C-4449-9B08-4742961D0F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2" name="Freeform 99">
                  <a:extLst>
                    <a:ext uri="{FF2B5EF4-FFF2-40B4-BE49-F238E27FC236}">
                      <a16:creationId xmlns:a16="http://schemas.microsoft.com/office/drawing/2014/main" id="{8696F4E8-09D3-427B-B73D-D92118A15B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3" name="Freeform 100">
                  <a:extLst>
                    <a:ext uri="{FF2B5EF4-FFF2-40B4-BE49-F238E27FC236}">
                      <a16:creationId xmlns:a16="http://schemas.microsoft.com/office/drawing/2014/main" id="{C69E76CD-667C-4057-B6BE-90A3ED2A1F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4" name="Freeform 101">
                  <a:extLst>
                    <a:ext uri="{FF2B5EF4-FFF2-40B4-BE49-F238E27FC236}">
                      <a16:creationId xmlns:a16="http://schemas.microsoft.com/office/drawing/2014/main" id="{BA990907-B219-4F4C-A2E6-F072E6162C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5" name="Freeform 102">
                  <a:extLst>
                    <a:ext uri="{FF2B5EF4-FFF2-40B4-BE49-F238E27FC236}">
                      <a16:creationId xmlns:a16="http://schemas.microsoft.com/office/drawing/2014/main" id="{E300D692-26AA-4F83-8C8B-71428E478A3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6" name="Freeform 103">
                  <a:extLst>
                    <a:ext uri="{FF2B5EF4-FFF2-40B4-BE49-F238E27FC236}">
                      <a16:creationId xmlns:a16="http://schemas.microsoft.com/office/drawing/2014/main" id="{52375C22-A425-47A4-A758-7623F31BB7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7" name="Freeform 104">
                  <a:extLst>
                    <a:ext uri="{FF2B5EF4-FFF2-40B4-BE49-F238E27FC236}">
                      <a16:creationId xmlns:a16="http://schemas.microsoft.com/office/drawing/2014/main" id="{7E96557F-1685-43EF-8A3F-5927DDAC31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8" name="Freeform 105">
                  <a:extLst>
                    <a:ext uri="{FF2B5EF4-FFF2-40B4-BE49-F238E27FC236}">
                      <a16:creationId xmlns:a16="http://schemas.microsoft.com/office/drawing/2014/main" id="{20DDED32-690B-4C57-840D-9199EF1F9D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9" name="Freeform 106">
                  <a:extLst>
                    <a:ext uri="{FF2B5EF4-FFF2-40B4-BE49-F238E27FC236}">
                      <a16:creationId xmlns:a16="http://schemas.microsoft.com/office/drawing/2014/main" id="{F6812BB8-EFE2-4FEB-899D-AA22603580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0" name="Freeform 107">
                  <a:extLst>
                    <a:ext uri="{FF2B5EF4-FFF2-40B4-BE49-F238E27FC236}">
                      <a16:creationId xmlns:a16="http://schemas.microsoft.com/office/drawing/2014/main" id="{C58875E7-8385-4A2F-91DC-9810874162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1" name="Freeform 108">
                  <a:extLst>
                    <a:ext uri="{FF2B5EF4-FFF2-40B4-BE49-F238E27FC236}">
                      <a16:creationId xmlns:a16="http://schemas.microsoft.com/office/drawing/2014/main" id="{68962DCD-8119-4F21-873C-26CD878216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2" name="Freeform 109">
                  <a:extLst>
                    <a:ext uri="{FF2B5EF4-FFF2-40B4-BE49-F238E27FC236}">
                      <a16:creationId xmlns:a16="http://schemas.microsoft.com/office/drawing/2014/main" id="{67EDED60-A202-41DB-ADFE-B578CCCB5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3" name="Freeform 110">
                  <a:extLst>
                    <a:ext uri="{FF2B5EF4-FFF2-40B4-BE49-F238E27FC236}">
                      <a16:creationId xmlns:a16="http://schemas.microsoft.com/office/drawing/2014/main" id="{48725FAB-5C74-4FE8-8F6A-EC981D1D89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4" name="Freeform 111">
                  <a:extLst>
                    <a:ext uri="{FF2B5EF4-FFF2-40B4-BE49-F238E27FC236}">
                      <a16:creationId xmlns:a16="http://schemas.microsoft.com/office/drawing/2014/main" id="{D366E4BE-64ED-470D-9A9A-3017DBF700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5" name="Freeform 112">
                  <a:extLst>
                    <a:ext uri="{FF2B5EF4-FFF2-40B4-BE49-F238E27FC236}">
                      <a16:creationId xmlns:a16="http://schemas.microsoft.com/office/drawing/2014/main" id="{749A84BA-67AA-4E98-855F-426DF561AA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6" name="Freeform 113">
                  <a:extLst>
                    <a:ext uri="{FF2B5EF4-FFF2-40B4-BE49-F238E27FC236}">
                      <a16:creationId xmlns:a16="http://schemas.microsoft.com/office/drawing/2014/main" id="{31F3EA43-C8AC-4CF5-9B56-22096F6DED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7" name="Freeform 114">
                  <a:extLst>
                    <a:ext uri="{FF2B5EF4-FFF2-40B4-BE49-F238E27FC236}">
                      <a16:creationId xmlns:a16="http://schemas.microsoft.com/office/drawing/2014/main" id="{C515D51B-EEFE-479D-A039-3C2CC552CE3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8" name="Freeform 115">
                  <a:extLst>
                    <a:ext uri="{FF2B5EF4-FFF2-40B4-BE49-F238E27FC236}">
                      <a16:creationId xmlns:a16="http://schemas.microsoft.com/office/drawing/2014/main" id="{05A5F08E-3C95-4B3C-9C67-3AC5B5ECE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9" name="Freeform 116">
                  <a:extLst>
                    <a:ext uri="{FF2B5EF4-FFF2-40B4-BE49-F238E27FC236}">
                      <a16:creationId xmlns:a16="http://schemas.microsoft.com/office/drawing/2014/main" id="{E4017E6A-EB77-4057-93FD-222E0E758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0" name="Freeform 117">
                  <a:extLst>
                    <a:ext uri="{FF2B5EF4-FFF2-40B4-BE49-F238E27FC236}">
                      <a16:creationId xmlns:a16="http://schemas.microsoft.com/office/drawing/2014/main" id="{0CAC7F1D-221A-4281-AC64-F3B3C3E28F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1" name="Freeform 118">
                  <a:extLst>
                    <a:ext uri="{FF2B5EF4-FFF2-40B4-BE49-F238E27FC236}">
                      <a16:creationId xmlns:a16="http://schemas.microsoft.com/office/drawing/2014/main" id="{1ADD9B5C-3209-4CEB-A6FB-1D6D7812CC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2" name="Freeform 119">
                  <a:extLst>
                    <a:ext uri="{FF2B5EF4-FFF2-40B4-BE49-F238E27FC236}">
                      <a16:creationId xmlns:a16="http://schemas.microsoft.com/office/drawing/2014/main" id="{1D18ED39-E946-4CEA-BFE4-D1AC43BB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3" name="Freeform 120">
                  <a:extLst>
                    <a:ext uri="{FF2B5EF4-FFF2-40B4-BE49-F238E27FC236}">
                      <a16:creationId xmlns:a16="http://schemas.microsoft.com/office/drawing/2014/main" id="{C45EFE0C-E6D1-4D71-AF07-62E710AA72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4" name="Freeform 121">
                  <a:extLst>
                    <a:ext uri="{FF2B5EF4-FFF2-40B4-BE49-F238E27FC236}">
                      <a16:creationId xmlns:a16="http://schemas.microsoft.com/office/drawing/2014/main" id="{C7A4EF6F-5D64-41B5-8C76-6F78E1F98F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5" name="Freeform 122">
                  <a:extLst>
                    <a:ext uri="{FF2B5EF4-FFF2-40B4-BE49-F238E27FC236}">
                      <a16:creationId xmlns:a16="http://schemas.microsoft.com/office/drawing/2014/main" id="{98DAAF5C-4408-4872-93DD-0968380AE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6" name="Freeform 123">
                  <a:extLst>
                    <a:ext uri="{FF2B5EF4-FFF2-40B4-BE49-F238E27FC236}">
                      <a16:creationId xmlns:a16="http://schemas.microsoft.com/office/drawing/2014/main" id="{AD7B8941-C96D-4276-B79E-CEEA9B4E37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7" name="Freeform 124">
                  <a:extLst>
                    <a:ext uri="{FF2B5EF4-FFF2-40B4-BE49-F238E27FC236}">
                      <a16:creationId xmlns:a16="http://schemas.microsoft.com/office/drawing/2014/main" id="{0C511140-14EF-4984-B226-B3828CD2F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8" name="Freeform 125">
                  <a:extLst>
                    <a:ext uri="{FF2B5EF4-FFF2-40B4-BE49-F238E27FC236}">
                      <a16:creationId xmlns:a16="http://schemas.microsoft.com/office/drawing/2014/main" id="{6EAD445E-EB65-4C57-8A04-20386E385E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9" name="Freeform 126">
                  <a:extLst>
                    <a:ext uri="{FF2B5EF4-FFF2-40B4-BE49-F238E27FC236}">
                      <a16:creationId xmlns:a16="http://schemas.microsoft.com/office/drawing/2014/main" id="{5DB4A822-3E24-4F60-972F-ED572A6E5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0" name="Freeform 127">
                  <a:extLst>
                    <a:ext uri="{FF2B5EF4-FFF2-40B4-BE49-F238E27FC236}">
                      <a16:creationId xmlns:a16="http://schemas.microsoft.com/office/drawing/2014/main" id="{94B7B52C-E43F-43C3-8B87-3E1D63FA0A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1" name="Freeform 128">
                  <a:extLst>
                    <a:ext uri="{FF2B5EF4-FFF2-40B4-BE49-F238E27FC236}">
                      <a16:creationId xmlns:a16="http://schemas.microsoft.com/office/drawing/2014/main" id="{25A20205-BDB7-4345-80A6-B86C28224C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2" name="Freeform 129">
                  <a:extLst>
                    <a:ext uri="{FF2B5EF4-FFF2-40B4-BE49-F238E27FC236}">
                      <a16:creationId xmlns:a16="http://schemas.microsoft.com/office/drawing/2014/main" id="{24C744EC-26E7-4D33-9F5A-0C7735BDAF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3" name="Freeform 130">
                  <a:extLst>
                    <a:ext uri="{FF2B5EF4-FFF2-40B4-BE49-F238E27FC236}">
                      <a16:creationId xmlns:a16="http://schemas.microsoft.com/office/drawing/2014/main" id="{0607CEC9-2729-4999-809C-039FC170EB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4" name="Freeform 131">
                  <a:extLst>
                    <a:ext uri="{FF2B5EF4-FFF2-40B4-BE49-F238E27FC236}">
                      <a16:creationId xmlns:a16="http://schemas.microsoft.com/office/drawing/2014/main" id="{BAB7D95A-E7A9-40C2-A14A-0C698965DF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5" name="Freeform 132">
                  <a:extLst>
                    <a:ext uri="{FF2B5EF4-FFF2-40B4-BE49-F238E27FC236}">
                      <a16:creationId xmlns:a16="http://schemas.microsoft.com/office/drawing/2014/main" id="{5451ED43-42BE-444E-82CA-E35ABAAAEF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6" name="Freeform 133">
                  <a:extLst>
                    <a:ext uri="{FF2B5EF4-FFF2-40B4-BE49-F238E27FC236}">
                      <a16:creationId xmlns:a16="http://schemas.microsoft.com/office/drawing/2014/main" id="{1F665937-309A-40B5-B8F3-0E6AAB7724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7" name="Freeform 134">
                  <a:extLst>
                    <a:ext uri="{FF2B5EF4-FFF2-40B4-BE49-F238E27FC236}">
                      <a16:creationId xmlns:a16="http://schemas.microsoft.com/office/drawing/2014/main" id="{49FDB385-6E03-4DF1-A9BF-132FCADC06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8" name="Freeform 135">
                  <a:extLst>
                    <a:ext uri="{FF2B5EF4-FFF2-40B4-BE49-F238E27FC236}">
                      <a16:creationId xmlns:a16="http://schemas.microsoft.com/office/drawing/2014/main" id="{6F97EBC6-72CA-4B51-AA61-2CB5A7C0CF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9" name="Freeform 136">
                  <a:extLst>
                    <a:ext uri="{FF2B5EF4-FFF2-40B4-BE49-F238E27FC236}">
                      <a16:creationId xmlns:a16="http://schemas.microsoft.com/office/drawing/2014/main" id="{485CB577-570D-41D1-AC46-F296880A71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0" name="Freeform 137">
                  <a:extLst>
                    <a:ext uri="{FF2B5EF4-FFF2-40B4-BE49-F238E27FC236}">
                      <a16:creationId xmlns:a16="http://schemas.microsoft.com/office/drawing/2014/main" id="{2706F2F5-BDC8-4C38-AEBB-A18C2EF035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1" name="Freeform 138">
                  <a:extLst>
                    <a:ext uri="{FF2B5EF4-FFF2-40B4-BE49-F238E27FC236}">
                      <a16:creationId xmlns:a16="http://schemas.microsoft.com/office/drawing/2014/main" id="{AD726379-9C25-442B-B05C-5355349235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2" name="Freeform 139">
                  <a:extLst>
                    <a:ext uri="{FF2B5EF4-FFF2-40B4-BE49-F238E27FC236}">
                      <a16:creationId xmlns:a16="http://schemas.microsoft.com/office/drawing/2014/main" id="{06ACF9FB-3C34-4297-8F8F-5C76DE5874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3" name="Freeform 140">
                  <a:extLst>
                    <a:ext uri="{FF2B5EF4-FFF2-40B4-BE49-F238E27FC236}">
                      <a16:creationId xmlns:a16="http://schemas.microsoft.com/office/drawing/2014/main" id="{1CE1BA01-F0C8-4F3E-B372-23996D34C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4" name="Freeform 141">
                  <a:extLst>
                    <a:ext uri="{FF2B5EF4-FFF2-40B4-BE49-F238E27FC236}">
                      <a16:creationId xmlns:a16="http://schemas.microsoft.com/office/drawing/2014/main" id="{533D84FC-DCC2-44E2-A35C-B1328C5544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5" name="Freeform 142">
                  <a:extLst>
                    <a:ext uri="{FF2B5EF4-FFF2-40B4-BE49-F238E27FC236}">
                      <a16:creationId xmlns:a16="http://schemas.microsoft.com/office/drawing/2014/main" id="{C7BB99ED-7E86-4498-B3F2-64FFAB2E5B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6" name="Freeform 143">
                  <a:extLst>
                    <a:ext uri="{FF2B5EF4-FFF2-40B4-BE49-F238E27FC236}">
                      <a16:creationId xmlns:a16="http://schemas.microsoft.com/office/drawing/2014/main" id="{9B3C4EAE-6884-4091-B4A7-4C19F9156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7" name="Freeform 144">
                  <a:extLst>
                    <a:ext uri="{FF2B5EF4-FFF2-40B4-BE49-F238E27FC236}">
                      <a16:creationId xmlns:a16="http://schemas.microsoft.com/office/drawing/2014/main" id="{1FDF780A-2621-48D6-BD45-D832C2E2CB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8" name="Freeform 145">
                  <a:extLst>
                    <a:ext uri="{FF2B5EF4-FFF2-40B4-BE49-F238E27FC236}">
                      <a16:creationId xmlns:a16="http://schemas.microsoft.com/office/drawing/2014/main" id="{66E51B72-ADE2-40F4-95DB-54DCB0302F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9" name="Freeform 146">
                  <a:extLst>
                    <a:ext uri="{FF2B5EF4-FFF2-40B4-BE49-F238E27FC236}">
                      <a16:creationId xmlns:a16="http://schemas.microsoft.com/office/drawing/2014/main" id="{40B87B8C-B15A-4068-B363-18384C6DB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0" name="Freeform 147">
                  <a:extLst>
                    <a:ext uri="{FF2B5EF4-FFF2-40B4-BE49-F238E27FC236}">
                      <a16:creationId xmlns:a16="http://schemas.microsoft.com/office/drawing/2014/main" id="{618B31F1-A5B2-4530-94ED-2EDE8FEE9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1" name="Freeform 148">
                  <a:extLst>
                    <a:ext uri="{FF2B5EF4-FFF2-40B4-BE49-F238E27FC236}">
                      <a16:creationId xmlns:a16="http://schemas.microsoft.com/office/drawing/2014/main" id="{1FE9CEC0-5AC7-449A-9E80-51BE92D028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2" name="Freeform 149">
                  <a:extLst>
                    <a:ext uri="{FF2B5EF4-FFF2-40B4-BE49-F238E27FC236}">
                      <a16:creationId xmlns:a16="http://schemas.microsoft.com/office/drawing/2014/main" id="{D72BB156-BA02-4097-A325-D424844DED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3" name="Freeform 150">
                  <a:extLst>
                    <a:ext uri="{FF2B5EF4-FFF2-40B4-BE49-F238E27FC236}">
                      <a16:creationId xmlns:a16="http://schemas.microsoft.com/office/drawing/2014/main" id="{9F9B88E0-3D06-4110-8C7F-7BB4A5C226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4" name="Freeform 151">
                  <a:extLst>
                    <a:ext uri="{FF2B5EF4-FFF2-40B4-BE49-F238E27FC236}">
                      <a16:creationId xmlns:a16="http://schemas.microsoft.com/office/drawing/2014/main" id="{CC001BBB-E7CD-45BA-AD4A-BA7A54E633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5" name="Freeform 152">
                  <a:extLst>
                    <a:ext uri="{FF2B5EF4-FFF2-40B4-BE49-F238E27FC236}">
                      <a16:creationId xmlns:a16="http://schemas.microsoft.com/office/drawing/2014/main" id="{712934E9-8678-4025-8E79-93DCB7038B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6" name="Freeform 153">
                  <a:extLst>
                    <a:ext uri="{FF2B5EF4-FFF2-40B4-BE49-F238E27FC236}">
                      <a16:creationId xmlns:a16="http://schemas.microsoft.com/office/drawing/2014/main" id="{3ED0F8B0-5962-42E3-8E26-4F60F11D9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7" name="Freeform 154">
                  <a:extLst>
                    <a:ext uri="{FF2B5EF4-FFF2-40B4-BE49-F238E27FC236}">
                      <a16:creationId xmlns:a16="http://schemas.microsoft.com/office/drawing/2014/main" id="{5A2EA527-F67F-439C-AF3E-9EEC875F87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8" name="Freeform 155">
                  <a:extLst>
                    <a:ext uri="{FF2B5EF4-FFF2-40B4-BE49-F238E27FC236}">
                      <a16:creationId xmlns:a16="http://schemas.microsoft.com/office/drawing/2014/main" id="{87A9329A-DF42-47EF-862C-3878070E99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9" name="Freeform 156">
                  <a:extLst>
                    <a:ext uri="{FF2B5EF4-FFF2-40B4-BE49-F238E27FC236}">
                      <a16:creationId xmlns:a16="http://schemas.microsoft.com/office/drawing/2014/main" id="{804CCA62-8DD4-48D4-934A-10D16277CE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0" name="Freeform 157">
                  <a:extLst>
                    <a:ext uri="{FF2B5EF4-FFF2-40B4-BE49-F238E27FC236}">
                      <a16:creationId xmlns:a16="http://schemas.microsoft.com/office/drawing/2014/main" id="{F2E1FDAC-FEB9-4568-A114-0AABF9BF82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1" name="Freeform 158">
                  <a:extLst>
                    <a:ext uri="{FF2B5EF4-FFF2-40B4-BE49-F238E27FC236}">
                      <a16:creationId xmlns:a16="http://schemas.microsoft.com/office/drawing/2014/main" id="{C7570C77-0AA5-4A08-89AF-FF6F66FEBC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2" name="Freeform 159">
                  <a:extLst>
                    <a:ext uri="{FF2B5EF4-FFF2-40B4-BE49-F238E27FC236}">
                      <a16:creationId xmlns:a16="http://schemas.microsoft.com/office/drawing/2014/main" id="{9ED9BED3-3E30-41BB-BF42-4ED37B3030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3" name="Freeform 160">
                  <a:extLst>
                    <a:ext uri="{FF2B5EF4-FFF2-40B4-BE49-F238E27FC236}">
                      <a16:creationId xmlns:a16="http://schemas.microsoft.com/office/drawing/2014/main" id="{EE9D1782-04F8-4392-A3E5-07B01A687F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4" name="Freeform 161">
                  <a:extLst>
                    <a:ext uri="{FF2B5EF4-FFF2-40B4-BE49-F238E27FC236}">
                      <a16:creationId xmlns:a16="http://schemas.microsoft.com/office/drawing/2014/main" id="{2779C6F4-0C19-4E0B-8D8A-4EEFC94309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5" name="Freeform 162">
                  <a:extLst>
                    <a:ext uri="{FF2B5EF4-FFF2-40B4-BE49-F238E27FC236}">
                      <a16:creationId xmlns:a16="http://schemas.microsoft.com/office/drawing/2014/main" id="{9D69607C-5E3E-41BA-B6E6-15F8865183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6" name="Freeform 163">
                  <a:extLst>
                    <a:ext uri="{FF2B5EF4-FFF2-40B4-BE49-F238E27FC236}">
                      <a16:creationId xmlns:a16="http://schemas.microsoft.com/office/drawing/2014/main" id="{45595657-DB13-4263-9EE1-E1F047B96F7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7" name="Freeform 164">
                  <a:extLst>
                    <a:ext uri="{FF2B5EF4-FFF2-40B4-BE49-F238E27FC236}">
                      <a16:creationId xmlns:a16="http://schemas.microsoft.com/office/drawing/2014/main" id="{E14EB1BE-7FA4-436F-A914-740F5573B7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8" name="Freeform 165">
                  <a:extLst>
                    <a:ext uri="{FF2B5EF4-FFF2-40B4-BE49-F238E27FC236}">
                      <a16:creationId xmlns:a16="http://schemas.microsoft.com/office/drawing/2014/main" id="{23D61BA2-ACEE-499E-852F-6AAC9B33B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9" name="Freeform 166">
                  <a:extLst>
                    <a:ext uri="{FF2B5EF4-FFF2-40B4-BE49-F238E27FC236}">
                      <a16:creationId xmlns:a16="http://schemas.microsoft.com/office/drawing/2014/main" id="{8569DABA-A8B9-47F2-88B2-C77F6E41B1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0" name="Freeform 167">
                  <a:extLst>
                    <a:ext uri="{FF2B5EF4-FFF2-40B4-BE49-F238E27FC236}">
                      <a16:creationId xmlns:a16="http://schemas.microsoft.com/office/drawing/2014/main" id="{2026A4A8-8301-4889-81F4-44BD20C10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1" name="Freeform 168">
                  <a:extLst>
                    <a:ext uri="{FF2B5EF4-FFF2-40B4-BE49-F238E27FC236}">
                      <a16:creationId xmlns:a16="http://schemas.microsoft.com/office/drawing/2014/main" id="{EC701E83-DD8A-4A8E-B12E-76EA48D92C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2" name="Freeform 169">
                  <a:extLst>
                    <a:ext uri="{FF2B5EF4-FFF2-40B4-BE49-F238E27FC236}">
                      <a16:creationId xmlns:a16="http://schemas.microsoft.com/office/drawing/2014/main" id="{0AA86DBF-28CD-4C6A-BDFA-16E5762EF7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3" name="Freeform 170">
                  <a:extLst>
                    <a:ext uri="{FF2B5EF4-FFF2-40B4-BE49-F238E27FC236}">
                      <a16:creationId xmlns:a16="http://schemas.microsoft.com/office/drawing/2014/main" id="{C6112987-683C-4595-9986-38300AAFAD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4" name="Freeform 171">
                  <a:extLst>
                    <a:ext uri="{FF2B5EF4-FFF2-40B4-BE49-F238E27FC236}">
                      <a16:creationId xmlns:a16="http://schemas.microsoft.com/office/drawing/2014/main" id="{21D3B54B-0317-4A8C-A6D1-CE0428571D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5" name="Freeform 172">
                  <a:extLst>
                    <a:ext uri="{FF2B5EF4-FFF2-40B4-BE49-F238E27FC236}">
                      <a16:creationId xmlns:a16="http://schemas.microsoft.com/office/drawing/2014/main" id="{FE71FF69-00AE-4921-AE4F-DA59C5DEE0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6" name="Freeform 173">
                  <a:extLst>
                    <a:ext uri="{FF2B5EF4-FFF2-40B4-BE49-F238E27FC236}">
                      <a16:creationId xmlns:a16="http://schemas.microsoft.com/office/drawing/2014/main" id="{E5188166-F572-4327-ADA0-F401351AB1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7" name="Freeform 174">
                  <a:extLst>
                    <a:ext uri="{FF2B5EF4-FFF2-40B4-BE49-F238E27FC236}">
                      <a16:creationId xmlns:a16="http://schemas.microsoft.com/office/drawing/2014/main" id="{A570E9B1-7A95-4FFD-B98E-2C716E6380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8" name="Freeform 175">
                  <a:extLst>
                    <a:ext uri="{FF2B5EF4-FFF2-40B4-BE49-F238E27FC236}">
                      <a16:creationId xmlns:a16="http://schemas.microsoft.com/office/drawing/2014/main" id="{F846E24D-5895-487B-8758-1FDA00AB89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9" name="Freeform 176">
                  <a:extLst>
                    <a:ext uri="{FF2B5EF4-FFF2-40B4-BE49-F238E27FC236}">
                      <a16:creationId xmlns:a16="http://schemas.microsoft.com/office/drawing/2014/main" id="{F35FE7E4-AF76-4401-BF39-7AC8DA46F3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0" name="Freeform 177">
                  <a:extLst>
                    <a:ext uri="{FF2B5EF4-FFF2-40B4-BE49-F238E27FC236}">
                      <a16:creationId xmlns:a16="http://schemas.microsoft.com/office/drawing/2014/main" id="{09670D77-EB3D-4BE6-A41B-54A1D3F0CB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1" name="Freeform 178">
                  <a:extLst>
                    <a:ext uri="{FF2B5EF4-FFF2-40B4-BE49-F238E27FC236}">
                      <a16:creationId xmlns:a16="http://schemas.microsoft.com/office/drawing/2014/main" id="{7F029DF1-5F28-441A-A0EB-B612A55F5D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2" name="Freeform 179">
                  <a:extLst>
                    <a:ext uri="{FF2B5EF4-FFF2-40B4-BE49-F238E27FC236}">
                      <a16:creationId xmlns:a16="http://schemas.microsoft.com/office/drawing/2014/main" id="{9D999429-0346-4E99-86EA-13424FD53E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3" name="Freeform 180">
                  <a:extLst>
                    <a:ext uri="{FF2B5EF4-FFF2-40B4-BE49-F238E27FC236}">
                      <a16:creationId xmlns:a16="http://schemas.microsoft.com/office/drawing/2014/main" id="{2DCAD59F-BE07-47C4-A5B5-6871238D0D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4" name="Freeform 181">
                  <a:extLst>
                    <a:ext uri="{FF2B5EF4-FFF2-40B4-BE49-F238E27FC236}">
                      <a16:creationId xmlns:a16="http://schemas.microsoft.com/office/drawing/2014/main" id="{746B8AA2-F4EB-48B2-9D3D-5233E1CF81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5" name="Freeform 182">
                  <a:extLst>
                    <a:ext uri="{FF2B5EF4-FFF2-40B4-BE49-F238E27FC236}">
                      <a16:creationId xmlns:a16="http://schemas.microsoft.com/office/drawing/2014/main" id="{E3F4D292-DC61-4E5E-A512-764BF3C389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6" name="Freeform 183">
                  <a:extLst>
                    <a:ext uri="{FF2B5EF4-FFF2-40B4-BE49-F238E27FC236}">
                      <a16:creationId xmlns:a16="http://schemas.microsoft.com/office/drawing/2014/main" id="{D38ED51D-62B3-4DA3-91A3-67F97AD654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7" name="Freeform 184">
                  <a:extLst>
                    <a:ext uri="{FF2B5EF4-FFF2-40B4-BE49-F238E27FC236}">
                      <a16:creationId xmlns:a16="http://schemas.microsoft.com/office/drawing/2014/main" id="{3E12C174-8F43-4625-AF42-ECC620C60C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8" name="Freeform 185">
                  <a:extLst>
                    <a:ext uri="{FF2B5EF4-FFF2-40B4-BE49-F238E27FC236}">
                      <a16:creationId xmlns:a16="http://schemas.microsoft.com/office/drawing/2014/main" id="{082BA224-5938-465F-AB01-AFFF868F11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9" name="Freeform 186">
                  <a:extLst>
                    <a:ext uri="{FF2B5EF4-FFF2-40B4-BE49-F238E27FC236}">
                      <a16:creationId xmlns:a16="http://schemas.microsoft.com/office/drawing/2014/main" id="{0BA1E333-C79A-4A41-A656-FF89F2628A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0" name="Freeform 187">
                  <a:extLst>
                    <a:ext uri="{FF2B5EF4-FFF2-40B4-BE49-F238E27FC236}">
                      <a16:creationId xmlns:a16="http://schemas.microsoft.com/office/drawing/2014/main" id="{E7ED1CCD-3761-4BA6-8D6E-86CC0801CF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1" name="Freeform 188">
                  <a:extLst>
                    <a:ext uri="{FF2B5EF4-FFF2-40B4-BE49-F238E27FC236}">
                      <a16:creationId xmlns:a16="http://schemas.microsoft.com/office/drawing/2014/main" id="{81084F75-638B-4135-9430-5C80837E4B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2" name="Freeform 189">
                  <a:extLst>
                    <a:ext uri="{FF2B5EF4-FFF2-40B4-BE49-F238E27FC236}">
                      <a16:creationId xmlns:a16="http://schemas.microsoft.com/office/drawing/2014/main" id="{A9DF6D9F-BD3B-44F2-B45A-387BBE9E39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3" name="Freeform 190">
                  <a:extLst>
                    <a:ext uri="{FF2B5EF4-FFF2-40B4-BE49-F238E27FC236}">
                      <a16:creationId xmlns:a16="http://schemas.microsoft.com/office/drawing/2014/main" id="{FAA387A7-C31E-4C7B-907A-40455E97A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4" name="Freeform 191">
                  <a:extLst>
                    <a:ext uri="{FF2B5EF4-FFF2-40B4-BE49-F238E27FC236}">
                      <a16:creationId xmlns:a16="http://schemas.microsoft.com/office/drawing/2014/main" id="{384F3999-F9FA-422E-ABCD-74AC6BFD64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5" name="Freeform 192">
                  <a:extLst>
                    <a:ext uri="{FF2B5EF4-FFF2-40B4-BE49-F238E27FC236}">
                      <a16:creationId xmlns:a16="http://schemas.microsoft.com/office/drawing/2014/main" id="{70A583C8-5393-488D-84F5-2F3ABA0A06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6" name="Freeform 193">
                  <a:extLst>
                    <a:ext uri="{FF2B5EF4-FFF2-40B4-BE49-F238E27FC236}">
                      <a16:creationId xmlns:a16="http://schemas.microsoft.com/office/drawing/2014/main" id="{6FD868F8-93DD-4E4B-ABEF-F8C155F216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7" name="Freeform 194">
                  <a:extLst>
                    <a:ext uri="{FF2B5EF4-FFF2-40B4-BE49-F238E27FC236}">
                      <a16:creationId xmlns:a16="http://schemas.microsoft.com/office/drawing/2014/main" id="{984D8E79-CCF7-43F8-8D85-147FCAA7D75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8" name="Freeform 195">
                  <a:extLst>
                    <a:ext uri="{FF2B5EF4-FFF2-40B4-BE49-F238E27FC236}">
                      <a16:creationId xmlns:a16="http://schemas.microsoft.com/office/drawing/2014/main" id="{F0D3AB45-1667-4F78-8F93-25FE28BD7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9" name="Freeform 196">
                  <a:extLst>
                    <a:ext uri="{FF2B5EF4-FFF2-40B4-BE49-F238E27FC236}">
                      <a16:creationId xmlns:a16="http://schemas.microsoft.com/office/drawing/2014/main" id="{5CBE1BAA-FA62-4CFB-8DA8-0321153E7A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0" name="Freeform 197">
                  <a:extLst>
                    <a:ext uri="{FF2B5EF4-FFF2-40B4-BE49-F238E27FC236}">
                      <a16:creationId xmlns:a16="http://schemas.microsoft.com/office/drawing/2014/main" id="{9E0B9502-C3EB-4393-B65C-F2C9E9E4B2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1" name="Freeform 198">
                  <a:extLst>
                    <a:ext uri="{FF2B5EF4-FFF2-40B4-BE49-F238E27FC236}">
                      <a16:creationId xmlns:a16="http://schemas.microsoft.com/office/drawing/2014/main" id="{92144520-9AAD-4849-BC9B-49A711A9A2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2" name="Freeform 199">
                  <a:extLst>
                    <a:ext uri="{FF2B5EF4-FFF2-40B4-BE49-F238E27FC236}">
                      <a16:creationId xmlns:a16="http://schemas.microsoft.com/office/drawing/2014/main" id="{C7D114DB-277C-4E81-8894-634A4119BF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3" name="Freeform 200">
                  <a:extLst>
                    <a:ext uri="{FF2B5EF4-FFF2-40B4-BE49-F238E27FC236}">
                      <a16:creationId xmlns:a16="http://schemas.microsoft.com/office/drawing/2014/main" id="{F0F8E7F7-3033-4BAA-B445-9261FCE12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4" name="Freeform 201">
                  <a:extLst>
                    <a:ext uri="{FF2B5EF4-FFF2-40B4-BE49-F238E27FC236}">
                      <a16:creationId xmlns:a16="http://schemas.microsoft.com/office/drawing/2014/main" id="{0CD2AA5A-B01E-4DE6-BF36-2A5FCF03A7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5" name="Freeform 202">
                  <a:extLst>
                    <a:ext uri="{FF2B5EF4-FFF2-40B4-BE49-F238E27FC236}">
                      <a16:creationId xmlns:a16="http://schemas.microsoft.com/office/drawing/2014/main" id="{A22947C7-539B-49DE-81C9-F1F9565945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6" name="Freeform 203">
                  <a:extLst>
                    <a:ext uri="{FF2B5EF4-FFF2-40B4-BE49-F238E27FC236}">
                      <a16:creationId xmlns:a16="http://schemas.microsoft.com/office/drawing/2014/main" id="{E28C5A05-BDAA-4E2E-993B-8D3077DB4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612" name="Freeform 205">
                <a:extLst>
                  <a:ext uri="{FF2B5EF4-FFF2-40B4-BE49-F238E27FC236}">
                    <a16:creationId xmlns:a16="http://schemas.microsoft.com/office/drawing/2014/main" id="{32D65627-C131-4DCE-A1E9-C9F90CD2DF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3" name="Freeform 206">
                <a:extLst>
                  <a:ext uri="{FF2B5EF4-FFF2-40B4-BE49-F238E27FC236}">
                    <a16:creationId xmlns:a16="http://schemas.microsoft.com/office/drawing/2014/main" id="{A6F65907-6C8B-4E3E-831E-FCBC1FD577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4" name="Freeform 207">
                <a:extLst>
                  <a:ext uri="{FF2B5EF4-FFF2-40B4-BE49-F238E27FC236}">
                    <a16:creationId xmlns:a16="http://schemas.microsoft.com/office/drawing/2014/main" id="{3F1BCCB3-2F65-4C84-8EBD-518103C44C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5" name="Freeform 208">
                <a:extLst>
                  <a:ext uri="{FF2B5EF4-FFF2-40B4-BE49-F238E27FC236}">
                    <a16:creationId xmlns:a16="http://schemas.microsoft.com/office/drawing/2014/main" id="{AC104AD9-FD96-4FE0-A1BA-B673D14C29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6" name="Freeform 209">
                <a:extLst>
                  <a:ext uri="{FF2B5EF4-FFF2-40B4-BE49-F238E27FC236}">
                    <a16:creationId xmlns:a16="http://schemas.microsoft.com/office/drawing/2014/main" id="{5266DD11-2548-4D4F-A4DC-2A891F5616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7" name="Freeform 210">
                <a:extLst>
                  <a:ext uri="{FF2B5EF4-FFF2-40B4-BE49-F238E27FC236}">
                    <a16:creationId xmlns:a16="http://schemas.microsoft.com/office/drawing/2014/main" id="{E411CC99-F1A8-43C2-82C9-B8D64F9B26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8" name="Freeform 211">
                <a:extLst>
                  <a:ext uri="{FF2B5EF4-FFF2-40B4-BE49-F238E27FC236}">
                    <a16:creationId xmlns:a16="http://schemas.microsoft.com/office/drawing/2014/main" id="{4CFEF89A-DE53-4514-83FE-A6A1FFB1D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9" name="Freeform 212">
                <a:extLst>
                  <a:ext uri="{FF2B5EF4-FFF2-40B4-BE49-F238E27FC236}">
                    <a16:creationId xmlns:a16="http://schemas.microsoft.com/office/drawing/2014/main" id="{A5C1F7AE-E2C1-4A21-975F-0A06833307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0" name="Freeform 213">
                <a:extLst>
                  <a:ext uri="{FF2B5EF4-FFF2-40B4-BE49-F238E27FC236}">
                    <a16:creationId xmlns:a16="http://schemas.microsoft.com/office/drawing/2014/main" id="{5A002463-11B1-4B97-8B81-C3E46D33A7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1" name="Freeform 214">
                <a:extLst>
                  <a:ext uri="{FF2B5EF4-FFF2-40B4-BE49-F238E27FC236}">
                    <a16:creationId xmlns:a16="http://schemas.microsoft.com/office/drawing/2014/main" id="{0A36F4E1-DAEE-4F3F-A25C-AAEAC3D690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2" name="Freeform 215">
                <a:extLst>
                  <a:ext uri="{FF2B5EF4-FFF2-40B4-BE49-F238E27FC236}">
                    <a16:creationId xmlns:a16="http://schemas.microsoft.com/office/drawing/2014/main" id="{0D92BC3D-A320-4439-801B-4D740329C31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3" name="Freeform 216">
                <a:extLst>
                  <a:ext uri="{FF2B5EF4-FFF2-40B4-BE49-F238E27FC236}">
                    <a16:creationId xmlns:a16="http://schemas.microsoft.com/office/drawing/2014/main" id="{425A6736-0A1E-4AB1-88E6-2F2009657E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4" name="Freeform 217">
                <a:extLst>
                  <a:ext uri="{FF2B5EF4-FFF2-40B4-BE49-F238E27FC236}">
                    <a16:creationId xmlns:a16="http://schemas.microsoft.com/office/drawing/2014/main" id="{2583BE86-FC8D-41C3-B978-4068526D52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5" name="Freeform 218">
                <a:extLst>
                  <a:ext uri="{FF2B5EF4-FFF2-40B4-BE49-F238E27FC236}">
                    <a16:creationId xmlns:a16="http://schemas.microsoft.com/office/drawing/2014/main" id="{02A1AB5C-8255-45A9-A357-A22EFFEB43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6" name="Freeform 219">
                <a:extLst>
                  <a:ext uri="{FF2B5EF4-FFF2-40B4-BE49-F238E27FC236}">
                    <a16:creationId xmlns:a16="http://schemas.microsoft.com/office/drawing/2014/main" id="{10691D90-E8A6-41BD-A74B-CC9D3676D4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7" name="Freeform 220">
                <a:extLst>
                  <a:ext uri="{FF2B5EF4-FFF2-40B4-BE49-F238E27FC236}">
                    <a16:creationId xmlns:a16="http://schemas.microsoft.com/office/drawing/2014/main" id="{6C82CBD0-52B7-4EAA-B902-6A5C931E0C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8" name="Freeform 221">
                <a:extLst>
                  <a:ext uri="{FF2B5EF4-FFF2-40B4-BE49-F238E27FC236}">
                    <a16:creationId xmlns:a16="http://schemas.microsoft.com/office/drawing/2014/main" id="{C3BA0D85-B3CB-4DA2-BB39-CF256CC549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9" name="Freeform 222">
                <a:extLst>
                  <a:ext uri="{FF2B5EF4-FFF2-40B4-BE49-F238E27FC236}">
                    <a16:creationId xmlns:a16="http://schemas.microsoft.com/office/drawing/2014/main" id="{B7FE4D55-1745-40D1-B298-2A2D64CC4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0" name="Freeform 223">
                <a:extLst>
                  <a:ext uri="{FF2B5EF4-FFF2-40B4-BE49-F238E27FC236}">
                    <a16:creationId xmlns:a16="http://schemas.microsoft.com/office/drawing/2014/main" id="{3F65F2D0-F043-498D-8BF9-B16C502F38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1" name="Freeform 224">
                <a:extLst>
                  <a:ext uri="{FF2B5EF4-FFF2-40B4-BE49-F238E27FC236}">
                    <a16:creationId xmlns:a16="http://schemas.microsoft.com/office/drawing/2014/main" id="{44A96065-BEEA-487E-9E22-098CD1EFF4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2" name="Freeform 225">
                <a:extLst>
                  <a:ext uri="{FF2B5EF4-FFF2-40B4-BE49-F238E27FC236}">
                    <a16:creationId xmlns:a16="http://schemas.microsoft.com/office/drawing/2014/main" id="{0E8C4CB1-7E45-4CE4-BF15-CC7625408A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3" name="Freeform 226">
                <a:extLst>
                  <a:ext uri="{FF2B5EF4-FFF2-40B4-BE49-F238E27FC236}">
                    <a16:creationId xmlns:a16="http://schemas.microsoft.com/office/drawing/2014/main" id="{D5C7F18A-E0BF-47D8-A703-2A111D5556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4" name="Freeform 227">
                <a:extLst>
                  <a:ext uri="{FF2B5EF4-FFF2-40B4-BE49-F238E27FC236}">
                    <a16:creationId xmlns:a16="http://schemas.microsoft.com/office/drawing/2014/main" id="{190B8AC4-C437-4253-AD77-1F6CAD7AB4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5" name="Freeform 228">
                <a:extLst>
                  <a:ext uri="{FF2B5EF4-FFF2-40B4-BE49-F238E27FC236}">
                    <a16:creationId xmlns:a16="http://schemas.microsoft.com/office/drawing/2014/main" id="{47A4D48A-786A-49BE-99DB-0C60FD2E1A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6" name="Freeform 229">
                <a:extLst>
                  <a:ext uri="{FF2B5EF4-FFF2-40B4-BE49-F238E27FC236}">
                    <a16:creationId xmlns:a16="http://schemas.microsoft.com/office/drawing/2014/main" id="{DA333AD9-D9EA-47C0-B46F-CF7CDD5719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7" name="Freeform 230">
                <a:extLst>
                  <a:ext uri="{FF2B5EF4-FFF2-40B4-BE49-F238E27FC236}">
                    <a16:creationId xmlns:a16="http://schemas.microsoft.com/office/drawing/2014/main" id="{20CDC0DB-BF9B-42BD-AF15-33FDD8020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8" name="Freeform 231">
                <a:extLst>
                  <a:ext uri="{FF2B5EF4-FFF2-40B4-BE49-F238E27FC236}">
                    <a16:creationId xmlns:a16="http://schemas.microsoft.com/office/drawing/2014/main" id="{2DE9CF74-9343-4A07-A986-199300BD72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9" name="Freeform 232">
                <a:extLst>
                  <a:ext uri="{FF2B5EF4-FFF2-40B4-BE49-F238E27FC236}">
                    <a16:creationId xmlns:a16="http://schemas.microsoft.com/office/drawing/2014/main" id="{A195157C-78D9-46E7-AB29-BC1E35627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0" name="Freeform 233">
                <a:extLst>
                  <a:ext uri="{FF2B5EF4-FFF2-40B4-BE49-F238E27FC236}">
                    <a16:creationId xmlns:a16="http://schemas.microsoft.com/office/drawing/2014/main" id="{D433820E-C6F1-4176-9C21-CED25895DD3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1" name="Freeform 234">
                <a:extLst>
                  <a:ext uri="{FF2B5EF4-FFF2-40B4-BE49-F238E27FC236}">
                    <a16:creationId xmlns:a16="http://schemas.microsoft.com/office/drawing/2014/main" id="{07E2471A-08CB-45C7-AC92-50920E80D0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2" name="Freeform 235">
                <a:extLst>
                  <a:ext uri="{FF2B5EF4-FFF2-40B4-BE49-F238E27FC236}">
                    <a16:creationId xmlns:a16="http://schemas.microsoft.com/office/drawing/2014/main" id="{D2C007B1-37E1-4532-B065-81348BB546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3" name="Freeform 236">
                <a:extLst>
                  <a:ext uri="{FF2B5EF4-FFF2-40B4-BE49-F238E27FC236}">
                    <a16:creationId xmlns:a16="http://schemas.microsoft.com/office/drawing/2014/main" id="{CD28A12E-B7E4-4EC8-9BD2-0C6146BF15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4" name="Rectangle 237">
                <a:extLst>
                  <a:ext uri="{FF2B5EF4-FFF2-40B4-BE49-F238E27FC236}">
                    <a16:creationId xmlns:a16="http://schemas.microsoft.com/office/drawing/2014/main" id="{8179725F-18D8-4F02-A3E5-3E08615287D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45" name="Freeform 238">
                <a:extLst>
                  <a:ext uri="{FF2B5EF4-FFF2-40B4-BE49-F238E27FC236}">
                    <a16:creationId xmlns:a16="http://schemas.microsoft.com/office/drawing/2014/main" id="{03A5CB0B-55F5-4ADC-855A-739ADC2886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6" name="Freeform 239">
                <a:extLst>
                  <a:ext uri="{FF2B5EF4-FFF2-40B4-BE49-F238E27FC236}">
                    <a16:creationId xmlns:a16="http://schemas.microsoft.com/office/drawing/2014/main" id="{29AA1E12-0F28-45CB-B53E-3C32D16E61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7" name="Freeform 240">
                <a:extLst>
                  <a:ext uri="{FF2B5EF4-FFF2-40B4-BE49-F238E27FC236}">
                    <a16:creationId xmlns:a16="http://schemas.microsoft.com/office/drawing/2014/main" id="{33EEC2E9-380D-41D0-91D1-850A09A4C8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8" name="Freeform 241">
                <a:extLst>
                  <a:ext uri="{FF2B5EF4-FFF2-40B4-BE49-F238E27FC236}">
                    <a16:creationId xmlns:a16="http://schemas.microsoft.com/office/drawing/2014/main" id="{DF831772-7B40-4287-AC12-522B1266C9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9" name="Freeform 242">
                <a:extLst>
                  <a:ext uri="{FF2B5EF4-FFF2-40B4-BE49-F238E27FC236}">
                    <a16:creationId xmlns:a16="http://schemas.microsoft.com/office/drawing/2014/main" id="{E731A37B-D87C-4677-93BF-23498A97CC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0" name="Freeform 243">
                <a:extLst>
                  <a:ext uri="{FF2B5EF4-FFF2-40B4-BE49-F238E27FC236}">
                    <a16:creationId xmlns:a16="http://schemas.microsoft.com/office/drawing/2014/main" id="{2EC59BC1-41AD-4D9F-BFE7-53E446B74EB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1" name="Freeform 244">
                <a:extLst>
                  <a:ext uri="{FF2B5EF4-FFF2-40B4-BE49-F238E27FC236}">
                    <a16:creationId xmlns:a16="http://schemas.microsoft.com/office/drawing/2014/main" id="{8EED5B64-5958-4C09-BF41-8C9332C6ED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2" name="Freeform 245">
                <a:extLst>
                  <a:ext uri="{FF2B5EF4-FFF2-40B4-BE49-F238E27FC236}">
                    <a16:creationId xmlns:a16="http://schemas.microsoft.com/office/drawing/2014/main" id="{227F55DE-C31E-471F-BAA4-3B43299255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3" name="Freeform 246">
                <a:extLst>
                  <a:ext uri="{FF2B5EF4-FFF2-40B4-BE49-F238E27FC236}">
                    <a16:creationId xmlns:a16="http://schemas.microsoft.com/office/drawing/2014/main" id="{FE59D50F-BE7F-4D8A-B16D-61EA37A0C9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4" name="Freeform 247">
                <a:extLst>
                  <a:ext uri="{FF2B5EF4-FFF2-40B4-BE49-F238E27FC236}">
                    <a16:creationId xmlns:a16="http://schemas.microsoft.com/office/drawing/2014/main" id="{D467862B-BC1C-4C0E-B7F0-2017209F70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5" name="Freeform 248">
                <a:extLst>
                  <a:ext uri="{FF2B5EF4-FFF2-40B4-BE49-F238E27FC236}">
                    <a16:creationId xmlns:a16="http://schemas.microsoft.com/office/drawing/2014/main" id="{D4F18C92-074F-4977-80F9-FE4D900861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6" name="Freeform 249">
                <a:extLst>
                  <a:ext uri="{FF2B5EF4-FFF2-40B4-BE49-F238E27FC236}">
                    <a16:creationId xmlns:a16="http://schemas.microsoft.com/office/drawing/2014/main" id="{CCC07FE0-8CDF-45E3-B8D0-7131B39C96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7" name="Freeform 250">
                <a:extLst>
                  <a:ext uri="{FF2B5EF4-FFF2-40B4-BE49-F238E27FC236}">
                    <a16:creationId xmlns:a16="http://schemas.microsoft.com/office/drawing/2014/main" id="{9B33E534-EE47-426B-87FC-39C95F91297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8" name="Freeform 251">
                <a:extLst>
                  <a:ext uri="{FF2B5EF4-FFF2-40B4-BE49-F238E27FC236}">
                    <a16:creationId xmlns:a16="http://schemas.microsoft.com/office/drawing/2014/main" id="{857944E7-1606-4D2B-8059-7FD73D8C69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9" name="Freeform 252">
                <a:extLst>
                  <a:ext uri="{FF2B5EF4-FFF2-40B4-BE49-F238E27FC236}">
                    <a16:creationId xmlns:a16="http://schemas.microsoft.com/office/drawing/2014/main" id="{636CDA6F-672A-4C40-8521-DCE6BBA493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0" name="Freeform 253">
                <a:extLst>
                  <a:ext uri="{FF2B5EF4-FFF2-40B4-BE49-F238E27FC236}">
                    <a16:creationId xmlns:a16="http://schemas.microsoft.com/office/drawing/2014/main" id="{9A17CE12-023E-4EF4-9EF1-37A82951993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1" name="Freeform 254">
                <a:extLst>
                  <a:ext uri="{FF2B5EF4-FFF2-40B4-BE49-F238E27FC236}">
                    <a16:creationId xmlns:a16="http://schemas.microsoft.com/office/drawing/2014/main" id="{8F9C4687-7BEA-4FDD-BEB5-98DAC8469D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2" name="Freeform 255">
                <a:extLst>
                  <a:ext uri="{FF2B5EF4-FFF2-40B4-BE49-F238E27FC236}">
                    <a16:creationId xmlns:a16="http://schemas.microsoft.com/office/drawing/2014/main" id="{0F715804-FD63-4C52-AE07-5814AACBA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3" name="Freeform 256">
                <a:extLst>
                  <a:ext uri="{FF2B5EF4-FFF2-40B4-BE49-F238E27FC236}">
                    <a16:creationId xmlns:a16="http://schemas.microsoft.com/office/drawing/2014/main" id="{600B800C-FE24-47E7-BD62-B5B0F10098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4" name="Freeform 257">
                <a:extLst>
                  <a:ext uri="{FF2B5EF4-FFF2-40B4-BE49-F238E27FC236}">
                    <a16:creationId xmlns:a16="http://schemas.microsoft.com/office/drawing/2014/main" id="{BB5A5948-4D40-4A71-BCDE-624EC898B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5" name="Freeform 258">
                <a:extLst>
                  <a:ext uri="{FF2B5EF4-FFF2-40B4-BE49-F238E27FC236}">
                    <a16:creationId xmlns:a16="http://schemas.microsoft.com/office/drawing/2014/main" id="{7E5F90A4-B98D-4D7B-955A-4CA6A36FD3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6" name="Freeform 259">
                <a:extLst>
                  <a:ext uri="{FF2B5EF4-FFF2-40B4-BE49-F238E27FC236}">
                    <a16:creationId xmlns:a16="http://schemas.microsoft.com/office/drawing/2014/main" id="{486876E0-F965-40F6-8E3F-48A9AAD5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7" name="Freeform 260">
                <a:extLst>
                  <a:ext uri="{FF2B5EF4-FFF2-40B4-BE49-F238E27FC236}">
                    <a16:creationId xmlns:a16="http://schemas.microsoft.com/office/drawing/2014/main" id="{76FE4151-B8DD-4DCF-ABBD-8FAC423BAA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581" name="Freeform 29">
              <a:extLst>
                <a:ext uri="{FF2B5EF4-FFF2-40B4-BE49-F238E27FC236}">
                  <a16:creationId xmlns:a16="http://schemas.microsoft.com/office/drawing/2014/main" id="{90FD48C0-6C1E-49A1-B3C4-13AFDCE78E65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2" name="Freeform 38">
              <a:extLst>
                <a:ext uri="{FF2B5EF4-FFF2-40B4-BE49-F238E27FC236}">
                  <a16:creationId xmlns:a16="http://schemas.microsoft.com/office/drawing/2014/main" id="{FB5A1598-3737-4148-A72F-B2030FDCFDFD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3" name="Freeform 40">
              <a:extLst>
                <a:ext uri="{FF2B5EF4-FFF2-40B4-BE49-F238E27FC236}">
                  <a16:creationId xmlns:a16="http://schemas.microsoft.com/office/drawing/2014/main" id="{3D15D10F-C94E-4223-BC5C-8B99EE8998F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4" name="Freeform 41">
              <a:extLst>
                <a:ext uri="{FF2B5EF4-FFF2-40B4-BE49-F238E27FC236}">
                  <a16:creationId xmlns:a16="http://schemas.microsoft.com/office/drawing/2014/main" id="{DD5D655F-199A-4D03-9195-8593ED468D5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5" name="Freeform 42">
              <a:extLst>
                <a:ext uri="{FF2B5EF4-FFF2-40B4-BE49-F238E27FC236}">
                  <a16:creationId xmlns:a16="http://schemas.microsoft.com/office/drawing/2014/main" id="{F1D19DD0-0582-4EB1-98F6-C0F5385F17B4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6" name="Freeform 43">
              <a:extLst>
                <a:ext uri="{FF2B5EF4-FFF2-40B4-BE49-F238E27FC236}">
                  <a16:creationId xmlns:a16="http://schemas.microsoft.com/office/drawing/2014/main" id="{2F4EC07E-A4F0-47FD-82E2-8994FE301F5D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7" name="Freeform 44">
              <a:extLst>
                <a:ext uri="{FF2B5EF4-FFF2-40B4-BE49-F238E27FC236}">
                  <a16:creationId xmlns:a16="http://schemas.microsoft.com/office/drawing/2014/main" id="{C6E6AAD1-6380-4301-B6E9-88300787A1F6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8" name="Freeform 45">
              <a:extLst>
                <a:ext uri="{FF2B5EF4-FFF2-40B4-BE49-F238E27FC236}">
                  <a16:creationId xmlns:a16="http://schemas.microsoft.com/office/drawing/2014/main" id="{97C9152D-225B-415C-95BD-DFFDEE517056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9" name="Freeform 49">
              <a:extLst>
                <a:ext uri="{FF2B5EF4-FFF2-40B4-BE49-F238E27FC236}">
                  <a16:creationId xmlns:a16="http://schemas.microsoft.com/office/drawing/2014/main" id="{B86F623D-4FC2-4A02-BCD0-2D6F28AF9321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0" name="Freeform 50">
              <a:extLst>
                <a:ext uri="{FF2B5EF4-FFF2-40B4-BE49-F238E27FC236}">
                  <a16:creationId xmlns:a16="http://schemas.microsoft.com/office/drawing/2014/main" id="{C4A606A1-3157-4B3F-B89D-0BB78C4D0ADA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1" name="Freeform 55">
              <a:extLst>
                <a:ext uri="{FF2B5EF4-FFF2-40B4-BE49-F238E27FC236}">
                  <a16:creationId xmlns:a16="http://schemas.microsoft.com/office/drawing/2014/main" id="{02FC1DE5-3DF1-4621-926E-6228686E6376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2" name="Freeform 56">
              <a:extLst>
                <a:ext uri="{FF2B5EF4-FFF2-40B4-BE49-F238E27FC236}">
                  <a16:creationId xmlns:a16="http://schemas.microsoft.com/office/drawing/2014/main" id="{E74B6637-A804-4731-8BF0-BE65DB6D89FA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3" name="Freeform 57">
              <a:extLst>
                <a:ext uri="{FF2B5EF4-FFF2-40B4-BE49-F238E27FC236}">
                  <a16:creationId xmlns:a16="http://schemas.microsoft.com/office/drawing/2014/main" id="{F3DA6826-7C69-4D16-9188-D24C9A4063D4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4" name="Freeform 58">
              <a:extLst>
                <a:ext uri="{FF2B5EF4-FFF2-40B4-BE49-F238E27FC236}">
                  <a16:creationId xmlns:a16="http://schemas.microsoft.com/office/drawing/2014/main" id="{2999EB88-E199-47BC-9F2B-59556099E00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5" name="Freeform 59">
              <a:extLst>
                <a:ext uri="{FF2B5EF4-FFF2-40B4-BE49-F238E27FC236}">
                  <a16:creationId xmlns:a16="http://schemas.microsoft.com/office/drawing/2014/main" id="{88759D9D-DFC2-43D5-AD36-F609320DD4B2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6" name="Freeform 60">
              <a:extLst>
                <a:ext uri="{FF2B5EF4-FFF2-40B4-BE49-F238E27FC236}">
                  <a16:creationId xmlns:a16="http://schemas.microsoft.com/office/drawing/2014/main" id="{D7B98930-CDFA-4156-8754-95510FAD3C9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7" name="Freeform 61">
              <a:extLst>
                <a:ext uri="{FF2B5EF4-FFF2-40B4-BE49-F238E27FC236}">
                  <a16:creationId xmlns:a16="http://schemas.microsoft.com/office/drawing/2014/main" id="{4A3A3DA0-4551-401F-AA5C-CB4F7BB539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8" name="Freeform 73">
              <a:extLst>
                <a:ext uri="{FF2B5EF4-FFF2-40B4-BE49-F238E27FC236}">
                  <a16:creationId xmlns:a16="http://schemas.microsoft.com/office/drawing/2014/main" id="{F1401A0A-0103-4FC2-A025-C97903B7DC54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9" name="Freeform 74">
              <a:extLst>
                <a:ext uri="{FF2B5EF4-FFF2-40B4-BE49-F238E27FC236}">
                  <a16:creationId xmlns:a16="http://schemas.microsoft.com/office/drawing/2014/main" id="{217C5B3B-F7E7-446F-B716-F2D1FF860F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0" name="Freeform 75">
              <a:extLst>
                <a:ext uri="{FF2B5EF4-FFF2-40B4-BE49-F238E27FC236}">
                  <a16:creationId xmlns:a16="http://schemas.microsoft.com/office/drawing/2014/main" id="{E761958A-DBFE-4520-BDDC-1A22538325F0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1" name="Freeform 76">
              <a:extLst>
                <a:ext uri="{FF2B5EF4-FFF2-40B4-BE49-F238E27FC236}">
                  <a16:creationId xmlns:a16="http://schemas.microsoft.com/office/drawing/2014/main" id="{445D938A-1FA9-46CD-8273-A543A9EC97E1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2" name="Freeform 78">
              <a:extLst>
                <a:ext uri="{FF2B5EF4-FFF2-40B4-BE49-F238E27FC236}">
                  <a16:creationId xmlns:a16="http://schemas.microsoft.com/office/drawing/2014/main" id="{C65477BA-7A3C-441E-BCB5-76BE1F9930E9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3" name="Freeform 79">
              <a:extLst>
                <a:ext uri="{FF2B5EF4-FFF2-40B4-BE49-F238E27FC236}">
                  <a16:creationId xmlns:a16="http://schemas.microsoft.com/office/drawing/2014/main" id="{F02BA6C4-8729-4E17-A553-FF76B5C4853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4" name="Freeform 81">
              <a:extLst>
                <a:ext uri="{FF2B5EF4-FFF2-40B4-BE49-F238E27FC236}">
                  <a16:creationId xmlns:a16="http://schemas.microsoft.com/office/drawing/2014/main" id="{9556F7E2-4E99-47C4-AFCC-7CE22EC39ED2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5" name="Freeform 83">
              <a:extLst>
                <a:ext uri="{FF2B5EF4-FFF2-40B4-BE49-F238E27FC236}">
                  <a16:creationId xmlns:a16="http://schemas.microsoft.com/office/drawing/2014/main" id="{B552863F-51C3-49C8-957D-60ACBB7B7F86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6" name="Freeform 84">
              <a:extLst>
                <a:ext uri="{FF2B5EF4-FFF2-40B4-BE49-F238E27FC236}">
                  <a16:creationId xmlns:a16="http://schemas.microsoft.com/office/drawing/2014/main" id="{C6BBCC56-5285-411B-A45B-8BBDCD4BBBE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7" name="Freeform 91">
              <a:extLst>
                <a:ext uri="{FF2B5EF4-FFF2-40B4-BE49-F238E27FC236}">
                  <a16:creationId xmlns:a16="http://schemas.microsoft.com/office/drawing/2014/main" id="{EFBFA905-B48A-4D2B-A98C-BDD7C0D1D6F5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8" name="Freeform 95">
              <a:extLst>
                <a:ext uri="{FF2B5EF4-FFF2-40B4-BE49-F238E27FC236}">
                  <a16:creationId xmlns:a16="http://schemas.microsoft.com/office/drawing/2014/main" id="{7F80F259-316E-4AF1-90AD-E806E2ECD75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9" name="Freeform 96">
              <a:extLst>
                <a:ext uri="{FF2B5EF4-FFF2-40B4-BE49-F238E27FC236}">
                  <a16:creationId xmlns:a16="http://schemas.microsoft.com/office/drawing/2014/main" id="{5C6205E9-7EB5-4CEF-BC99-89544677E0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0" name="Freeform 98">
              <a:extLst>
                <a:ext uri="{FF2B5EF4-FFF2-40B4-BE49-F238E27FC236}">
                  <a16:creationId xmlns:a16="http://schemas.microsoft.com/office/drawing/2014/main" id="{EF34C3D3-BD6E-4138-99EA-68CC2A7F051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2" name="Title Border" descr="Flourish pattern" title="Title Border">
            <a:extLst>
              <a:ext uri="{FF2B5EF4-FFF2-40B4-BE49-F238E27FC236}">
                <a16:creationId xmlns:a16="http://schemas.microsoft.com/office/drawing/2014/main" id="{28310435-17C2-4A7E-93BD-D50EB5CA9A50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3" name="Group 3">
              <a:extLst>
                <a:ext uri="{FF2B5EF4-FFF2-40B4-BE49-F238E27FC236}">
                  <a16:creationId xmlns:a16="http://schemas.microsoft.com/office/drawing/2014/main" id="{A9E3B3AE-6981-491F-8EEF-E65511C325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4" name="Group 204">
                <a:extLst>
                  <a:ext uri="{FF2B5EF4-FFF2-40B4-BE49-F238E27FC236}">
                    <a16:creationId xmlns:a16="http://schemas.microsoft.com/office/drawing/2014/main" id="{4D7401D4-D7B8-48EF-A88B-6B913C8AC711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81" name="Freeform 5">
                  <a:extLst>
                    <a:ext uri="{FF2B5EF4-FFF2-40B4-BE49-F238E27FC236}">
                      <a16:creationId xmlns:a16="http://schemas.microsoft.com/office/drawing/2014/main" id="{4C03C6BF-813D-4E85-8E29-D0AF59CFC1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6">
                  <a:extLst>
                    <a:ext uri="{FF2B5EF4-FFF2-40B4-BE49-F238E27FC236}">
                      <a16:creationId xmlns:a16="http://schemas.microsoft.com/office/drawing/2014/main" id="{3E6F7934-1171-4201-83BC-ED1E00F5C8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7">
                  <a:extLst>
                    <a:ext uri="{FF2B5EF4-FFF2-40B4-BE49-F238E27FC236}">
                      <a16:creationId xmlns:a16="http://schemas.microsoft.com/office/drawing/2014/main" id="{97B415A3-1406-4B20-B088-3E632B8556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8">
                  <a:extLst>
                    <a:ext uri="{FF2B5EF4-FFF2-40B4-BE49-F238E27FC236}">
                      <a16:creationId xmlns:a16="http://schemas.microsoft.com/office/drawing/2014/main" id="{CA4BF582-965D-462C-867E-69D97B5A57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9">
                  <a:extLst>
                    <a:ext uri="{FF2B5EF4-FFF2-40B4-BE49-F238E27FC236}">
                      <a16:creationId xmlns:a16="http://schemas.microsoft.com/office/drawing/2014/main" id="{B33E58CD-5689-456B-983F-4187AF997F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0">
                  <a:extLst>
                    <a:ext uri="{FF2B5EF4-FFF2-40B4-BE49-F238E27FC236}">
                      <a16:creationId xmlns:a16="http://schemas.microsoft.com/office/drawing/2014/main" id="{E6C16C8D-1878-4BA8-A22D-971F8B4F3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1">
                  <a:extLst>
                    <a:ext uri="{FF2B5EF4-FFF2-40B4-BE49-F238E27FC236}">
                      <a16:creationId xmlns:a16="http://schemas.microsoft.com/office/drawing/2014/main" id="{F3F9481B-F742-4CFF-A92C-1B32758B76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2">
                  <a:extLst>
                    <a:ext uri="{FF2B5EF4-FFF2-40B4-BE49-F238E27FC236}">
                      <a16:creationId xmlns:a16="http://schemas.microsoft.com/office/drawing/2014/main" id="{1812ED3B-FD68-4E1D-AA38-CB27A37051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3">
                  <a:extLst>
                    <a:ext uri="{FF2B5EF4-FFF2-40B4-BE49-F238E27FC236}">
                      <a16:creationId xmlns:a16="http://schemas.microsoft.com/office/drawing/2014/main" id="{B0379116-0DC8-434D-A4AC-8B5A90DFF3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4">
                  <a:extLst>
                    <a:ext uri="{FF2B5EF4-FFF2-40B4-BE49-F238E27FC236}">
                      <a16:creationId xmlns:a16="http://schemas.microsoft.com/office/drawing/2014/main" id="{30AB66E2-D051-4721-9F27-223C20EC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5">
                  <a:extLst>
                    <a:ext uri="{FF2B5EF4-FFF2-40B4-BE49-F238E27FC236}">
                      <a16:creationId xmlns:a16="http://schemas.microsoft.com/office/drawing/2014/main" id="{065F5AB5-AEA7-49B3-B985-4214E3EEE7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6">
                  <a:extLst>
                    <a:ext uri="{FF2B5EF4-FFF2-40B4-BE49-F238E27FC236}">
                      <a16:creationId xmlns:a16="http://schemas.microsoft.com/office/drawing/2014/main" id="{5BC199E5-CAF6-42D4-95C9-05D2216B21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7">
                  <a:extLst>
                    <a:ext uri="{FF2B5EF4-FFF2-40B4-BE49-F238E27FC236}">
                      <a16:creationId xmlns:a16="http://schemas.microsoft.com/office/drawing/2014/main" id="{07710CA3-C7A2-41AE-9117-5A0D326800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18">
                  <a:extLst>
                    <a:ext uri="{FF2B5EF4-FFF2-40B4-BE49-F238E27FC236}">
                      <a16:creationId xmlns:a16="http://schemas.microsoft.com/office/drawing/2014/main" id="{CE9F16F1-A2B0-45C3-950B-36C9C377A1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19">
                  <a:extLst>
                    <a:ext uri="{FF2B5EF4-FFF2-40B4-BE49-F238E27FC236}">
                      <a16:creationId xmlns:a16="http://schemas.microsoft.com/office/drawing/2014/main" id="{A00D3671-079C-4D1B-9DB5-91989F37EC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0">
                  <a:extLst>
                    <a:ext uri="{FF2B5EF4-FFF2-40B4-BE49-F238E27FC236}">
                      <a16:creationId xmlns:a16="http://schemas.microsoft.com/office/drawing/2014/main" id="{FFB743EA-9C9E-4AF1-9386-F3A6BF90FC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1">
                  <a:extLst>
                    <a:ext uri="{FF2B5EF4-FFF2-40B4-BE49-F238E27FC236}">
                      <a16:creationId xmlns:a16="http://schemas.microsoft.com/office/drawing/2014/main" id="{9511C683-93BC-4642-8E1F-03A1B9269F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2">
                  <a:extLst>
                    <a:ext uri="{FF2B5EF4-FFF2-40B4-BE49-F238E27FC236}">
                      <a16:creationId xmlns:a16="http://schemas.microsoft.com/office/drawing/2014/main" id="{0C8AF386-1676-4EE8-A543-FA3A81F30A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3">
                  <a:extLst>
                    <a:ext uri="{FF2B5EF4-FFF2-40B4-BE49-F238E27FC236}">
                      <a16:creationId xmlns:a16="http://schemas.microsoft.com/office/drawing/2014/main" id="{805371CC-AE17-45FE-9D34-5A3F565F038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4">
                  <a:extLst>
                    <a:ext uri="{FF2B5EF4-FFF2-40B4-BE49-F238E27FC236}">
                      <a16:creationId xmlns:a16="http://schemas.microsoft.com/office/drawing/2014/main" id="{92620AAA-142B-4F17-BE33-705AAE7D0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5">
                  <a:extLst>
                    <a:ext uri="{FF2B5EF4-FFF2-40B4-BE49-F238E27FC236}">
                      <a16:creationId xmlns:a16="http://schemas.microsoft.com/office/drawing/2014/main" id="{AF7677F1-6457-4782-B493-AB099723D7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6">
                  <a:extLst>
                    <a:ext uri="{FF2B5EF4-FFF2-40B4-BE49-F238E27FC236}">
                      <a16:creationId xmlns:a16="http://schemas.microsoft.com/office/drawing/2014/main" id="{FF2E2C78-11E4-412C-8656-D02B83CBEB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7">
                  <a:extLst>
                    <a:ext uri="{FF2B5EF4-FFF2-40B4-BE49-F238E27FC236}">
                      <a16:creationId xmlns:a16="http://schemas.microsoft.com/office/drawing/2014/main" id="{3012B460-960C-423A-820F-6CC24A5AA3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28">
                  <a:extLst>
                    <a:ext uri="{FF2B5EF4-FFF2-40B4-BE49-F238E27FC236}">
                      <a16:creationId xmlns:a16="http://schemas.microsoft.com/office/drawing/2014/main" id="{7ED66B13-7E01-4204-98DE-FBB23B7DF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29">
                  <a:extLst>
                    <a:ext uri="{FF2B5EF4-FFF2-40B4-BE49-F238E27FC236}">
                      <a16:creationId xmlns:a16="http://schemas.microsoft.com/office/drawing/2014/main" id="{5FD865CE-724D-4311-BED3-0C5D319A45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0">
                  <a:extLst>
                    <a:ext uri="{FF2B5EF4-FFF2-40B4-BE49-F238E27FC236}">
                      <a16:creationId xmlns:a16="http://schemas.microsoft.com/office/drawing/2014/main" id="{BCFE5DD3-6204-4BCC-A2DB-E8E1EDF00E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1">
                  <a:extLst>
                    <a:ext uri="{FF2B5EF4-FFF2-40B4-BE49-F238E27FC236}">
                      <a16:creationId xmlns:a16="http://schemas.microsoft.com/office/drawing/2014/main" id="{5F463536-CEE0-4CC1-881E-2C736D8A1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2">
                  <a:extLst>
                    <a:ext uri="{FF2B5EF4-FFF2-40B4-BE49-F238E27FC236}">
                      <a16:creationId xmlns:a16="http://schemas.microsoft.com/office/drawing/2014/main" id="{2D9EB6E1-2C71-4A04-9C43-7F2D73ACA2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3">
                  <a:extLst>
                    <a:ext uri="{FF2B5EF4-FFF2-40B4-BE49-F238E27FC236}">
                      <a16:creationId xmlns:a16="http://schemas.microsoft.com/office/drawing/2014/main" id="{917779A2-936A-4A4A-84DA-79D84387B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4">
                  <a:extLst>
                    <a:ext uri="{FF2B5EF4-FFF2-40B4-BE49-F238E27FC236}">
                      <a16:creationId xmlns:a16="http://schemas.microsoft.com/office/drawing/2014/main" id="{D710F914-89F0-4144-9AEA-3580A65966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5">
                  <a:extLst>
                    <a:ext uri="{FF2B5EF4-FFF2-40B4-BE49-F238E27FC236}">
                      <a16:creationId xmlns:a16="http://schemas.microsoft.com/office/drawing/2014/main" id="{6886795F-477A-4A72-9C35-24D2388FFA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6">
                  <a:extLst>
                    <a:ext uri="{FF2B5EF4-FFF2-40B4-BE49-F238E27FC236}">
                      <a16:creationId xmlns:a16="http://schemas.microsoft.com/office/drawing/2014/main" id="{53339085-BB4B-458A-87F3-933CC4DFD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7">
                  <a:extLst>
                    <a:ext uri="{FF2B5EF4-FFF2-40B4-BE49-F238E27FC236}">
                      <a16:creationId xmlns:a16="http://schemas.microsoft.com/office/drawing/2014/main" id="{802314D4-4FAE-402D-897A-4F2E0ACA16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38">
                  <a:extLst>
                    <a:ext uri="{FF2B5EF4-FFF2-40B4-BE49-F238E27FC236}">
                      <a16:creationId xmlns:a16="http://schemas.microsoft.com/office/drawing/2014/main" id="{EB5A163F-1046-4072-9693-033BEFA7E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39">
                  <a:extLst>
                    <a:ext uri="{FF2B5EF4-FFF2-40B4-BE49-F238E27FC236}">
                      <a16:creationId xmlns:a16="http://schemas.microsoft.com/office/drawing/2014/main" id="{78AF0CCD-E15A-4C3A-8981-FFCFDD0533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0">
                  <a:extLst>
                    <a:ext uri="{FF2B5EF4-FFF2-40B4-BE49-F238E27FC236}">
                      <a16:creationId xmlns:a16="http://schemas.microsoft.com/office/drawing/2014/main" id="{8F7F4654-74FA-4005-A94A-84992DC10B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1">
                  <a:extLst>
                    <a:ext uri="{FF2B5EF4-FFF2-40B4-BE49-F238E27FC236}">
                      <a16:creationId xmlns:a16="http://schemas.microsoft.com/office/drawing/2014/main" id="{CDBD0F8E-3BA7-4EB7-9994-8A0AFE2383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2">
                  <a:extLst>
                    <a:ext uri="{FF2B5EF4-FFF2-40B4-BE49-F238E27FC236}">
                      <a16:creationId xmlns:a16="http://schemas.microsoft.com/office/drawing/2014/main" id="{BEF1E7F3-8F16-472A-9EA3-F2C121D6D1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3">
                  <a:extLst>
                    <a:ext uri="{FF2B5EF4-FFF2-40B4-BE49-F238E27FC236}">
                      <a16:creationId xmlns:a16="http://schemas.microsoft.com/office/drawing/2014/main" id="{9AF1845B-5A19-45EA-8C9B-C338B7E49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4">
                  <a:extLst>
                    <a:ext uri="{FF2B5EF4-FFF2-40B4-BE49-F238E27FC236}">
                      <a16:creationId xmlns:a16="http://schemas.microsoft.com/office/drawing/2014/main" id="{AFA0C64F-CC57-4704-84E5-9C32C35A72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5">
                  <a:extLst>
                    <a:ext uri="{FF2B5EF4-FFF2-40B4-BE49-F238E27FC236}">
                      <a16:creationId xmlns:a16="http://schemas.microsoft.com/office/drawing/2014/main" id="{9A829E57-2639-4AA5-9DC4-59A46656D9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6">
                  <a:extLst>
                    <a:ext uri="{FF2B5EF4-FFF2-40B4-BE49-F238E27FC236}">
                      <a16:creationId xmlns:a16="http://schemas.microsoft.com/office/drawing/2014/main" id="{58C15D5B-502E-4FEB-A91A-B18574C8D6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7">
                  <a:extLst>
                    <a:ext uri="{FF2B5EF4-FFF2-40B4-BE49-F238E27FC236}">
                      <a16:creationId xmlns:a16="http://schemas.microsoft.com/office/drawing/2014/main" id="{8A182EEA-0851-4E1C-B24C-1A7E245A5A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48">
                  <a:extLst>
                    <a:ext uri="{FF2B5EF4-FFF2-40B4-BE49-F238E27FC236}">
                      <a16:creationId xmlns:a16="http://schemas.microsoft.com/office/drawing/2014/main" id="{E57B4189-397A-459D-9142-176AA37643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49">
                  <a:extLst>
                    <a:ext uri="{FF2B5EF4-FFF2-40B4-BE49-F238E27FC236}">
                      <a16:creationId xmlns:a16="http://schemas.microsoft.com/office/drawing/2014/main" id="{0487DCE4-3DBA-49F7-84A9-C7807810E6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0">
                  <a:extLst>
                    <a:ext uri="{FF2B5EF4-FFF2-40B4-BE49-F238E27FC236}">
                      <a16:creationId xmlns:a16="http://schemas.microsoft.com/office/drawing/2014/main" id="{D99FF92F-D997-4259-99C0-54BAA196C1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1">
                  <a:extLst>
                    <a:ext uri="{FF2B5EF4-FFF2-40B4-BE49-F238E27FC236}">
                      <a16:creationId xmlns:a16="http://schemas.microsoft.com/office/drawing/2014/main" id="{97909401-6519-4F43-AB07-FD104615CC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2">
                  <a:extLst>
                    <a:ext uri="{FF2B5EF4-FFF2-40B4-BE49-F238E27FC236}">
                      <a16:creationId xmlns:a16="http://schemas.microsoft.com/office/drawing/2014/main" id="{893F777A-9B5A-4341-BD9F-3900C8D8E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3">
                  <a:extLst>
                    <a:ext uri="{FF2B5EF4-FFF2-40B4-BE49-F238E27FC236}">
                      <a16:creationId xmlns:a16="http://schemas.microsoft.com/office/drawing/2014/main" id="{C60E2623-4460-458B-9D2E-2EA2BD29AC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4">
                  <a:extLst>
                    <a:ext uri="{FF2B5EF4-FFF2-40B4-BE49-F238E27FC236}">
                      <a16:creationId xmlns:a16="http://schemas.microsoft.com/office/drawing/2014/main" id="{E48A1BFF-0C67-414D-8329-4E14C38875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5">
                  <a:extLst>
                    <a:ext uri="{FF2B5EF4-FFF2-40B4-BE49-F238E27FC236}">
                      <a16:creationId xmlns:a16="http://schemas.microsoft.com/office/drawing/2014/main" id="{B80E77B2-5027-41A9-9F9D-B81B2199AD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6">
                  <a:extLst>
                    <a:ext uri="{FF2B5EF4-FFF2-40B4-BE49-F238E27FC236}">
                      <a16:creationId xmlns:a16="http://schemas.microsoft.com/office/drawing/2014/main" id="{B9B1B6F5-14D5-4465-B41A-B1FC534C5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7">
                  <a:extLst>
                    <a:ext uri="{FF2B5EF4-FFF2-40B4-BE49-F238E27FC236}">
                      <a16:creationId xmlns:a16="http://schemas.microsoft.com/office/drawing/2014/main" id="{F1FBD318-9A1E-4255-B06A-1E242FAB0F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58">
                  <a:extLst>
                    <a:ext uri="{FF2B5EF4-FFF2-40B4-BE49-F238E27FC236}">
                      <a16:creationId xmlns:a16="http://schemas.microsoft.com/office/drawing/2014/main" id="{EDA319A4-F3DB-41A9-92F8-989FB6BFE6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59">
                  <a:extLst>
                    <a:ext uri="{FF2B5EF4-FFF2-40B4-BE49-F238E27FC236}">
                      <a16:creationId xmlns:a16="http://schemas.microsoft.com/office/drawing/2014/main" id="{1EC83BF5-7C73-45F1-9564-CA17E7195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0">
                  <a:extLst>
                    <a:ext uri="{FF2B5EF4-FFF2-40B4-BE49-F238E27FC236}">
                      <a16:creationId xmlns:a16="http://schemas.microsoft.com/office/drawing/2014/main" id="{E2E92A27-EDB6-443C-B048-363109FEA4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1">
                  <a:extLst>
                    <a:ext uri="{FF2B5EF4-FFF2-40B4-BE49-F238E27FC236}">
                      <a16:creationId xmlns:a16="http://schemas.microsoft.com/office/drawing/2014/main" id="{3DB57CD7-DB37-4A03-BD48-3AD05F08B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2">
                  <a:extLst>
                    <a:ext uri="{FF2B5EF4-FFF2-40B4-BE49-F238E27FC236}">
                      <a16:creationId xmlns:a16="http://schemas.microsoft.com/office/drawing/2014/main" id="{FA50D5AC-29F1-41FB-AC3F-0FDD2EA325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3">
                  <a:extLst>
                    <a:ext uri="{FF2B5EF4-FFF2-40B4-BE49-F238E27FC236}">
                      <a16:creationId xmlns:a16="http://schemas.microsoft.com/office/drawing/2014/main" id="{F291B019-1D96-402A-9EC4-44388C8876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4">
                  <a:extLst>
                    <a:ext uri="{FF2B5EF4-FFF2-40B4-BE49-F238E27FC236}">
                      <a16:creationId xmlns:a16="http://schemas.microsoft.com/office/drawing/2014/main" id="{F4C13360-D09A-4E7A-A577-DDBE60B75F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5">
                  <a:extLst>
                    <a:ext uri="{FF2B5EF4-FFF2-40B4-BE49-F238E27FC236}">
                      <a16:creationId xmlns:a16="http://schemas.microsoft.com/office/drawing/2014/main" id="{AF357D23-4D36-434A-B60B-7E76B1B0D6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6">
                  <a:extLst>
                    <a:ext uri="{FF2B5EF4-FFF2-40B4-BE49-F238E27FC236}">
                      <a16:creationId xmlns:a16="http://schemas.microsoft.com/office/drawing/2014/main" id="{1E96A4CD-E75F-4B99-81C5-1BF83C5F8B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7">
                  <a:extLst>
                    <a:ext uri="{FF2B5EF4-FFF2-40B4-BE49-F238E27FC236}">
                      <a16:creationId xmlns:a16="http://schemas.microsoft.com/office/drawing/2014/main" id="{93F6A1E9-E24F-491D-AE00-54B65B41D5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68">
                  <a:extLst>
                    <a:ext uri="{FF2B5EF4-FFF2-40B4-BE49-F238E27FC236}">
                      <a16:creationId xmlns:a16="http://schemas.microsoft.com/office/drawing/2014/main" id="{CBB246FF-EB87-40FD-9AF4-6FF7E166320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69">
                  <a:extLst>
                    <a:ext uri="{FF2B5EF4-FFF2-40B4-BE49-F238E27FC236}">
                      <a16:creationId xmlns:a16="http://schemas.microsoft.com/office/drawing/2014/main" id="{A56E0D43-05AA-40E5-BADF-4B1FBE7FD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0">
                  <a:extLst>
                    <a:ext uri="{FF2B5EF4-FFF2-40B4-BE49-F238E27FC236}">
                      <a16:creationId xmlns:a16="http://schemas.microsoft.com/office/drawing/2014/main" id="{33D98CE0-C8D3-4641-88DF-5B872C5F37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1">
                  <a:extLst>
                    <a:ext uri="{FF2B5EF4-FFF2-40B4-BE49-F238E27FC236}">
                      <a16:creationId xmlns:a16="http://schemas.microsoft.com/office/drawing/2014/main" id="{A4319C05-9AE0-4E45-A959-9EC15C1B07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2">
                  <a:extLst>
                    <a:ext uri="{FF2B5EF4-FFF2-40B4-BE49-F238E27FC236}">
                      <a16:creationId xmlns:a16="http://schemas.microsoft.com/office/drawing/2014/main" id="{2A15FD08-4F67-4255-83C5-2FDC24A8A4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3">
                  <a:extLst>
                    <a:ext uri="{FF2B5EF4-FFF2-40B4-BE49-F238E27FC236}">
                      <a16:creationId xmlns:a16="http://schemas.microsoft.com/office/drawing/2014/main" id="{96E8D3AA-E9C6-47B7-BBE5-5EDF65D624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4">
                  <a:extLst>
                    <a:ext uri="{FF2B5EF4-FFF2-40B4-BE49-F238E27FC236}">
                      <a16:creationId xmlns:a16="http://schemas.microsoft.com/office/drawing/2014/main" id="{E1FB4E6D-C222-47DE-BDF1-807A78A8CC6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5">
                  <a:extLst>
                    <a:ext uri="{FF2B5EF4-FFF2-40B4-BE49-F238E27FC236}">
                      <a16:creationId xmlns:a16="http://schemas.microsoft.com/office/drawing/2014/main" id="{304687AE-ECA8-4A43-9145-B4374165A8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6">
                  <a:extLst>
                    <a:ext uri="{FF2B5EF4-FFF2-40B4-BE49-F238E27FC236}">
                      <a16:creationId xmlns:a16="http://schemas.microsoft.com/office/drawing/2014/main" id="{F426FED8-ADE8-45EF-A842-ABAD39D970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7">
                  <a:extLst>
                    <a:ext uri="{FF2B5EF4-FFF2-40B4-BE49-F238E27FC236}">
                      <a16:creationId xmlns:a16="http://schemas.microsoft.com/office/drawing/2014/main" id="{D9929D14-7D79-4F45-87EE-18995E03B8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78">
                  <a:extLst>
                    <a:ext uri="{FF2B5EF4-FFF2-40B4-BE49-F238E27FC236}">
                      <a16:creationId xmlns:a16="http://schemas.microsoft.com/office/drawing/2014/main" id="{DFBB27EB-4181-4DE0-8146-19827C41D6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79">
                  <a:extLst>
                    <a:ext uri="{FF2B5EF4-FFF2-40B4-BE49-F238E27FC236}">
                      <a16:creationId xmlns:a16="http://schemas.microsoft.com/office/drawing/2014/main" id="{40B707C3-C362-43AA-8836-F4D4495BDD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0">
                  <a:extLst>
                    <a:ext uri="{FF2B5EF4-FFF2-40B4-BE49-F238E27FC236}">
                      <a16:creationId xmlns:a16="http://schemas.microsoft.com/office/drawing/2014/main" id="{28012D60-A103-4DBE-AADD-192037E937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1">
                  <a:extLst>
                    <a:ext uri="{FF2B5EF4-FFF2-40B4-BE49-F238E27FC236}">
                      <a16:creationId xmlns:a16="http://schemas.microsoft.com/office/drawing/2014/main" id="{E0502CF5-3A1D-4B6D-AC27-535A0B48E3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2">
                  <a:extLst>
                    <a:ext uri="{FF2B5EF4-FFF2-40B4-BE49-F238E27FC236}">
                      <a16:creationId xmlns:a16="http://schemas.microsoft.com/office/drawing/2014/main" id="{2A6FD713-0918-4B17-AA43-BB71CFEFFC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3">
                  <a:extLst>
                    <a:ext uri="{FF2B5EF4-FFF2-40B4-BE49-F238E27FC236}">
                      <a16:creationId xmlns:a16="http://schemas.microsoft.com/office/drawing/2014/main" id="{1998C11F-C47E-4199-AF2F-94A0644D92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4">
                  <a:extLst>
                    <a:ext uri="{FF2B5EF4-FFF2-40B4-BE49-F238E27FC236}">
                      <a16:creationId xmlns:a16="http://schemas.microsoft.com/office/drawing/2014/main" id="{B3787A6D-6E8E-4607-ADC5-52000F17CD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5">
                  <a:extLst>
                    <a:ext uri="{FF2B5EF4-FFF2-40B4-BE49-F238E27FC236}">
                      <a16:creationId xmlns:a16="http://schemas.microsoft.com/office/drawing/2014/main" id="{5D8FA6E0-E11A-40EE-8F63-DDEB041895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6">
                  <a:extLst>
                    <a:ext uri="{FF2B5EF4-FFF2-40B4-BE49-F238E27FC236}">
                      <a16:creationId xmlns:a16="http://schemas.microsoft.com/office/drawing/2014/main" id="{BEFC4D49-2021-48E1-BAD5-F4020337B9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7">
                  <a:extLst>
                    <a:ext uri="{FF2B5EF4-FFF2-40B4-BE49-F238E27FC236}">
                      <a16:creationId xmlns:a16="http://schemas.microsoft.com/office/drawing/2014/main" id="{D2480A93-E3FD-4F02-A02E-5F1CED3A8D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88">
                  <a:extLst>
                    <a:ext uri="{FF2B5EF4-FFF2-40B4-BE49-F238E27FC236}">
                      <a16:creationId xmlns:a16="http://schemas.microsoft.com/office/drawing/2014/main" id="{528E13E5-A136-4AA9-BDBC-1C7F7A50BD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89">
                  <a:extLst>
                    <a:ext uri="{FF2B5EF4-FFF2-40B4-BE49-F238E27FC236}">
                      <a16:creationId xmlns:a16="http://schemas.microsoft.com/office/drawing/2014/main" id="{90B15B83-CC20-4CB5-B3E3-EDE227699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0">
                  <a:extLst>
                    <a:ext uri="{FF2B5EF4-FFF2-40B4-BE49-F238E27FC236}">
                      <a16:creationId xmlns:a16="http://schemas.microsoft.com/office/drawing/2014/main" id="{B3137B0F-59A4-4BE3-8EA0-2F9973861D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1">
                  <a:extLst>
                    <a:ext uri="{FF2B5EF4-FFF2-40B4-BE49-F238E27FC236}">
                      <a16:creationId xmlns:a16="http://schemas.microsoft.com/office/drawing/2014/main" id="{404D1145-8639-4D34-BED3-027A1BE6A2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2">
                  <a:extLst>
                    <a:ext uri="{FF2B5EF4-FFF2-40B4-BE49-F238E27FC236}">
                      <a16:creationId xmlns:a16="http://schemas.microsoft.com/office/drawing/2014/main" id="{13855BBA-4198-47F1-9E5F-468BA4E213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3">
                  <a:extLst>
                    <a:ext uri="{FF2B5EF4-FFF2-40B4-BE49-F238E27FC236}">
                      <a16:creationId xmlns:a16="http://schemas.microsoft.com/office/drawing/2014/main" id="{82B26E24-E320-4C4C-9476-D8226F55A9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4">
                  <a:extLst>
                    <a:ext uri="{FF2B5EF4-FFF2-40B4-BE49-F238E27FC236}">
                      <a16:creationId xmlns:a16="http://schemas.microsoft.com/office/drawing/2014/main" id="{36C3CD7F-EAA8-4FCE-ACCD-23360D2390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5">
                  <a:extLst>
                    <a:ext uri="{FF2B5EF4-FFF2-40B4-BE49-F238E27FC236}">
                      <a16:creationId xmlns:a16="http://schemas.microsoft.com/office/drawing/2014/main" id="{B1A7E55B-BA53-404D-BDDF-500CFD4E76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6">
                  <a:extLst>
                    <a:ext uri="{FF2B5EF4-FFF2-40B4-BE49-F238E27FC236}">
                      <a16:creationId xmlns:a16="http://schemas.microsoft.com/office/drawing/2014/main" id="{F31D2E40-5506-4A1B-93AB-E9925E9090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7">
                  <a:extLst>
                    <a:ext uri="{FF2B5EF4-FFF2-40B4-BE49-F238E27FC236}">
                      <a16:creationId xmlns:a16="http://schemas.microsoft.com/office/drawing/2014/main" id="{09FB0969-8F8F-4282-A7DB-C1966F1836A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98">
                  <a:extLst>
                    <a:ext uri="{FF2B5EF4-FFF2-40B4-BE49-F238E27FC236}">
                      <a16:creationId xmlns:a16="http://schemas.microsoft.com/office/drawing/2014/main" id="{9498FEA1-7305-4D49-9DAD-5CC345C29F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99">
                  <a:extLst>
                    <a:ext uri="{FF2B5EF4-FFF2-40B4-BE49-F238E27FC236}">
                      <a16:creationId xmlns:a16="http://schemas.microsoft.com/office/drawing/2014/main" id="{92B63CC1-6BC4-4DD4-BD74-E33F304FE7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0">
                  <a:extLst>
                    <a:ext uri="{FF2B5EF4-FFF2-40B4-BE49-F238E27FC236}">
                      <a16:creationId xmlns:a16="http://schemas.microsoft.com/office/drawing/2014/main" id="{00A4271F-53FE-43F3-BBE1-EA064B7C72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1">
                  <a:extLst>
                    <a:ext uri="{FF2B5EF4-FFF2-40B4-BE49-F238E27FC236}">
                      <a16:creationId xmlns:a16="http://schemas.microsoft.com/office/drawing/2014/main" id="{35BA045C-764B-4ADB-A02A-977E20C75C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2">
                  <a:extLst>
                    <a:ext uri="{FF2B5EF4-FFF2-40B4-BE49-F238E27FC236}">
                      <a16:creationId xmlns:a16="http://schemas.microsoft.com/office/drawing/2014/main" id="{FD9563AC-E25C-4093-9D8F-67EFA3E51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3">
                  <a:extLst>
                    <a:ext uri="{FF2B5EF4-FFF2-40B4-BE49-F238E27FC236}">
                      <a16:creationId xmlns:a16="http://schemas.microsoft.com/office/drawing/2014/main" id="{4DD5A02F-8AB0-4610-87A0-5BA98DE423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4">
                  <a:extLst>
                    <a:ext uri="{FF2B5EF4-FFF2-40B4-BE49-F238E27FC236}">
                      <a16:creationId xmlns:a16="http://schemas.microsoft.com/office/drawing/2014/main" id="{F80678A4-B26D-41A6-897E-40C27EE3B0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5">
                  <a:extLst>
                    <a:ext uri="{FF2B5EF4-FFF2-40B4-BE49-F238E27FC236}">
                      <a16:creationId xmlns:a16="http://schemas.microsoft.com/office/drawing/2014/main" id="{197329E0-9E9F-4A4B-90F8-E0DD5E3AD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6">
                  <a:extLst>
                    <a:ext uri="{FF2B5EF4-FFF2-40B4-BE49-F238E27FC236}">
                      <a16:creationId xmlns:a16="http://schemas.microsoft.com/office/drawing/2014/main" id="{F14A62D9-AEB3-4528-8409-073D6BE0AE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7">
                  <a:extLst>
                    <a:ext uri="{FF2B5EF4-FFF2-40B4-BE49-F238E27FC236}">
                      <a16:creationId xmlns:a16="http://schemas.microsoft.com/office/drawing/2014/main" id="{D8653EB1-8665-4D3A-ACE6-DFF8E9C2E5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08">
                  <a:extLst>
                    <a:ext uri="{FF2B5EF4-FFF2-40B4-BE49-F238E27FC236}">
                      <a16:creationId xmlns:a16="http://schemas.microsoft.com/office/drawing/2014/main" id="{9EEE90DE-1E33-4438-914C-EA900E9C5F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09">
                  <a:extLst>
                    <a:ext uri="{FF2B5EF4-FFF2-40B4-BE49-F238E27FC236}">
                      <a16:creationId xmlns:a16="http://schemas.microsoft.com/office/drawing/2014/main" id="{0A7B0D62-D2B6-4C01-8EE1-7B819F8FB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0">
                  <a:extLst>
                    <a:ext uri="{FF2B5EF4-FFF2-40B4-BE49-F238E27FC236}">
                      <a16:creationId xmlns:a16="http://schemas.microsoft.com/office/drawing/2014/main" id="{7FE21567-0063-450C-84E3-07C18C100A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1">
                  <a:extLst>
                    <a:ext uri="{FF2B5EF4-FFF2-40B4-BE49-F238E27FC236}">
                      <a16:creationId xmlns:a16="http://schemas.microsoft.com/office/drawing/2014/main" id="{A4A6CA64-5C21-4AB8-B4DD-887AFD9376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2">
                  <a:extLst>
                    <a:ext uri="{FF2B5EF4-FFF2-40B4-BE49-F238E27FC236}">
                      <a16:creationId xmlns:a16="http://schemas.microsoft.com/office/drawing/2014/main" id="{5105BAEC-39D6-4D9E-BC4F-C6A1FDB08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3">
                  <a:extLst>
                    <a:ext uri="{FF2B5EF4-FFF2-40B4-BE49-F238E27FC236}">
                      <a16:creationId xmlns:a16="http://schemas.microsoft.com/office/drawing/2014/main" id="{418B3A2E-AC63-49CF-B82A-9F8E8A79EF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4">
                  <a:extLst>
                    <a:ext uri="{FF2B5EF4-FFF2-40B4-BE49-F238E27FC236}">
                      <a16:creationId xmlns:a16="http://schemas.microsoft.com/office/drawing/2014/main" id="{ADE13C65-543C-4799-8EF0-A96CC1BE65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5">
                  <a:extLst>
                    <a:ext uri="{FF2B5EF4-FFF2-40B4-BE49-F238E27FC236}">
                      <a16:creationId xmlns:a16="http://schemas.microsoft.com/office/drawing/2014/main" id="{8324F1FA-A7F0-4F25-8F21-37B219776B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6">
                  <a:extLst>
                    <a:ext uri="{FF2B5EF4-FFF2-40B4-BE49-F238E27FC236}">
                      <a16:creationId xmlns:a16="http://schemas.microsoft.com/office/drawing/2014/main" id="{C1B893AB-AA26-4CE7-AE7B-D56E3AE85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7">
                  <a:extLst>
                    <a:ext uri="{FF2B5EF4-FFF2-40B4-BE49-F238E27FC236}">
                      <a16:creationId xmlns:a16="http://schemas.microsoft.com/office/drawing/2014/main" id="{AA191621-8CDF-4DAF-BECC-860094EAE8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18">
                  <a:extLst>
                    <a:ext uri="{FF2B5EF4-FFF2-40B4-BE49-F238E27FC236}">
                      <a16:creationId xmlns:a16="http://schemas.microsoft.com/office/drawing/2014/main" id="{1834444F-B385-4101-B975-84CD4B1BDE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19">
                  <a:extLst>
                    <a:ext uri="{FF2B5EF4-FFF2-40B4-BE49-F238E27FC236}">
                      <a16:creationId xmlns:a16="http://schemas.microsoft.com/office/drawing/2014/main" id="{A7962035-8F27-42A4-920A-7559803475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0">
                  <a:extLst>
                    <a:ext uri="{FF2B5EF4-FFF2-40B4-BE49-F238E27FC236}">
                      <a16:creationId xmlns:a16="http://schemas.microsoft.com/office/drawing/2014/main" id="{A97DE4A5-6DC7-4471-8118-232F65DE96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1">
                  <a:extLst>
                    <a:ext uri="{FF2B5EF4-FFF2-40B4-BE49-F238E27FC236}">
                      <a16:creationId xmlns:a16="http://schemas.microsoft.com/office/drawing/2014/main" id="{979FA1B9-3BC4-4177-B7B0-EC007B515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2">
                  <a:extLst>
                    <a:ext uri="{FF2B5EF4-FFF2-40B4-BE49-F238E27FC236}">
                      <a16:creationId xmlns:a16="http://schemas.microsoft.com/office/drawing/2014/main" id="{6CA45F94-668E-4E02-AAF4-C1C64A80F8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3">
                  <a:extLst>
                    <a:ext uri="{FF2B5EF4-FFF2-40B4-BE49-F238E27FC236}">
                      <a16:creationId xmlns:a16="http://schemas.microsoft.com/office/drawing/2014/main" id="{0BB2D08D-5DB2-4B5B-9C15-CE08F1F041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4">
                  <a:extLst>
                    <a:ext uri="{FF2B5EF4-FFF2-40B4-BE49-F238E27FC236}">
                      <a16:creationId xmlns:a16="http://schemas.microsoft.com/office/drawing/2014/main" id="{7C45179F-3B7F-4F25-BB32-2DCC3C9AA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5">
                  <a:extLst>
                    <a:ext uri="{FF2B5EF4-FFF2-40B4-BE49-F238E27FC236}">
                      <a16:creationId xmlns:a16="http://schemas.microsoft.com/office/drawing/2014/main" id="{05058443-04FF-4385-8E0B-49081D6176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6">
                  <a:extLst>
                    <a:ext uri="{FF2B5EF4-FFF2-40B4-BE49-F238E27FC236}">
                      <a16:creationId xmlns:a16="http://schemas.microsoft.com/office/drawing/2014/main" id="{CE48AD3F-059D-4A72-9FBB-0334CCA24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7">
                  <a:extLst>
                    <a:ext uri="{FF2B5EF4-FFF2-40B4-BE49-F238E27FC236}">
                      <a16:creationId xmlns:a16="http://schemas.microsoft.com/office/drawing/2014/main" id="{3174FCB0-4647-4C97-AB3B-FE4913A74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28">
                  <a:extLst>
                    <a:ext uri="{FF2B5EF4-FFF2-40B4-BE49-F238E27FC236}">
                      <a16:creationId xmlns:a16="http://schemas.microsoft.com/office/drawing/2014/main" id="{744F10AF-2EA6-4E9B-AC01-CDD6D80D41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29">
                  <a:extLst>
                    <a:ext uri="{FF2B5EF4-FFF2-40B4-BE49-F238E27FC236}">
                      <a16:creationId xmlns:a16="http://schemas.microsoft.com/office/drawing/2014/main" id="{E7035314-B73A-4192-9ABA-D6F330B0D1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0">
                  <a:extLst>
                    <a:ext uri="{FF2B5EF4-FFF2-40B4-BE49-F238E27FC236}">
                      <a16:creationId xmlns:a16="http://schemas.microsoft.com/office/drawing/2014/main" id="{D1A346B9-16A2-4794-BA4B-405A3F7D1D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1">
                  <a:extLst>
                    <a:ext uri="{FF2B5EF4-FFF2-40B4-BE49-F238E27FC236}">
                      <a16:creationId xmlns:a16="http://schemas.microsoft.com/office/drawing/2014/main" id="{083C8270-25D1-4AB4-ABFF-962365EA99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2">
                  <a:extLst>
                    <a:ext uri="{FF2B5EF4-FFF2-40B4-BE49-F238E27FC236}">
                      <a16:creationId xmlns:a16="http://schemas.microsoft.com/office/drawing/2014/main" id="{6219E10E-B48D-4726-A822-F0D575E497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3">
                  <a:extLst>
                    <a:ext uri="{FF2B5EF4-FFF2-40B4-BE49-F238E27FC236}">
                      <a16:creationId xmlns:a16="http://schemas.microsoft.com/office/drawing/2014/main" id="{E673B82E-84F2-4A9A-A829-0434F2C710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4">
                  <a:extLst>
                    <a:ext uri="{FF2B5EF4-FFF2-40B4-BE49-F238E27FC236}">
                      <a16:creationId xmlns:a16="http://schemas.microsoft.com/office/drawing/2014/main" id="{5FFF2F3D-620C-49F0-8EF2-B6F9A5A7D3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5">
                  <a:extLst>
                    <a:ext uri="{FF2B5EF4-FFF2-40B4-BE49-F238E27FC236}">
                      <a16:creationId xmlns:a16="http://schemas.microsoft.com/office/drawing/2014/main" id="{19715150-7677-4548-80DB-193618E31F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6">
                  <a:extLst>
                    <a:ext uri="{FF2B5EF4-FFF2-40B4-BE49-F238E27FC236}">
                      <a16:creationId xmlns:a16="http://schemas.microsoft.com/office/drawing/2014/main" id="{9ABCAE19-F831-4BB7-B26E-298844F791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7">
                  <a:extLst>
                    <a:ext uri="{FF2B5EF4-FFF2-40B4-BE49-F238E27FC236}">
                      <a16:creationId xmlns:a16="http://schemas.microsoft.com/office/drawing/2014/main" id="{7AA65579-5ED0-4008-9724-89EB0BB9BC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38">
                  <a:extLst>
                    <a:ext uri="{FF2B5EF4-FFF2-40B4-BE49-F238E27FC236}">
                      <a16:creationId xmlns:a16="http://schemas.microsoft.com/office/drawing/2014/main" id="{638FE479-A4F6-4F8D-8B74-8E2D663B1F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39">
                  <a:extLst>
                    <a:ext uri="{FF2B5EF4-FFF2-40B4-BE49-F238E27FC236}">
                      <a16:creationId xmlns:a16="http://schemas.microsoft.com/office/drawing/2014/main" id="{B8EC7B17-73BB-4AC8-95D8-9CEE120FE5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0">
                  <a:extLst>
                    <a:ext uri="{FF2B5EF4-FFF2-40B4-BE49-F238E27FC236}">
                      <a16:creationId xmlns:a16="http://schemas.microsoft.com/office/drawing/2014/main" id="{59EFD167-BCC0-4AD7-8CC6-53F53227E4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1">
                  <a:extLst>
                    <a:ext uri="{FF2B5EF4-FFF2-40B4-BE49-F238E27FC236}">
                      <a16:creationId xmlns:a16="http://schemas.microsoft.com/office/drawing/2014/main" id="{26865C8B-6D66-4BC8-82EC-DED298E14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2">
                  <a:extLst>
                    <a:ext uri="{FF2B5EF4-FFF2-40B4-BE49-F238E27FC236}">
                      <a16:creationId xmlns:a16="http://schemas.microsoft.com/office/drawing/2014/main" id="{E0A75F7A-13BD-4A54-B80E-441BEEC7D3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3">
                  <a:extLst>
                    <a:ext uri="{FF2B5EF4-FFF2-40B4-BE49-F238E27FC236}">
                      <a16:creationId xmlns:a16="http://schemas.microsoft.com/office/drawing/2014/main" id="{8E3E3217-461B-4DBC-823B-B21C756E56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4">
                  <a:extLst>
                    <a:ext uri="{FF2B5EF4-FFF2-40B4-BE49-F238E27FC236}">
                      <a16:creationId xmlns:a16="http://schemas.microsoft.com/office/drawing/2014/main" id="{2E5CB0CC-12CA-48C2-9D96-BCA70467C6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5">
                  <a:extLst>
                    <a:ext uri="{FF2B5EF4-FFF2-40B4-BE49-F238E27FC236}">
                      <a16:creationId xmlns:a16="http://schemas.microsoft.com/office/drawing/2014/main" id="{056974C0-6256-4BD2-A14C-2EDC8A49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6">
                  <a:extLst>
                    <a:ext uri="{FF2B5EF4-FFF2-40B4-BE49-F238E27FC236}">
                      <a16:creationId xmlns:a16="http://schemas.microsoft.com/office/drawing/2014/main" id="{58F9D8B2-E8D3-44A7-A145-DA5FE9829B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7">
                  <a:extLst>
                    <a:ext uri="{FF2B5EF4-FFF2-40B4-BE49-F238E27FC236}">
                      <a16:creationId xmlns:a16="http://schemas.microsoft.com/office/drawing/2014/main" id="{2B7A38D4-3115-4546-8A57-7C5513D29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48">
                  <a:extLst>
                    <a:ext uri="{FF2B5EF4-FFF2-40B4-BE49-F238E27FC236}">
                      <a16:creationId xmlns:a16="http://schemas.microsoft.com/office/drawing/2014/main" id="{8E30513D-2AA3-4D0B-A433-63E6932D3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49">
                  <a:extLst>
                    <a:ext uri="{FF2B5EF4-FFF2-40B4-BE49-F238E27FC236}">
                      <a16:creationId xmlns:a16="http://schemas.microsoft.com/office/drawing/2014/main" id="{36750400-E690-4AD4-A72B-7AAA95428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0">
                  <a:extLst>
                    <a:ext uri="{FF2B5EF4-FFF2-40B4-BE49-F238E27FC236}">
                      <a16:creationId xmlns:a16="http://schemas.microsoft.com/office/drawing/2014/main" id="{A1260F0D-2D5B-4408-AEB2-A383D0767C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1">
                  <a:extLst>
                    <a:ext uri="{FF2B5EF4-FFF2-40B4-BE49-F238E27FC236}">
                      <a16:creationId xmlns:a16="http://schemas.microsoft.com/office/drawing/2014/main" id="{DCE7A4D8-8499-4424-BAD8-9E00DD5632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2">
                  <a:extLst>
                    <a:ext uri="{FF2B5EF4-FFF2-40B4-BE49-F238E27FC236}">
                      <a16:creationId xmlns:a16="http://schemas.microsoft.com/office/drawing/2014/main" id="{9FCF4C7E-F7BB-40E1-9965-AF1DA4E03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3">
                  <a:extLst>
                    <a:ext uri="{FF2B5EF4-FFF2-40B4-BE49-F238E27FC236}">
                      <a16:creationId xmlns:a16="http://schemas.microsoft.com/office/drawing/2014/main" id="{092B9A34-58A1-47B3-9AB1-D8B37DCA2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4">
                  <a:extLst>
                    <a:ext uri="{FF2B5EF4-FFF2-40B4-BE49-F238E27FC236}">
                      <a16:creationId xmlns:a16="http://schemas.microsoft.com/office/drawing/2014/main" id="{9578E0FB-0B31-45B3-8AF0-DD77DECC3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5">
                  <a:extLst>
                    <a:ext uri="{FF2B5EF4-FFF2-40B4-BE49-F238E27FC236}">
                      <a16:creationId xmlns:a16="http://schemas.microsoft.com/office/drawing/2014/main" id="{A01E5CB1-68EF-413D-9325-D540567766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6">
                  <a:extLst>
                    <a:ext uri="{FF2B5EF4-FFF2-40B4-BE49-F238E27FC236}">
                      <a16:creationId xmlns:a16="http://schemas.microsoft.com/office/drawing/2014/main" id="{96E194CA-9836-4CD3-B2D2-F85BF40B4C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7">
                  <a:extLst>
                    <a:ext uri="{FF2B5EF4-FFF2-40B4-BE49-F238E27FC236}">
                      <a16:creationId xmlns:a16="http://schemas.microsoft.com/office/drawing/2014/main" id="{5C9C8749-AD98-4BB3-B94F-213BBF1B99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58">
                  <a:extLst>
                    <a:ext uri="{FF2B5EF4-FFF2-40B4-BE49-F238E27FC236}">
                      <a16:creationId xmlns:a16="http://schemas.microsoft.com/office/drawing/2014/main" id="{71C57C23-23F3-4F83-B684-2D3D100A4A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59">
                  <a:extLst>
                    <a:ext uri="{FF2B5EF4-FFF2-40B4-BE49-F238E27FC236}">
                      <a16:creationId xmlns:a16="http://schemas.microsoft.com/office/drawing/2014/main" id="{EC53BDA0-66F9-432A-8F83-715E6B00E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0">
                  <a:extLst>
                    <a:ext uri="{FF2B5EF4-FFF2-40B4-BE49-F238E27FC236}">
                      <a16:creationId xmlns:a16="http://schemas.microsoft.com/office/drawing/2014/main" id="{BFBB3D53-66F6-4600-85CB-33F251E3EF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1">
                  <a:extLst>
                    <a:ext uri="{FF2B5EF4-FFF2-40B4-BE49-F238E27FC236}">
                      <a16:creationId xmlns:a16="http://schemas.microsoft.com/office/drawing/2014/main" id="{CFFA2800-DAE0-4DA3-87A0-445E10C423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2">
                  <a:extLst>
                    <a:ext uri="{FF2B5EF4-FFF2-40B4-BE49-F238E27FC236}">
                      <a16:creationId xmlns:a16="http://schemas.microsoft.com/office/drawing/2014/main" id="{3D208586-E47D-493E-B43B-03E6E24799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3">
                  <a:extLst>
                    <a:ext uri="{FF2B5EF4-FFF2-40B4-BE49-F238E27FC236}">
                      <a16:creationId xmlns:a16="http://schemas.microsoft.com/office/drawing/2014/main" id="{D0E99822-7B53-4FBD-96A0-1412F7B826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4">
                  <a:extLst>
                    <a:ext uri="{FF2B5EF4-FFF2-40B4-BE49-F238E27FC236}">
                      <a16:creationId xmlns:a16="http://schemas.microsoft.com/office/drawing/2014/main" id="{201403A7-65CA-4AF5-B5AE-B5679AB232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5">
                  <a:extLst>
                    <a:ext uri="{FF2B5EF4-FFF2-40B4-BE49-F238E27FC236}">
                      <a16:creationId xmlns:a16="http://schemas.microsoft.com/office/drawing/2014/main" id="{2316C991-387C-4425-BA26-880B86149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6">
                  <a:extLst>
                    <a:ext uri="{FF2B5EF4-FFF2-40B4-BE49-F238E27FC236}">
                      <a16:creationId xmlns:a16="http://schemas.microsoft.com/office/drawing/2014/main" id="{D1AED329-6E3F-4CCA-969C-79530D362B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7">
                  <a:extLst>
                    <a:ext uri="{FF2B5EF4-FFF2-40B4-BE49-F238E27FC236}">
                      <a16:creationId xmlns:a16="http://schemas.microsoft.com/office/drawing/2014/main" id="{2ED61601-6145-4AE8-BC46-3D76FBF14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68">
                  <a:extLst>
                    <a:ext uri="{FF2B5EF4-FFF2-40B4-BE49-F238E27FC236}">
                      <a16:creationId xmlns:a16="http://schemas.microsoft.com/office/drawing/2014/main" id="{58E25A54-A10B-4E67-AC5D-6AF911993C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69">
                  <a:extLst>
                    <a:ext uri="{FF2B5EF4-FFF2-40B4-BE49-F238E27FC236}">
                      <a16:creationId xmlns:a16="http://schemas.microsoft.com/office/drawing/2014/main" id="{5C54B07B-4E59-4C3E-BE99-60155ADC5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0">
                  <a:extLst>
                    <a:ext uri="{FF2B5EF4-FFF2-40B4-BE49-F238E27FC236}">
                      <a16:creationId xmlns:a16="http://schemas.microsoft.com/office/drawing/2014/main" id="{46E5A46E-2FD6-44E1-B064-6F7284FD6F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1">
                  <a:extLst>
                    <a:ext uri="{FF2B5EF4-FFF2-40B4-BE49-F238E27FC236}">
                      <a16:creationId xmlns:a16="http://schemas.microsoft.com/office/drawing/2014/main" id="{E677FDAC-30F5-4C2F-A333-F202BCC40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2">
                  <a:extLst>
                    <a:ext uri="{FF2B5EF4-FFF2-40B4-BE49-F238E27FC236}">
                      <a16:creationId xmlns:a16="http://schemas.microsoft.com/office/drawing/2014/main" id="{2BF7712D-F39A-4FC9-B9E2-D0A97A29E7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3">
                  <a:extLst>
                    <a:ext uri="{FF2B5EF4-FFF2-40B4-BE49-F238E27FC236}">
                      <a16:creationId xmlns:a16="http://schemas.microsoft.com/office/drawing/2014/main" id="{38D96D8C-C65B-427B-A1BD-732A14FF6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4">
                  <a:extLst>
                    <a:ext uri="{FF2B5EF4-FFF2-40B4-BE49-F238E27FC236}">
                      <a16:creationId xmlns:a16="http://schemas.microsoft.com/office/drawing/2014/main" id="{9D49E1D8-84FE-449A-9BAC-2CDD701332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5">
                  <a:extLst>
                    <a:ext uri="{FF2B5EF4-FFF2-40B4-BE49-F238E27FC236}">
                      <a16:creationId xmlns:a16="http://schemas.microsoft.com/office/drawing/2014/main" id="{D227FB9F-EDDB-405F-850B-D8E8BA3EA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6">
                  <a:extLst>
                    <a:ext uri="{FF2B5EF4-FFF2-40B4-BE49-F238E27FC236}">
                      <a16:creationId xmlns:a16="http://schemas.microsoft.com/office/drawing/2014/main" id="{CD45E929-7E23-49E2-81F2-3C9DA49A7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7">
                  <a:extLst>
                    <a:ext uri="{FF2B5EF4-FFF2-40B4-BE49-F238E27FC236}">
                      <a16:creationId xmlns:a16="http://schemas.microsoft.com/office/drawing/2014/main" id="{31929418-8B23-4F00-9B63-F8E237C11B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78">
                  <a:extLst>
                    <a:ext uri="{FF2B5EF4-FFF2-40B4-BE49-F238E27FC236}">
                      <a16:creationId xmlns:a16="http://schemas.microsoft.com/office/drawing/2014/main" id="{E810021D-DA96-4EE7-84CE-EE3240CAF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79">
                  <a:extLst>
                    <a:ext uri="{FF2B5EF4-FFF2-40B4-BE49-F238E27FC236}">
                      <a16:creationId xmlns:a16="http://schemas.microsoft.com/office/drawing/2014/main" id="{C9399D5D-B2EA-48E2-8692-05FB334FB5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0">
                  <a:extLst>
                    <a:ext uri="{FF2B5EF4-FFF2-40B4-BE49-F238E27FC236}">
                      <a16:creationId xmlns:a16="http://schemas.microsoft.com/office/drawing/2014/main" id="{EE3E85ED-1B25-4BA7-97CC-84C1DECD7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1">
                  <a:extLst>
                    <a:ext uri="{FF2B5EF4-FFF2-40B4-BE49-F238E27FC236}">
                      <a16:creationId xmlns:a16="http://schemas.microsoft.com/office/drawing/2014/main" id="{2D801D55-E155-42C8-B823-18F55BEA3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2">
                  <a:extLst>
                    <a:ext uri="{FF2B5EF4-FFF2-40B4-BE49-F238E27FC236}">
                      <a16:creationId xmlns:a16="http://schemas.microsoft.com/office/drawing/2014/main" id="{1285CAD1-18B6-4458-BE8C-EE82CAF14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3">
                  <a:extLst>
                    <a:ext uri="{FF2B5EF4-FFF2-40B4-BE49-F238E27FC236}">
                      <a16:creationId xmlns:a16="http://schemas.microsoft.com/office/drawing/2014/main" id="{4D435B30-E738-49C0-BFA2-3ACAA577E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4">
                  <a:extLst>
                    <a:ext uri="{FF2B5EF4-FFF2-40B4-BE49-F238E27FC236}">
                      <a16:creationId xmlns:a16="http://schemas.microsoft.com/office/drawing/2014/main" id="{194D6AEA-680A-4F0D-8D1D-819545D1C0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5">
                  <a:extLst>
                    <a:ext uri="{FF2B5EF4-FFF2-40B4-BE49-F238E27FC236}">
                      <a16:creationId xmlns:a16="http://schemas.microsoft.com/office/drawing/2014/main" id="{C37B8052-0702-4F9C-9AA3-923836CB09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6">
                  <a:extLst>
                    <a:ext uri="{FF2B5EF4-FFF2-40B4-BE49-F238E27FC236}">
                      <a16:creationId xmlns:a16="http://schemas.microsoft.com/office/drawing/2014/main" id="{9292469B-94FF-476F-B071-14B401C12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7">
                  <a:extLst>
                    <a:ext uri="{FF2B5EF4-FFF2-40B4-BE49-F238E27FC236}">
                      <a16:creationId xmlns:a16="http://schemas.microsoft.com/office/drawing/2014/main" id="{41DB5171-52C6-4746-9A15-31AE12249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88">
                  <a:extLst>
                    <a:ext uri="{FF2B5EF4-FFF2-40B4-BE49-F238E27FC236}">
                      <a16:creationId xmlns:a16="http://schemas.microsoft.com/office/drawing/2014/main" id="{A69DF68B-B10B-466F-9A06-1E500E430C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89">
                  <a:extLst>
                    <a:ext uri="{FF2B5EF4-FFF2-40B4-BE49-F238E27FC236}">
                      <a16:creationId xmlns:a16="http://schemas.microsoft.com/office/drawing/2014/main" id="{ABB77656-B475-42FB-86D4-18E13215D9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0">
                  <a:extLst>
                    <a:ext uri="{FF2B5EF4-FFF2-40B4-BE49-F238E27FC236}">
                      <a16:creationId xmlns:a16="http://schemas.microsoft.com/office/drawing/2014/main" id="{B169E91E-9C13-4882-8EB0-1A61E01251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1">
                  <a:extLst>
                    <a:ext uri="{FF2B5EF4-FFF2-40B4-BE49-F238E27FC236}">
                      <a16:creationId xmlns:a16="http://schemas.microsoft.com/office/drawing/2014/main" id="{962E8E17-BF9A-4BE4-A3A1-B1AB4A9414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2">
                  <a:extLst>
                    <a:ext uri="{FF2B5EF4-FFF2-40B4-BE49-F238E27FC236}">
                      <a16:creationId xmlns:a16="http://schemas.microsoft.com/office/drawing/2014/main" id="{BF9FD2F4-C660-4135-8309-6F8BAEA57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3">
                  <a:extLst>
                    <a:ext uri="{FF2B5EF4-FFF2-40B4-BE49-F238E27FC236}">
                      <a16:creationId xmlns:a16="http://schemas.microsoft.com/office/drawing/2014/main" id="{CBA376FB-830D-43CD-A414-1DEF1AD045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4">
                  <a:extLst>
                    <a:ext uri="{FF2B5EF4-FFF2-40B4-BE49-F238E27FC236}">
                      <a16:creationId xmlns:a16="http://schemas.microsoft.com/office/drawing/2014/main" id="{C763F4D5-63D2-4BEE-959D-136FC67D2F8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5">
                  <a:extLst>
                    <a:ext uri="{FF2B5EF4-FFF2-40B4-BE49-F238E27FC236}">
                      <a16:creationId xmlns:a16="http://schemas.microsoft.com/office/drawing/2014/main" id="{E6078E72-5903-4CDA-BEDA-AE84CE034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6">
                  <a:extLst>
                    <a:ext uri="{FF2B5EF4-FFF2-40B4-BE49-F238E27FC236}">
                      <a16:creationId xmlns:a16="http://schemas.microsoft.com/office/drawing/2014/main" id="{63F010AD-CD39-4593-A823-2128DDF816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7">
                  <a:extLst>
                    <a:ext uri="{FF2B5EF4-FFF2-40B4-BE49-F238E27FC236}">
                      <a16:creationId xmlns:a16="http://schemas.microsoft.com/office/drawing/2014/main" id="{4A95895D-BE2B-4051-B48C-F179BD91DE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198">
                  <a:extLst>
                    <a:ext uri="{FF2B5EF4-FFF2-40B4-BE49-F238E27FC236}">
                      <a16:creationId xmlns:a16="http://schemas.microsoft.com/office/drawing/2014/main" id="{B5557C70-A8BD-45AD-99D3-D2753EECA1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199">
                  <a:extLst>
                    <a:ext uri="{FF2B5EF4-FFF2-40B4-BE49-F238E27FC236}">
                      <a16:creationId xmlns:a16="http://schemas.microsoft.com/office/drawing/2014/main" id="{69B47043-8362-4AC0-BE25-EC54466CC3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0">
                  <a:extLst>
                    <a:ext uri="{FF2B5EF4-FFF2-40B4-BE49-F238E27FC236}">
                      <a16:creationId xmlns:a16="http://schemas.microsoft.com/office/drawing/2014/main" id="{479661B7-B90A-46B4-9508-06B40F9F28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1">
                  <a:extLst>
                    <a:ext uri="{FF2B5EF4-FFF2-40B4-BE49-F238E27FC236}">
                      <a16:creationId xmlns:a16="http://schemas.microsoft.com/office/drawing/2014/main" id="{6C36F2BD-15C6-4676-9BE9-FB0D15A2E9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8" name="Freeform 202">
                  <a:extLst>
                    <a:ext uri="{FF2B5EF4-FFF2-40B4-BE49-F238E27FC236}">
                      <a16:creationId xmlns:a16="http://schemas.microsoft.com/office/drawing/2014/main" id="{087AC837-3139-486E-B349-263CB7EF4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9" name="Freeform 203">
                  <a:extLst>
                    <a:ext uri="{FF2B5EF4-FFF2-40B4-BE49-F238E27FC236}">
                      <a16:creationId xmlns:a16="http://schemas.microsoft.com/office/drawing/2014/main" id="{066B616A-99EA-43BD-81A2-F05F0806A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5" name="Freeform 205">
                <a:extLst>
                  <a:ext uri="{FF2B5EF4-FFF2-40B4-BE49-F238E27FC236}">
                    <a16:creationId xmlns:a16="http://schemas.microsoft.com/office/drawing/2014/main" id="{CF78F616-897E-41AA-9374-7F4030B705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6">
                <a:extLst>
                  <a:ext uri="{FF2B5EF4-FFF2-40B4-BE49-F238E27FC236}">
                    <a16:creationId xmlns:a16="http://schemas.microsoft.com/office/drawing/2014/main" id="{AF8F44EE-6C42-4213-91B4-2471FE41F0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7">
                <a:extLst>
                  <a:ext uri="{FF2B5EF4-FFF2-40B4-BE49-F238E27FC236}">
                    <a16:creationId xmlns:a16="http://schemas.microsoft.com/office/drawing/2014/main" id="{F0083B15-8601-4754-A41C-C8CB817FC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08">
                <a:extLst>
                  <a:ext uri="{FF2B5EF4-FFF2-40B4-BE49-F238E27FC236}">
                    <a16:creationId xmlns:a16="http://schemas.microsoft.com/office/drawing/2014/main" id="{CE18FB0C-A8EA-4446-9537-9AB0AC8AE0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09">
                <a:extLst>
                  <a:ext uri="{FF2B5EF4-FFF2-40B4-BE49-F238E27FC236}">
                    <a16:creationId xmlns:a16="http://schemas.microsoft.com/office/drawing/2014/main" id="{7A1F9D42-19A8-4469-BB2E-9969FA1D96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0">
                <a:extLst>
                  <a:ext uri="{FF2B5EF4-FFF2-40B4-BE49-F238E27FC236}">
                    <a16:creationId xmlns:a16="http://schemas.microsoft.com/office/drawing/2014/main" id="{AC4D77F3-B9F9-4F83-9C1A-6A95290501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1">
                <a:extLst>
                  <a:ext uri="{FF2B5EF4-FFF2-40B4-BE49-F238E27FC236}">
                    <a16:creationId xmlns:a16="http://schemas.microsoft.com/office/drawing/2014/main" id="{7902C065-325E-4ED1-959F-1B5098CAE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2">
                <a:extLst>
                  <a:ext uri="{FF2B5EF4-FFF2-40B4-BE49-F238E27FC236}">
                    <a16:creationId xmlns:a16="http://schemas.microsoft.com/office/drawing/2014/main" id="{BEA15B7E-3EC3-47DC-BCA7-BAEA10AEB7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3">
                <a:extLst>
                  <a:ext uri="{FF2B5EF4-FFF2-40B4-BE49-F238E27FC236}">
                    <a16:creationId xmlns:a16="http://schemas.microsoft.com/office/drawing/2014/main" id="{B07A3E6F-6D20-4746-A468-5C9375E77C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4">
                <a:extLst>
                  <a:ext uri="{FF2B5EF4-FFF2-40B4-BE49-F238E27FC236}">
                    <a16:creationId xmlns:a16="http://schemas.microsoft.com/office/drawing/2014/main" id="{6C7E9DE2-6D84-4D59-BDD0-34581DD78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5">
                <a:extLst>
                  <a:ext uri="{FF2B5EF4-FFF2-40B4-BE49-F238E27FC236}">
                    <a16:creationId xmlns:a16="http://schemas.microsoft.com/office/drawing/2014/main" id="{97D8C5E0-139C-47FC-93D3-0CA19C994C2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6">
                <a:extLst>
                  <a:ext uri="{FF2B5EF4-FFF2-40B4-BE49-F238E27FC236}">
                    <a16:creationId xmlns:a16="http://schemas.microsoft.com/office/drawing/2014/main" id="{78441A6B-3A30-4FE0-A1D1-AF3164F6BF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7">
                <a:extLst>
                  <a:ext uri="{FF2B5EF4-FFF2-40B4-BE49-F238E27FC236}">
                    <a16:creationId xmlns:a16="http://schemas.microsoft.com/office/drawing/2014/main" id="{342A12E4-247E-4B9B-B301-E287DFA7B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18">
                <a:extLst>
                  <a:ext uri="{FF2B5EF4-FFF2-40B4-BE49-F238E27FC236}">
                    <a16:creationId xmlns:a16="http://schemas.microsoft.com/office/drawing/2014/main" id="{E8BB19BA-6C42-4819-91D7-D3B7ACF1E69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19">
                <a:extLst>
                  <a:ext uri="{FF2B5EF4-FFF2-40B4-BE49-F238E27FC236}">
                    <a16:creationId xmlns:a16="http://schemas.microsoft.com/office/drawing/2014/main" id="{CCB81E14-FA4B-455A-A513-D44978AAE26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0">
                <a:extLst>
                  <a:ext uri="{FF2B5EF4-FFF2-40B4-BE49-F238E27FC236}">
                    <a16:creationId xmlns:a16="http://schemas.microsoft.com/office/drawing/2014/main" id="{0493B301-D053-436D-B9D8-53DB0E4BDE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1">
                <a:extLst>
                  <a:ext uri="{FF2B5EF4-FFF2-40B4-BE49-F238E27FC236}">
                    <a16:creationId xmlns:a16="http://schemas.microsoft.com/office/drawing/2014/main" id="{0C0EF556-FD4C-4C0D-A200-5F3FF7F86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2">
                <a:extLst>
                  <a:ext uri="{FF2B5EF4-FFF2-40B4-BE49-F238E27FC236}">
                    <a16:creationId xmlns:a16="http://schemas.microsoft.com/office/drawing/2014/main" id="{B1E2C231-56E8-4274-8D08-23EE33267F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3">
                <a:extLst>
                  <a:ext uri="{FF2B5EF4-FFF2-40B4-BE49-F238E27FC236}">
                    <a16:creationId xmlns:a16="http://schemas.microsoft.com/office/drawing/2014/main" id="{78F14A66-BF65-4658-A4BA-8124C34C1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4">
                <a:extLst>
                  <a:ext uri="{FF2B5EF4-FFF2-40B4-BE49-F238E27FC236}">
                    <a16:creationId xmlns:a16="http://schemas.microsoft.com/office/drawing/2014/main" id="{E8C7B273-FD96-4912-9A40-FD2E5CDBEE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5">
                <a:extLst>
                  <a:ext uri="{FF2B5EF4-FFF2-40B4-BE49-F238E27FC236}">
                    <a16:creationId xmlns:a16="http://schemas.microsoft.com/office/drawing/2014/main" id="{776B303E-BE65-40EF-8BAE-80DAB6905E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6">
                <a:extLst>
                  <a:ext uri="{FF2B5EF4-FFF2-40B4-BE49-F238E27FC236}">
                    <a16:creationId xmlns:a16="http://schemas.microsoft.com/office/drawing/2014/main" id="{020D1E76-E3CD-4C92-B780-A5DA99634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7">
                <a:extLst>
                  <a:ext uri="{FF2B5EF4-FFF2-40B4-BE49-F238E27FC236}">
                    <a16:creationId xmlns:a16="http://schemas.microsoft.com/office/drawing/2014/main" id="{DC470AAC-6E1E-4FA5-B26F-59A930C181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28">
                <a:extLst>
                  <a:ext uri="{FF2B5EF4-FFF2-40B4-BE49-F238E27FC236}">
                    <a16:creationId xmlns:a16="http://schemas.microsoft.com/office/drawing/2014/main" id="{40CE724A-C1F0-4EBC-85D2-B58A7CBB0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29">
                <a:extLst>
                  <a:ext uri="{FF2B5EF4-FFF2-40B4-BE49-F238E27FC236}">
                    <a16:creationId xmlns:a16="http://schemas.microsoft.com/office/drawing/2014/main" id="{BAF943D0-F1FD-4597-8150-20DF54DC6C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0">
                <a:extLst>
                  <a:ext uri="{FF2B5EF4-FFF2-40B4-BE49-F238E27FC236}">
                    <a16:creationId xmlns:a16="http://schemas.microsoft.com/office/drawing/2014/main" id="{97B43D44-D9BB-4C6A-B42A-C941DF767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1">
                <a:extLst>
                  <a:ext uri="{FF2B5EF4-FFF2-40B4-BE49-F238E27FC236}">
                    <a16:creationId xmlns:a16="http://schemas.microsoft.com/office/drawing/2014/main" id="{2AF69AC1-7C46-44DC-A833-CDAD4418D9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2">
                <a:extLst>
                  <a:ext uri="{FF2B5EF4-FFF2-40B4-BE49-F238E27FC236}">
                    <a16:creationId xmlns:a16="http://schemas.microsoft.com/office/drawing/2014/main" id="{EED4083D-B308-4D51-8445-01631B32DAE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3">
                <a:extLst>
                  <a:ext uri="{FF2B5EF4-FFF2-40B4-BE49-F238E27FC236}">
                    <a16:creationId xmlns:a16="http://schemas.microsoft.com/office/drawing/2014/main" id="{FD6AB52F-F672-477E-8FD5-447972959F4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4">
                <a:extLst>
                  <a:ext uri="{FF2B5EF4-FFF2-40B4-BE49-F238E27FC236}">
                    <a16:creationId xmlns:a16="http://schemas.microsoft.com/office/drawing/2014/main" id="{2DDAFE4F-AF92-435F-840A-2958323415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Freeform 235">
                <a:extLst>
                  <a:ext uri="{FF2B5EF4-FFF2-40B4-BE49-F238E27FC236}">
                    <a16:creationId xmlns:a16="http://schemas.microsoft.com/office/drawing/2014/main" id="{34FD0B78-0045-4DCA-8A40-B486C1C9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6" name="Freeform 236">
                <a:extLst>
                  <a:ext uri="{FF2B5EF4-FFF2-40B4-BE49-F238E27FC236}">
                    <a16:creationId xmlns:a16="http://schemas.microsoft.com/office/drawing/2014/main" id="{7D42A6F7-F2DD-4A83-A34E-4F16759174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Rectangle 237">
                <a:extLst>
                  <a:ext uri="{FF2B5EF4-FFF2-40B4-BE49-F238E27FC236}">
                    <a16:creationId xmlns:a16="http://schemas.microsoft.com/office/drawing/2014/main" id="{EB04F37A-F8D3-41A6-8F2B-FD4B341955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8" name="Freeform 238">
                <a:extLst>
                  <a:ext uri="{FF2B5EF4-FFF2-40B4-BE49-F238E27FC236}">
                    <a16:creationId xmlns:a16="http://schemas.microsoft.com/office/drawing/2014/main" id="{8B07CAF8-7885-49AB-A143-8F4D8F5D54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39">
                <a:extLst>
                  <a:ext uri="{FF2B5EF4-FFF2-40B4-BE49-F238E27FC236}">
                    <a16:creationId xmlns:a16="http://schemas.microsoft.com/office/drawing/2014/main" id="{71958173-E070-47F8-B304-61D6DA9B35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0">
                <a:extLst>
                  <a:ext uri="{FF2B5EF4-FFF2-40B4-BE49-F238E27FC236}">
                    <a16:creationId xmlns:a16="http://schemas.microsoft.com/office/drawing/2014/main" id="{35754800-0204-48A1-B828-BCE0470ABD6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1">
                <a:extLst>
                  <a:ext uri="{FF2B5EF4-FFF2-40B4-BE49-F238E27FC236}">
                    <a16:creationId xmlns:a16="http://schemas.microsoft.com/office/drawing/2014/main" id="{A4E71770-62DF-47E5-B1AF-3B09AAF416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2">
                <a:extLst>
                  <a:ext uri="{FF2B5EF4-FFF2-40B4-BE49-F238E27FC236}">
                    <a16:creationId xmlns:a16="http://schemas.microsoft.com/office/drawing/2014/main" id="{3D4E953A-34D2-42CA-8BE2-C973585511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3">
                <a:extLst>
                  <a:ext uri="{FF2B5EF4-FFF2-40B4-BE49-F238E27FC236}">
                    <a16:creationId xmlns:a16="http://schemas.microsoft.com/office/drawing/2014/main" id="{D6452C50-EB53-4C79-BF39-90C928C2A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4">
                <a:extLst>
                  <a:ext uri="{FF2B5EF4-FFF2-40B4-BE49-F238E27FC236}">
                    <a16:creationId xmlns:a16="http://schemas.microsoft.com/office/drawing/2014/main" id="{F79F4D0C-7CF4-4827-BAA4-935861FFBF7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5">
                <a:extLst>
                  <a:ext uri="{FF2B5EF4-FFF2-40B4-BE49-F238E27FC236}">
                    <a16:creationId xmlns:a16="http://schemas.microsoft.com/office/drawing/2014/main" id="{D6E99CB6-8F07-4828-BFAA-83AFD1B6C5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6">
                <a:extLst>
                  <a:ext uri="{FF2B5EF4-FFF2-40B4-BE49-F238E27FC236}">
                    <a16:creationId xmlns:a16="http://schemas.microsoft.com/office/drawing/2014/main" id="{5DF09438-6317-4541-BCC1-9E7B85BF60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7">
                <a:extLst>
                  <a:ext uri="{FF2B5EF4-FFF2-40B4-BE49-F238E27FC236}">
                    <a16:creationId xmlns:a16="http://schemas.microsoft.com/office/drawing/2014/main" id="{5E64ECF0-DBAC-4C2B-B7A5-701A5C84FB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48">
                <a:extLst>
                  <a:ext uri="{FF2B5EF4-FFF2-40B4-BE49-F238E27FC236}">
                    <a16:creationId xmlns:a16="http://schemas.microsoft.com/office/drawing/2014/main" id="{33E04EB3-3D93-4799-862D-29F5A602703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49">
                <a:extLst>
                  <a:ext uri="{FF2B5EF4-FFF2-40B4-BE49-F238E27FC236}">
                    <a16:creationId xmlns:a16="http://schemas.microsoft.com/office/drawing/2014/main" id="{05971EA5-0DF1-470E-BBD2-C91321A92E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0">
                <a:extLst>
                  <a:ext uri="{FF2B5EF4-FFF2-40B4-BE49-F238E27FC236}">
                    <a16:creationId xmlns:a16="http://schemas.microsoft.com/office/drawing/2014/main" id="{50CCCC6E-BB7F-45B9-AB1A-0DEE5D634B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1">
                <a:extLst>
                  <a:ext uri="{FF2B5EF4-FFF2-40B4-BE49-F238E27FC236}">
                    <a16:creationId xmlns:a16="http://schemas.microsoft.com/office/drawing/2014/main" id="{3B9065CD-A2F0-40B5-9430-9175E3A4D0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2">
                <a:extLst>
                  <a:ext uri="{FF2B5EF4-FFF2-40B4-BE49-F238E27FC236}">
                    <a16:creationId xmlns:a16="http://schemas.microsoft.com/office/drawing/2014/main" id="{AA428CC0-5AD0-4D4A-806B-CBB0CB58E7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3">
                <a:extLst>
                  <a:ext uri="{FF2B5EF4-FFF2-40B4-BE49-F238E27FC236}">
                    <a16:creationId xmlns:a16="http://schemas.microsoft.com/office/drawing/2014/main" id="{BC5A167B-3F57-439A-A3C5-EF2674DCC0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4">
                <a:extLst>
                  <a:ext uri="{FF2B5EF4-FFF2-40B4-BE49-F238E27FC236}">
                    <a16:creationId xmlns:a16="http://schemas.microsoft.com/office/drawing/2014/main" id="{8A3D79EE-A9DE-46D3-9E64-AEE3FEA5C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5">
                <a:extLst>
                  <a:ext uri="{FF2B5EF4-FFF2-40B4-BE49-F238E27FC236}">
                    <a16:creationId xmlns:a16="http://schemas.microsoft.com/office/drawing/2014/main" id="{48932614-01BE-4824-933F-C2B02CCED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6">
                <a:extLst>
                  <a:ext uri="{FF2B5EF4-FFF2-40B4-BE49-F238E27FC236}">
                    <a16:creationId xmlns:a16="http://schemas.microsoft.com/office/drawing/2014/main" id="{39054BAF-9801-46BA-8BC2-71DB19A714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7">
                <a:extLst>
                  <a:ext uri="{FF2B5EF4-FFF2-40B4-BE49-F238E27FC236}">
                    <a16:creationId xmlns:a16="http://schemas.microsoft.com/office/drawing/2014/main" id="{CA078F1B-AED1-4694-B789-90D738B5D7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58">
                <a:extLst>
                  <a:ext uri="{FF2B5EF4-FFF2-40B4-BE49-F238E27FC236}">
                    <a16:creationId xmlns:a16="http://schemas.microsoft.com/office/drawing/2014/main" id="{5CDB0E66-442A-410B-BDFB-E51D74AF4AB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9" name="Freeform 259">
                <a:extLst>
                  <a:ext uri="{FF2B5EF4-FFF2-40B4-BE49-F238E27FC236}">
                    <a16:creationId xmlns:a16="http://schemas.microsoft.com/office/drawing/2014/main" id="{8B90786B-918E-4C9C-9410-1056D23588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260">
                <a:extLst>
                  <a:ext uri="{FF2B5EF4-FFF2-40B4-BE49-F238E27FC236}">
                    <a16:creationId xmlns:a16="http://schemas.microsoft.com/office/drawing/2014/main" id="{7FB9AD6C-8540-4DD3-BB22-79F5B7321B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4" name="Freeform 29">
              <a:extLst>
                <a:ext uri="{FF2B5EF4-FFF2-40B4-BE49-F238E27FC236}">
                  <a16:creationId xmlns:a16="http://schemas.microsoft.com/office/drawing/2014/main" id="{51F21271-A86F-428A-B08F-378E2F655D9B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38">
              <a:extLst>
                <a:ext uri="{FF2B5EF4-FFF2-40B4-BE49-F238E27FC236}">
                  <a16:creationId xmlns:a16="http://schemas.microsoft.com/office/drawing/2014/main" id="{B72C3367-8B02-4C07-BF69-46C481DF1753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0">
              <a:extLst>
                <a:ext uri="{FF2B5EF4-FFF2-40B4-BE49-F238E27FC236}">
                  <a16:creationId xmlns:a16="http://schemas.microsoft.com/office/drawing/2014/main" id="{4E0A6EC1-4377-425F-82D1-6EEF51A8EC7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1">
              <a:extLst>
                <a:ext uri="{FF2B5EF4-FFF2-40B4-BE49-F238E27FC236}">
                  <a16:creationId xmlns:a16="http://schemas.microsoft.com/office/drawing/2014/main" id="{90C66FC8-3426-4B6B-891E-D924A34892E3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2">
              <a:extLst>
                <a:ext uri="{FF2B5EF4-FFF2-40B4-BE49-F238E27FC236}">
                  <a16:creationId xmlns:a16="http://schemas.microsoft.com/office/drawing/2014/main" id="{73302725-F7A5-42EA-BCDE-577B5550E80C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3">
              <a:extLst>
                <a:ext uri="{FF2B5EF4-FFF2-40B4-BE49-F238E27FC236}">
                  <a16:creationId xmlns:a16="http://schemas.microsoft.com/office/drawing/2014/main" id="{8380B316-3E6B-413E-914E-391A7BA932F6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4">
              <a:extLst>
                <a:ext uri="{FF2B5EF4-FFF2-40B4-BE49-F238E27FC236}">
                  <a16:creationId xmlns:a16="http://schemas.microsoft.com/office/drawing/2014/main" id="{DA464E03-20AD-463A-ADBC-72ADD733906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45">
              <a:extLst>
                <a:ext uri="{FF2B5EF4-FFF2-40B4-BE49-F238E27FC236}">
                  <a16:creationId xmlns:a16="http://schemas.microsoft.com/office/drawing/2014/main" id="{8D1CFBE3-F450-436D-9F1A-C176CEC09C4D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49">
              <a:extLst>
                <a:ext uri="{FF2B5EF4-FFF2-40B4-BE49-F238E27FC236}">
                  <a16:creationId xmlns:a16="http://schemas.microsoft.com/office/drawing/2014/main" id="{65F94E5E-9102-4990-BD64-98230CE8491E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0">
              <a:extLst>
                <a:ext uri="{FF2B5EF4-FFF2-40B4-BE49-F238E27FC236}">
                  <a16:creationId xmlns:a16="http://schemas.microsoft.com/office/drawing/2014/main" id="{45F89E62-34BD-49BD-939A-8A7A978F608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5">
              <a:extLst>
                <a:ext uri="{FF2B5EF4-FFF2-40B4-BE49-F238E27FC236}">
                  <a16:creationId xmlns:a16="http://schemas.microsoft.com/office/drawing/2014/main" id="{B3413341-EFCD-4B4F-8BD3-E8AC73AA5289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6">
              <a:extLst>
                <a:ext uri="{FF2B5EF4-FFF2-40B4-BE49-F238E27FC236}">
                  <a16:creationId xmlns:a16="http://schemas.microsoft.com/office/drawing/2014/main" id="{ACD04D60-898F-449A-B20D-16E6DC5AEA5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7">
              <a:extLst>
                <a:ext uri="{FF2B5EF4-FFF2-40B4-BE49-F238E27FC236}">
                  <a16:creationId xmlns:a16="http://schemas.microsoft.com/office/drawing/2014/main" id="{D7008D69-2C4A-478A-80AA-3E9BE3180E4F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58">
              <a:extLst>
                <a:ext uri="{FF2B5EF4-FFF2-40B4-BE49-F238E27FC236}">
                  <a16:creationId xmlns:a16="http://schemas.microsoft.com/office/drawing/2014/main" id="{6C94EB6D-2457-445D-8892-A9C8EA0901B2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59">
              <a:extLst>
                <a:ext uri="{FF2B5EF4-FFF2-40B4-BE49-F238E27FC236}">
                  <a16:creationId xmlns:a16="http://schemas.microsoft.com/office/drawing/2014/main" id="{F2257319-1A64-4712-B753-0D5B5A4DE74C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60">
              <a:extLst>
                <a:ext uri="{FF2B5EF4-FFF2-40B4-BE49-F238E27FC236}">
                  <a16:creationId xmlns:a16="http://schemas.microsoft.com/office/drawing/2014/main" id="{F843C214-0380-46AF-82C4-5528A4AD927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61">
              <a:extLst>
                <a:ext uri="{FF2B5EF4-FFF2-40B4-BE49-F238E27FC236}">
                  <a16:creationId xmlns:a16="http://schemas.microsoft.com/office/drawing/2014/main" id="{46D6F5A7-CC8C-4231-BCDA-7E6290FD7989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3">
              <a:extLst>
                <a:ext uri="{FF2B5EF4-FFF2-40B4-BE49-F238E27FC236}">
                  <a16:creationId xmlns:a16="http://schemas.microsoft.com/office/drawing/2014/main" id="{69D492C7-4353-4677-8E80-40933E4137D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4">
              <a:extLst>
                <a:ext uri="{FF2B5EF4-FFF2-40B4-BE49-F238E27FC236}">
                  <a16:creationId xmlns:a16="http://schemas.microsoft.com/office/drawing/2014/main" id="{0C22DB3B-BD3C-4EF7-9607-25350A6484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5">
              <a:extLst>
                <a:ext uri="{FF2B5EF4-FFF2-40B4-BE49-F238E27FC236}">
                  <a16:creationId xmlns:a16="http://schemas.microsoft.com/office/drawing/2014/main" id="{A748BE04-89C4-46A6-85A2-59C595E913EC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6">
              <a:extLst>
                <a:ext uri="{FF2B5EF4-FFF2-40B4-BE49-F238E27FC236}">
                  <a16:creationId xmlns:a16="http://schemas.microsoft.com/office/drawing/2014/main" id="{3108D106-D85A-4706-8598-66763AA6F3DC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78">
              <a:extLst>
                <a:ext uri="{FF2B5EF4-FFF2-40B4-BE49-F238E27FC236}">
                  <a16:creationId xmlns:a16="http://schemas.microsoft.com/office/drawing/2014/main" id="{D5109309-135F-499E-9101-B3A92A1AB09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79">
              <a:extLst>
                <a:ext uri="{FF2B5EF4-FFF2-40B4-BE49-F238E27FC236}">
                  <a16:creationId xmlns:a16="http://schemas.microsoft.com/office/drawing/2014/main" id="{C8A0D55C-A171-43AF-B67D-BF96136EF238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1">
              <a:extLst>
                <a:ext uri="{FF2B5EF4-FFF2-40B4-BE49-F238E27FC236}">
                  <a16:creationId xmlns:a16="http://schemas.microsoft.com/office/drawing/2014/main" id="{840E7CDF-CCDC-413C-A64B-A4B5ACB63A54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83">
              <a:extLst>
                <a:ext uri="{FF2B5EF4-FFF2-40B4-BE49-F238E27FC236}">
                  <a16:creationId xmlns:a16="http://schemas.microsoft.com/office/drawing/2014/main" id="{A21834BE-839D-4424-A55B-BDBB8A834A72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84">
              <a:extLst>
                <a:ext uri="{FF2B5EF4-FFF2-40B4-BE49-F238E27FC236}">
                  <a16:creationId xmlns:a16="http://schemas.microsoft.com/office/drawing/2014/main" id="{10FB62AF-E068-4FEE-815B-2C941B85F4D3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1">
              <a:extLst>
                <a:ext uri="{FF2B5EF4-FFF2-40B4-BE49-F238E27FC236}">
                  <a16:creationId xmlns:a16="http://schemas.microsoft.com/office/drawing/2014/main" id="{BF7F8B73-4E32-4269-8A48-950C05350B4D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5">
              <a:extLst>
                <a:ext uri="{FF2B5EF4-FFF2-40B4-BE49-F238E27FC236}">
                  <a16:creationId xmlns:a16="http://schemas.microsoft.com/office/drawing/2014/main" id="{C27A550E-67FB-4495-981F-FB55E33ED2CA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2" name="Freeform 96">
              <a:extLst>
                <a:ext uri="{FF2B5EF4-FFF2-40B4-BE49-F238E27FC236}">
                  <a16:creationId xmlns:a16="http://schemas.microsoft.com/office/drawing/2014/main" id="{FFA46B71-A7FB-4546-9FF2-F4216A73597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3" name="Freeform 98">
              <a:extLst>
                <a:ext uri="{FF2B5EF4-FFF2-40B4-BE49-F238E27FC236}">
                  <a16:creationId xmlns:a16="http://schemas.microsoft.com/office/drawing/2014/main" id="{A6A5DBCD-DF18-4EB2-B64E-9FF1973250C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84413-2478-4F19-BF30-750B5D840478}" name="ClientDB" displayName="ClientDB" ref="A6:R368" headerRowDxfId="37" dataDxfId="36" headerRowCellStyle="Accent1">
  <sortState xmlns:xlrd2="http://schemas.microsoft.com/office/spreadsheetml/2017/richdata2" ref="A7:R368">
    <sortCondition ref="A6:A368"/>
  </sortState>
  <tableColumns count="18">
    <tableColumn id="1" xr3:uid="{27723DA1-AFA4-4B5D-95CE-135C2A329BE7}" name="Client ID" totalsRowLabel="Total" dataDxfId="35" totalsRowDxfId="34"/>
    <tableColumn id="2" xr3:uid="{FF723E2F-1550-4F40-8ECB-D0211AE07D11}" name="First Name"/>
    <tableColumn id="3" xr3:uid="{3EE0C05B-079D-4E29-AA5E-2A13CEB66EC2}" name="Last Name"/>
    <tableColumn id="5" xr3:uid="{64141CCD-43EA-44E3-B8E4-8C5A86650588}" name="Start Date" dataDxfId="33" totalsRowDxfId="32"/>
    <tableColumn id="17" xr3:uid="{E012D79B-48F0-4DA9-969B-AB3CA8180292}" name="Start Year" dataDxfId="31" totalsRowDxfId="30">
      <calculatedColumnFormula>YEAR(ClientDB[[#This Row],[Start Date]])</calculatedColumnFormula>
    </tableColumn>
    <tableColumn id="13" xr3:uid="{B540CB7C-0240-4DD7-8295-5E4FD7F83060}" name="Org Code" dataDxfId="29"/>
    <tableColumn id="4" xr3:uid="{C3C729DB-F2F8-4E53-8DA6-6D4D5AE65BA0}" name="Organisation" dataDxfId="1">
      <calculatedColumnFormula>VLOOKUP(ClientDB[[#This Row],[Org Code]],Table2[],2,0)</calculatedColumnFormula>
    </tableColumn>
    <tableColumn id="7" xr3:uid="{D0168852-6033-4FA1-A83D-A7B7D3E1B8B7}" name="Country Code" dataDxfId="28" totalsRowDxfId="27"/>
    <tableColumn id="14" xr3:uid="{C5FDD723-0E43-4AE2-8512-A94BF494CFD0}" name="Country" dataDxfId="26">
      <calculatedColumnFormula>_xlfn.XLOOKUP(ClientDB[[#This Row],[Country Code]],Table3[[#All],[Country Codes]],Table3[[#All],[Country]],1,TRUE)</calculatedColumnFormula>
    </tableColumn>
    <tableColumn id="8" xr3:uid="{B60A2D05-D9EA-4581-8FE6-1B1B04FCF996}" name="Events" dataDxfId="25" totalsRowDxfId="24"/>
    <tableColumn id="9" xr3:uid="{F164C450-C121-4388-B4F2-FC818B8AA1B9}" name="New*" dataDxfId="3">
      <calculatedColumnFormula>IF(ClientDB[[#This Row],[Start Date]]&gt;=$U$14,"New","")</calculatedColumnFormula>
    </tableColumn>
    <tableColumn id="11" xr3:uid="{9370A329-6A81-4E6F-BCF9-319A9FD5D1D0}" name="Gift?" dataDxfId="2">
      <calculatedColumnFormula>IF(OR(ClientDB[[#This Row],[Start Year]]&lt;2016,ClientDB[[#This Row],[Events]]&gt;=6),"Gift","")</calculatedColumnFormula>
    </tableColumn>
    <tableColumn id="10" xr3:uid="{BF2AC1E4-A140-48E2-82FD-A0F175511716}" name="Status" dataDxfId="23">
      <calculatedColumnFormula>IF(AND(ClientDB[Events]&gt;0,ClientDB[Events]&lt;10),"Bronze",IF(AND(ClientDB[Events]&gt;9,ClientDB[Events]&lt;20),"Silver",IF(AND(ClientDB[Events]&gt;19,ClientDB[Events]&lt;30),"Gold",IF(ClientDB[Events]&gt;30,"Platinum",""))))</calculatedColumnFormula>
    </tableColumn>
    <tableColumn id="20" xr3:uid="{FAA450E2-6E77-4EF0-B986-B51C0A84A956}" name="Days" dataDxfId="22" totalsRowDxfId="21"/>
    <tableColumn id="21" xr3:uid="{E147439B-5EB3-4F49-B37E-49816E1B6C0A}" name="Price" totalsRowFunction="sum" dataDxfId="20">
      <calculatedColumnFormula>IF(ClientDB[[#This Row],[Days]]=1,(ClientDB[[#This Row],[Days]]*$V$7),IF(ClientDB[[#This Row],[Days]]&gt;1,(ClientDB[[#This Row],[Days]]*$V$8),""))</calculatedColumnFormula>
    </tableColumn>
    <tableColumn id="22" xr3:uid="{E2DE97A0-AC04-475A-9672-49F534DBBC4E}" name="After Discount" dataDxfId="19">
      <calculatedColumnFormula>IF(ClientDB[[#This Row],[Events]]&gt;=10,(ClientDB[[#This Row],[Price]]-(ClientDB[[#This Row],[Price]]/5)),IF(AND(ClientDB[[#This Row],[Events]]&gt;4,ClientDB[[#This Row],[Events]]&lt;10),(ClientDB[[#This Row],[Price]]-50),ClientDB[[#This Row],[Price]]))</calculatedColumnFormula>
    </tableColumn>
    <tableColumn id="16" xr3:uid="{F1789CFB-8C45-4F90-91F0-D468DE406811}" name="Meal" dataDxfId="18" totalsRowDxfId="17"/>
    <tableColumn id="15" xr3:uid="{3C9BF50B-D63B-4FAD-AB84-A8D3F6577159}" name="Seating" dataDxfId="0">
      <calculatedColumnFormula>INDEX(Table4[[Regular]:[Special]],MATCH(ClientDB[[#Data],[Country Code]],Table4[[#Data],[Country]],0),MATCH(ClientDB[[#Data],[Meal]],Table4[[#Headers],[Regular]:[Special]],0))</calculatedColumnFormula>
    </tableColumn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370477-85F4-4D8F-979A-4AE81FD06134}" name="Table2" displayName="Table2" ref="A6:B52" totalsRowShown="0" headerRowDxfId="14" headerRowCellStyle="Accent1">
  <autoFilter ref="A6:B52" xr:uid="{D4370477-85F4-4D8F-979A-4AE81FD06134}"/>
  <tableColumns count="2">
    <tableColumn id="1" xr3:uid="{41F712B5-A91A-4D5E-9343-372B7F21E2E8}" name="Organisation Code"/>
    <tableColumn id="2" xr3:uid="{13F517E6-C924-4790-817C-DA765C334536}" name="Organisation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121747-A835-486E-A545-C58FACD9DFF1}" name="Table3" displayName="Table3" ref="D6:E59" totalsRowShown="0" headerRowDxfId="13" headerRowCellStyle="Accent1">
  <autoFilter ref="D6:E59" xr:uid="{87121747-A835-486E-A545-C58FACD9DFF1}"/>
  <tableColumns count="2">
    <tableColumn id="1" xr3:uid="{E8B61F44-C01F-48E9-8498-73D7B24F8CB5}" name="Country"/>
    <tableColumn id="2" xr3:uid="{3A9A351F-9720-4090-B102-EF2B0C866996}" name="Country Codes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CBF3D2-8231-49F2-8D6A-1F30C48FCD74}" name="Table4" displayName="Table4" ref="G6:K59" totalsRowShown="0" headerRowDxfId="11" dataDxfId="10" tableBorderDxfId="9" headerRowCellStyle="Accent1">
  <autoFilter ref="G6:K59" xr:uid="{2DCBF3D2-8231-49F2-8D6A-1F30C48FCD74}"/>
  <tableColumns count="5">
    <tableColumn id="1" xr3:uid="{C3F1F410-4793-427D-8C24-D497D35DC857}" name="Country" dataDxfId="8" dataCellStyle="20% - Accent1"/>
    <tableColumn id="2" xr3:uid="{6990D9C1-DF89-4256-994E-C5772B6F6F1C}" name="Regular" dataDxfId="7"/>
    <tableColumn id="3" xr3:uid="{576A0132-65B5-4076-962A-E925D390D27B}" name="Vegetarian" dataDxfId="6"/>
    <tableColumn id="4" xr3:uid="{3C92A3D7-B941-480D-A047-89FE35AED49C}" name="Vegan" dataDxfId="5"/>
    <tableColumn id="5" xr3:uid="{22B5AA4A-2B96-405C-8F59-A27891D9C970}" name="Special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4EE6-830B-4EFF-8796-0BE0F8FFE090}">
  <dimension ref="A1:W368"/>
  <sheetViews>
    <sheetView showGridLines="0" tabSelected="1" topLeftCell="J15" zoomScale="97" zoomScaleNormal="70" workbookViewId="0">
      <selection activeCell="R8" sqref="R8"/>
    </sheetView>
  </sheetViews>
  <sheetFormatPr defaultRowHeight="14.25" x14ac:dyDescent="0.2"/>
  <cols>
    <col min="1" max="1" width="10.25" style="10" customWidth="1"/>
    <col min="2" max="2" width="13.875" customWidth="1"/>
    <col min="3" max="3" width="14.375" style="1" customWidth="1"/>
    <col min="4" max="4" width="11.375" style="1" customWidth="1"/>
    <col min="5" max="5" width="9.75" style="1" customWidth="1"/>
    <col min="6" max="6" width="9.625" style="19" customWidth="1"/>
    <col min="7" max="7" width="18.25" style="1" bestFit="1" customWidth="1"/>
    <col min="8" max="8" width="12.875" style="19" customWidth="1"/>
    <col min="9" max="9" width="17.125" style="19" customWidth="1"/>
    <col min="10" max="15" width="10" style="16" customWidth="1"/>
    <col min="16" max="16" width="12.625" style="16" bestFit="1" customWidth="1"/>
    <col min="17" max="17" width="10" style="16" customWidth="1"/>
    <col min="18" max="18" width="10" style="15" customWidth="1"/>
    <col min="19" max="19" width="5.5" customWidth="1"/>
    <col min="20" max="20" width="14.125" bestFit="1" customWidth="1"/>
    <col min="21" max="21" width="9.625" customWidth="1"/>
  </cols>
  <sheetData>
    <row r="1" spans="1:23" s="2" customFormat="1" x14ac:dyDescent="0.2">
      <c r="A1" s="6"/>
      <c r="F1" s="6"/>
      <c r="H1" s="6"/>
      <c r="I1" s="6"/>
      <c r="J1" s="11"/>
      <c r="K1" s="11"/>
      <c r="L1" s="11"/>
      <c r="M1" s="11"/>
      <c r="N1" s="11"/>
      <c r="O1" s="11"/>
      <c r="P1" s="11"/>
      <c r="Q1" s="11"/>
      <c r="R1" s="11"/>
      <c r="T1" s="2" t="s">
        <v>920</v>
      </c>
    </row>
    <row r="2" spans="1:23" s="2" customFormat="1" ht="6" customHeight="1" x14ac:dyDescent="0.2">
      <c r="A2" s="7"/>
      <c r="B2" s="3"/>
      <c r="C2" s="3"/>
      <c r="D2" s="3"/>
      <c r="E2" s="3"/>
      <c r="F2" s="7"/>
      <c r="G2" s="3"/>
      <c r="H2" s="7"/>
      <c r="I2" s="7"/>
      <c r="J2" s="12"/>
      <c r="K2" s="12"/>
      <c r="L2" s="12"/>
      <c r="M2" s="12"/>
      <c r="N2" s="12"/>
      <c r="O2" s="12"/>
      <c r="P2" s="12"/>
      <c r="Q2" s="12"/>
      <c r="R2" s="12"/>
      <c r="S2"/>
    </row>
    <row r="3" spans="1:23" s="2" customFormat="1" ht="53.25" customHeight="1" x14ac:dyDescent="0.2">
      <c r="A3" s="8" t="s">
        <v>896</v>
      </c>
      <c r="B3" s="4"/>
      <c r="C3" s="4"/>
      <c r="D3" s="4"/>
      <c r="E3" s="4"/>
      <c r="F3" s="17"/>
      <c r="G3" s="4"/>
      <c r="H3" s="17"/>
      <c r="I3" s="17"/>
      <c r="J3" s="13"/>
      <c r="K3" s="13"/>
      <c r="L3" s="13"/>
      <c r="M3" s="13"/>
      <c r="N3" s="13"/>
      <c r="O3" s="13"/>
      <c r="P3" s="13"/>
      <c r="Q3" s="13"/>
      <c r="R3" s="13"/>
    </row>
    <row r="4" spans="1:23" s="2" customFormat="1" ht="14.25" customHeight="1" x14ac:dyDescent="0.2">
      <c r="A4" s="7"/>
      <c r="B4" s="3"/>
      <c r="C4" s="3"/>
      <c r="D4" s="3"/>
      <c r="E4" s="3"/>
      <c r="F4" s="7"/>
      <c r="G4" s="3"/>
      <c r="H4" s="7"/>
      <c r="I4" s="7"/>
      <c r="J4" s="12"/>
      <c r="K4" s="12"/>
      <c r="L4" s="12"/>
      <c r="M4" s="12"/>
      <c r="N4" s="12"/>
      <c r="O4" s="12"/>
      <c r="P4" s="12"/>
      <c r="Q4" s="12"/>
      <c r="R4" s="12"/>
    </row>
    <row r="5" spans="1:23" x14ac:dyDescent="0.2">
      <c r="F5" s="18"/>
    </row>
    <row r="6" spans="1:23" ht="16.5" thickBot="1" x14ac:dyDescent="0.25">
      <c r="A6" s="9" t="s">
        <v>770</v>
      </c>
      <c r="B6" s="5" t="s">
        <v>0</v>
      </c>
      <c r="C6" s="5" t="s">
        <v>1</v>
      </c>
      <c r="D6" s="9" t="s">
        <v>777</v>
      </c>
      <c r="E6" s="9" t="s">
        <v>897</v>
      </c>
      <c r="F6" s="5" t="s">
        <v>841</v>
      </c>
      <c r="G6" s="5" t="s">
        <v>2</v>
      </c>
      <c r="H6" s="9" t="s">
        <v>792</v>
      </c>
      <c r="I6" s="9" t="s">
        <v>3</v>
      </c>
      <c r="J6" s="14" t="s">
        <v>778</v>
      </c>
      <c r="K6" s="14" t="s">
        <v>779</v>
      </c>
      <c r="L6" s="14" t="s">
        <v>791</v>
      </c>
      <c r="M6" s="14" t="s">
        <v>773</v>
      </c>
      <c r="N6" s="14" t="s">
        <v>904</v>
      </c>
      <c r="O6" s="14" t="s">
        <v>906</v>
      </c>
      <c r="P6" s="14" t="s">
        <v>907</v>
      </c>
      <c r="Q6" s="14" t="s">
        <v>898</v>
      </c>
      <c r="R6" s="14" t="s">
        <v>903</v>
      </c>
      <c r="T6" s="9" t="s">
        <v>905</v>
      </c>
      <c r="U6" s="20"/>
      <c r="V6" s="20" t="s">
        <v>910</v>
      </c>
    </row>
    <row r="7" spans="1:23" x14ac:dyDescent="0.2">
      <c r="A7" s="10">
        <v>10130</v>
      </c>
      <c r="B7" t="s">
        <v>164</v>
      </c>
      <c r="C7" t="s">
        <v>165</v>
      </c>
      <c r="D7" s="18">
        <v>42701</v>
      </c>
      <c r="E7" s="34">
        <f>YEAR(ClientDB[[#This Row],[Start Date]])</f>
        <v>2016</v>
      </c>
      <c r="F7" t="s">
        <v>834</v>
      </c>
      <c r="G7" t="str">
        <f>VLOOKUP(ClientDB[[#This Row],[Org Code]],Table2[],2,0)</f>
        <v>Verisize</v>
      </c>
      <c r="H7" s="10" t="s">
        <v>34</v>
      </c>
      <c r="I7" s="10" t="str">
        <f>_xlfn.XLOOKUP(ClientDB[[#This Row],[Country Code]],Table3[[#All],[Country Codes]],Table3[[#All],[Country]],1,TRUE)</f>
        <v>United States</v>
      </c>
      <c r="J7" s="15">
        <v>7</v>
      </c>
      <c r="K7" s="15" t="str">
        <f>IF(ClientDB[[#This Row],[Start Date]]&gt;=$U$14,"New","")</f>
        <v/>
      </c>
      <c r="L7" s="15" t="str">
        <f>IF(OR(ClientDB[[#This Row],[Start Year]]&lt;2016,ClientDB[[#This Row],[Events]]&gt;=6),"Gift","")</f>
        <v>Gift</v>
      </c>
      <c r="M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7" s="15">
        <v>3</v>
      </c>
      <c r="O7" s="35">
        <f>IF(ClientDB[[#This Row],[Days]]=1,(ClientDB[[#This Row],[Days]]*$V$7),IF(ClientDB[[#This Row],[Days]]&gt;1,(ClientDB[[#This Row],[Days]]*$V$8),""))</f>
        <v>900</v>
      </c>
      <c r="P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7" s="15" t="s">
        <v>899</v>
      </c>
      <c r="R7" s="15" t="str">
        <f>INDEX(Table4[[Regular]:[Special]],MATCH(ClientDB[[#Data],[Country Code]],Table4[[#Data],[Country]],0),MATCH(ClientDB[[#Data],[Meal]],Table4[[#Headers],[Regular]:[Special]],0))</f>
        <v>F</v>
      </c>
      <c r="T7" s="36" t="s">
        <v>911</v>
      </c>
      <c r="U7" s="28"/>
      <c r="V7" s="29">
        <v>350</v>
      </c>
    </row>
    <row r="8" spans="1:23" ht="15" thickBot="1" x14ac:dyDescent="0.25">
      <c r="A8" s="10">
        <v>10195</v>
      </c>
      <c r="B8" t="s">
        <v>199</v>
      </c>
      <c r="C8" t="s">
        <v>200</v>
      </c>
      <c r="D8" s="18">
        <v>43692</v>
      </c>
      <c r="E8" s="34">
        <f>YEAR(ClientDB[[#This Row],[Start Date]])</f>
        <v>2019</v>
      </c>
      <c r="F8" t="s">
        <v>817</v>
      </c>
      <c r="G8" t="str">
        <f>VLOOKUP(ClientDB[[#This Row],[Org Code]],Table2[],2,0)</f>
        <v>LACNE</v>
      </c>
      <c r="H8" s="10" t="s">
        <v>15</v>
      </c>
      <c r="I8" s="10" t="str">
        <f>_xlfn.XLOOKUP(ClientDB[[#This Row],[Country Code]],Table3[[#All],[Country Codes]],Table3[[#All],[Country]],1,TRUE)</f>
        <v>United Kingdom</v>
      </c>
      <c r="J8" s="15">
        <v>2</v>
      </c>
      <c r="K8" s="15" t="str">
        <f>IF(ClientDB[[#This Row],[Start Date]]&gt;=$U$14,"New","")</f>
        <v/>
      </c>
      <c r="L8" s="15" t="str">
        <f>IF(OR(ClientDB[[#This Row],[Start Year]]&lt;2016,ClientDB[[#This Row],[Events]]&gt;=6),"Gift","")</f>
        <v/>
      </c>
      <c r="M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8" s="15">
        <v>2</v>
      </c>
      <c r="O8" s="35">
        <f>IF(ClientDB[[#This Row],[Days]]=1,(ClientDB[[#This Row],[Days]]*$V$7),IF(ClientDB[[#This Row],[Days]]&gt;1,(ClientDB[[#This Row],[Days]]*$V$8),""))</f>
        <v>600</v>
      </c>
      <c r="P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8" s="15" t="s">
        <v>901</v>
      </c>
      <c r="R8" s="15" t="str">
        <f>INDEX(Table4[[Regular]:[Special]],MATCH(ClientDB[[#Data],[Country Code]],Table4[[#Data],[Country]],0),MATCH(ClientDB[[#Data],[Meal]],Table4[[#Headers],[Regular]:[Special]],0))</f>
        <v>E</v>
      </c>
      <c r="T8" s="37" t="s">
        <v>912</v>
      </c>
      <c r="U8" s="31"/>
      <c r="V8" s="40">
        <v>300</v>
      </c>
    </row>
    <row r="9" spans="1:23" x14ac:dyDescent="0.2">
      <c r="A9" s="10">
        <v>10315</v>
      </c>
      <c r="B9" t="s">
        <v>127</v>
      </c>
      <c r="C9" t="s">
        <v>128</v>
      </c>
      <c r="D9" s="18">
        <v>43719</v>
      </c>
      <c r="E9" s="34">
        <f>YEAR(ClientDB[[#This Row],[Start Date]])</f>
        <v>2019</v>
      </c>
      <c r="F9" t="s">
        <v>815</v>
      </c>
      <c r="G9" t="str">
        <f>VLOOKUP(ClientDB[[#This Row],[Org Code]],Table2[],2,0)</f>
        <v>Intelligence Systems</v>
      </c>
      <c r="H9" s="10" t="s">
        <v>7</v>
      </c>
      <c r="I9" s="10" t="str">
        <f>_xlfn.XLOOKUP(ClientDB[[#This Row],[Country Code]],Table3[[#All],[Country Codes]],Table3[[#All],[Country]],1,TRUE)</f>
        <v>Iran</v>
      </c>
      <c r="J9" s="15">
        <v>3</v>
      </c>
      <c r="K9" s="15" t="str">
        <f>IF(ClientDB[[#This Row],[Start Date]]&gt;=$U$14,"New","")</f>
        <v/>
      </c>
      <c r="L9" s="42" t="str">
        <f>IF(OR(ClientDB[[#This Row],[Start Year]]&lt;2016,ClientDB[[#This Row],[Events]]&gt;=6),"Gift","")</f>
        <v/>
      </c>
      <c r="M9" s="42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9" s="15">
        <v>1</v>
      </c>
      <c r="O9" s="35">
        <f>IF(ClientDB[[#This Row],[Days]]=1,(ClientDB[[#This Row],[Days]]*$V$7),IF(ClientDB[[#This Row],[Days]]&gt;1,(ClientDB[[#This Row],[Days]]*$V$8),""))</f>
        <v>350</v>
      </c>
      <c r="P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9" s="15" t="s">
        <v>901</v>
      </c>
      <c r="R9" s="15" t="str">
        <f>INDEX(Table4[[Regular]:[Special]],MATCH(ClientDB[[#Data],[Country Code]],Table4[[#Data],[Country]],0),MATCH(ClientDB[[#Data],[Meal]],Table4[[#Headers],[Regular]:[Special]],0))</f>
        <v>F</v>
      </c>
    </row>
    <row r="10" spans="1:23" ht="16.5" thickBot="1" x14ac:dyDescent="0.25">
      <c r="A10" s="10">
        <v>10540</v>
      </c>
      <c r="B10" t="s">
        <v>106</v>
      </c>
      <c r="C10" t="s">
        <v>107</v>
      </c>
      <c r="D10" s="18">
        <v>44011</v>
      </c>
      <c r="E10" s="34">
        <f>YEAR(ClientDB[[#This Row],[Start Date]])</f>
        <v>2020</v>
      </c>
      <c r="F10" t="s">
        <v>802</v>
      </c>
      <c r="G10" t="str">
        <f>VLOOKUP(ClientDB[[#This Row],[Org Code]],Table2[],2,0)</f>
        <v>Colot</v>
      </c>
      <c r="H10" s="10" t="s">
        <v>109</v>
      </c>
      <c r="I10" s="10" t="str">
        <f>_xlfn.XLOOKUP(ClientDB[[#This Row],[Country Code]],Table3[[#All],[Country Codes]],Table3[[#All],[Country]],1,TRUE)</f>
        <v>Greece</v>
      </c>
      <c r="J10" s="15">
        <v>2</v>
      </c>
      <c r="K10" s="15" t="str">
        <f>IF(ClientDB[[#This Row],[Start Date]]&gt;=$U$14,"New","")</f>
        <v>New</v>
      </c>
      <c r="L10" s="42" t="str">
        <f>IF(OR(ClientDB[[#This Row],[Start Year]]&lt;2016,ClientDB[[#This Row],[Events]]&gt;=6),"Gift","")</f>
        <v/>
      </c>
      <c r="M10" s="42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0" s="15">
        <v>3</v>
      </c>
      <c r="O10" s="35">
        <f>IF(ClientDB[[#This Row],[Days]]=1,(ClientDB[[#This Row],[Days]]*$V$7),IF(ClientDB[[#This Row],[Days]]&gt;1,(ClientDB[[#This Row],[Days]]*$V$8),""))</f>
        <v>900</v>
      </c>
      <c r="P1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0" s="15" t="s">
        <v>900</v>
      </c>
      <c r="R10" s="15" t="str">
        <f>INDEX(Table4[[Regular]:[Special]],MATCH(ClientDB[[#Data],[Country Code]],Table4[[#Data],[Country]],0),MATCH(ClientDB[[#Data],[Meal]],Table4[[#Headers],[Regular]:[Special]],0))</f>
        <v>A</v>
      </c>
      <c r="T10" s="14" t="s">
        <v>780</v>
      </c>
      <c r="U10" s="20"/>
      <c r="V10" s="20" t="s">
        <v>913</v>
      </c>
    </row>
    <row r="11" spans="1:23" x14ac:dyDescent="0.2">
      <c r="A11" s="10">
        <v>10639</v>
      </c>
      <c r="B11" t="s">
        <v>644</v>
      </c>
      <c r="C11" t="s">
        <v>645</v>
      </c>
      <c r="D11" s="18">
        <v>43596</v>
      </c>
      <c r="E11" s="34">
        <f>YEAR(ClientDB[[#This Row],[Start Date]])</f>
        <v>2019</v>
      </c>
      <c r="F11" t="s">
        <v>803</v>
      </c>
      <c r="G11" t="str">
        <f>VLOOKUP(ClientDB[[#This Row],[Org Code]],Table2[],2,0)</f>
        <v>CTX</v>
      </c>
      <c r="H11" s="10" t="s">
        <v>175</v>
      </c>
      <c r="I11" s="10" t="str">
        <f>_xlfn.XLOOKUP(ClientDB[[#This Row],[Country Code]],Table3[[#All],[Country Codes]],Table3[[#All],[Country]],1,TRUE)</f>
        <v>Australia</v>
      </c>
      <c r="J11" s="15">
        <v>5</v>
      </c>
      <c r="K11" s="15" t="str">
        <f>IF(ClientDB[[#This Row],[Start Date]]&gt;=$U$14,"New","")</f>
        <v/>
      </c>
      <c r="L11" s="42" t="str">
        <f>IF(OR(ClientDB[[#This Row],[Start Year]]&lt;2016,ClientDB[[#This Row],[Events]]&gt;=6),"Gift","")</f>
        <v/>
      </c>
      <c r="M11" s="42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1" s="15">
        <v>3</v>
      </c>
      <c r="O11" s="35">
        <f>IF(ClientDB[[#This Row],[Days]]=1,(ClientDB[[#This Row],[Days]]*$V$7),IF(ClientDB[[#This Row],[Days]]&gt;1,(ClientDB[[#This Row],[Days]]*$V$8),""))</f>
        <v>900</v>
      </c>
      <c r="P1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1" s="15" t="s">
        <v>901</v>
      </c>
      <c r="R11" s="15" t="str">
        <f>INDEX(Table4[[Regular]:[Special]],MATCH(ClientDB[[#Data],[Country Code]],Table4[[#Data],[Country]],0),MATCH(ClientDB[[#Data],[Meal]],Table4[[#Headers],[Regular]:[Special]],0))</f>
        <v>D</v>
      </c>
      <c r="T11" s="36" t="s">
        <v>914</v>
      </c>
      <c r="U11" s="28"/>
      <c r="V11" s="39">
        <v>0.2</v>
      </c>
    </row>
    <row r="12" spans="1:23" ht="15" thickBot="1" x14ac:dyDescent="0.25">
      <c r="A12" s="10">
        <v>10679</v>
      </c>
      <c r="B12" t="s">
        <v>523</v>
      </c>
      <c r="C12" t="s">
        <v>524</v>
      </c>
      <c r="D12" s="18">
        <v>43784</v>
      </c>
      <c r="E12" s="34">
        <f>YEAR(ClientDB[[#This Row],[Start Date]])</f>
        <v>2019</v>
      </c>
      <c r="F12" t="s">
        <v>830</v>
      </c>
      <c r="G12" t="str">
        <f>VLOOKUP(ClientDB[[#This Row],[Org Code]],Table2[],2,0)</f>
        <v>Steps IT Training</v>
      </c>
      <c r="H12" s="10" t="s">
        <v>46</v>
      </c>
      <c r="I12" s="10" t="str">
        <f>_xlfn.XLOOKUP(ClientDB[[#This Row],[Country Code]],Table3[[#All],[Country Codes]],Table3[[#All],[Country]],1,TRUE)</f>
        <v>Germany</v>
      </c>
      <c r="J12" s="15">
        <v>9</v>
      </c>
      <c r="K12" s="15" t="str">
        <f>IF(ClientDB[[#This Row],[Start Date]]&gt;=$U$14,"New","")</f>
        <v/>
      </c>
      <c r="L12" s="42" t="str">
        <f>IF(OR(ClientDB[[#This Row],[Start Year]]&lt;2016,ClientDB[[#This Row],[Events]]&gt;=6),"Gift","")</f>
        <v>Gift</v>
      </c>
      <c r="M12" s="42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2" s="15">
        <v>2</v>
      </c>
      <c r="O12" s="35">
        <f>IF(ClientDB[[#This Row],[Days]]=1,(ClientDB[[#This Row],[Days]]*$V$7),IF(ClientDB[[#This Row],[Days]]&gt;1,(ClientDB[[#This Row],[Days]]*$V$8),""))</f>
        <v>600</v>
      </c>
      <c r="P1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2" s="15" t="s">
        <v>899</v>
      </c>
      <c r="R12" s="15" t="str">
        <f>INDEX(Table4[[Regular]:[Special]],MATCH(ClientDB[[#Data],[Country Code]],Table4[[#Data],[Country]],0),MATCH(ClientDB[[#Data],[Meal]],Table4[[#Headers],[Regular]:[Special]],0))</f>
        <v>A</v>
      </c>
      <c r="T12" s="37" t="s">
        <v>915</v>
      </c>
      <c r="U12" s="31"/>
      <c r="V12" s="41">
        <v>50</v>
      </c>
    </row>
    <row r="13" spans="1:23" ht="15" thickBot="1" x14ac:dyDescent="0.25">
      <c r="A13" s="10">
        <v>10932</v>
      </c>
      <c r="B13" t="s">
        <v>454</v>
      </c>
      <c r="C13" t="s">
        <v>455</v>
      </c>
      <c r="D13" s="18">
        <v>43814</v>
      </c>
      <c r="E13" s="34">
        <f>YEAR(ClientDB[[#This Row],[Start Date]])</f>
        <v>2019</v>
      </c>
      <c r="F13" t="s">
        <v>829</v>
      </c>
      <c r="G13" t="str">
        <f>VLOOKUP(ClientDB[[#This Row],[Org Code]],Table2[],2,0)</f>
        <v>StepAhead</v>
      </c>
      <c r="H13" s="10" t="s">
        <v>38</v>
      </c>
      <c r="I13" s="10" t="str">
        <f>_xlfn.XLOOKUP(ClientDB[[#This Row],[Country Code]],Table3[[#All],[Country Codes]],Table3[[#All],[Country]],1,TRUE)</f>
        <v>Czech Republic</v>
      </c>
      <c r="J13" s="15">
        <v>1</v>
      </c>
      <c r="K13" s="15" t="str">
        <f>IF(ClientDB[[#This Row],[Start Date]]&gt;=$U$14,"New","")</f>
        <v/>
      </c>
      <c r="L13" s="42" t="str">
        <f>IF(OR(ClientDB[[#This Row],[Start Year]]&lt;2016,ClientDB[[#This Row],[Events]]&gt;=6),"Gift","")</f>
        <v/>
      </c>
      <c r="M13" s="42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3" s="15">
        <v>3</v>
      </c>
      <c r="O13" s="35">
        <f>IF(ClientDB[[#This Row],[Days]]=1,(ClientDB[[#This Row],[Days]]*$V$7),IF(ClientDB[[#This Row],[Days]]&gt;1,(ClientDB[[#This Row],[Days]]*$V$8),""))</f>
        <v>900</v>
      </c>
      <c r="P1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3" s="15" t="s">
        <v>900</v>
      </c>
      <c r="R13" s="15" t="str">
        <f>INDEX(Table4[[Regular]:[Special]],MATCH(ClientDB[[#Data],[Country Code]],Table4[[#Data],[Country]],0),MATCH(ClientDB[[#Data],[Meal]],Table4[[#Headers],[Regular]:[Special]],0))</f>
        <v>A</v>
      </c>
    </row>
    <row r="14" spans="1:23" ht="16.5" thickBot="1" x14ac:dyDescent="0.25">
      <c r="A14" s="10">
        <v>11230</v>
      </c>
      <c r="B14" t="s">
        <v>574</v>
      </c>
      <c r="C14" t="s">
        <v>575</v>
      </c>
      <c r="D14" s="18">
        <v>42643</v>
      </c>
      <c r="E14" s="34">
        <f>YEAR(ClientDB[[#This Row],[Start Date]])</f>
        <v>2016</v>
      </c>
      <c r="F14" t="s">
        <v>807</v>
      </c>
      <c r="G14" t="str">
        <f>VLOOKUP(ClientDB[[#This Row],[Org Code]],Table2[],2,0)</f>
        <v>Duet</v>
      </c>
      <c r="H14" s="10" t="s">
        <v>15</v>
      </c>
      <c r="I14" s="10" t="str">
        <f>_xlfn.XLOOKUP(ClientDB[[#This Row],[Country Code]],Table3[[#All],[Country Codes]],Table3[[#All],[Country]],1,TRUE)</f>
        <v>United Kingdom</v>
      </c>
      <c r="J14" s="15">
        <v>13</v>
      </c>
      <c r="K14" s="15" t="str">
        <f>IF(ClientDB[[#This Row],[Start Date]]&gt;=$U$14,"New","")</f>
        <v/>
      </c>
      <c r="L14" s="42" t="str">
        <f>IF(OR(ClientDB[[#This Row],[Start Year]]&lt;2016,ClientDB[[#This Row],[Events]]&gt;=6),"Gift","")</f>
        <v>Gift</v>
      </c>
      <c r="M14" s="42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4" s="15">
        <v>2</v>
      </c>
      <c r="O14" s="35">
        <f>IF(ClientDB[[#This Row],[Days]]=1,(ClientDB[[#This Row],[Days]]*$V$7),IF(ClientDB[[#This Row],[Days]]&gt;1,(ClientDB[[#This Row],[Days]]*$V$8),""))</f>
        <v>600</v>
      </c>
      <c r="P1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4" s="15" t="s">
        <v>902</v>
      </c>
      <c r="R14" s="15" t="str">
        <f>INDEX(Table4[[Regular]:[Special]],MATCH(ClientDB[[#Data],[Country Code]],Table4[[#Data],[Country]],0),MATCH(ClientDB[[#Data],[Meal]],Table4[[#Headers],[Regular]:[Special]],0))</f>
        <v>B</v>
      </c>
      <c r="T14" s="9" t="s">
        <v>786</v>
      </c>
      <c r="U14" s="26">
        <v>43831</v>
      </c>
      <c r="V14" s="27">
        <f>COUNTIFS(K7:K368,"New")+COUNTIFS(K7:K368,0)+COUNTIFS(K7:K368,FALSE)+COUNTIFS(K7:K368," ")</f>
        <v>45</v>
      </c>
      <c r="W14" t="s">
        <v>916</v>
      </c>
    </row>
    <row r="15" spans="1:23" ht="16.5" thickBot="1" x14ac:dyDescent="0.25">
      <c r="A15" s="10">
        <v>11280</v>
      </c>
      <c r="B15" t="s">
        <v>656</v>
      </c>
      <c r="C15" t="s">
        <v>657</v>
      </c>
      <c r="D15" s="18">
        <v>43087</v>
      </c>
      <c r="E15" s="34">
        <f>YEAR(ClientDB[[#This Row],[Start Date]])</f>
        <v>2017</v>
      </c>
      <c r="F15" t="s">
        <v>832</v>
      </c>
      <c r="G15" t="str">
        <f>VLOOKUP(ClientDB[[#This Row],[Org Code]],Table2[],2,0)</f>
        <v>TQ Processes</v>
      </c>
      <c r="H15" s="10" t="s">
        <v>658</v>
      </c>
      <c r="I15" s="10" t="str">
        <f>_xlfn.XLOOKUP(ClientDB[[#This Row],[Country Code]],Table3[[#All],[Country Codes]],Table3[[#All],[Country]],1,TRUE)</f>
        <v>Denmark</v>
      </c>
      <c r="J15" s="15">
        <v>6</v>
      </c>
      <c r="K15" s="15" t="str">
        <f>IF(ClientDB[[#This Row],[Start Date]]&gt;=$U$14,"New","")</f>
        <v/>
      </c>
      <c r="L15" s="42" t="str">
        <f>IF(OR(ClientDB[[#This Row],[Start Year]]&lt;2016,ClientDB[[#This Row],[Events]]&gt;=6),"Gift","")</f>
        <v>Gift</v>
      </c>
      <c r="M15" s="42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5" s="15">
        <v>3</v>
      </c>
      <c r="O15" s="35">
        <f>IF(ClientDB[[#This Row],[Days]]=1,(ClientDB[[#This Row],[Days]]*$V$7),IF(ClientDB[[#This Row],[Days]]&gt;1,(ClientDB[[#This Row],[Days]]*$V$8),""))</f>
        <v>900</v>
      </c>
      <c r="P1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5" s="15" t="s">
        <v>901</v>
      </c>
      <c r="R15" s="15" t="str">
        <f>INDEX(Table4[[Regular]:[Special]],MATCH(ClientDB[[#Data],[Country Code]],Table4[[#Data],[Country]],0),MATCH(ClientDB[[#Data],[Meal]],Table4[[#Headers],[Regular]:[Special]],0))</f>
        <v>D</v>
      </c>
      <c r="T15" s="9" t="s">
        <v>918</v>
      </c>
      <c r="U15" s="9" t="s">
        <v>108</v>
      </c>
      <c r="V15" s="27">
        <f>COUNTIFS(ClientDB[Organisation],U15)</f>
        <v>5</v>
      </c>
    </row>
    <row r="16" spans="1:23" ht="16.5" thickBot="1" x14ac:dyDescent="0.25">
      <c r="A16" s="10">
        <v>11325</v>
      </c>
      <c r="B16" t="s">
        <v>31</v>
      </c>
      <c r="C16" t="s">
        <v>640</v>
      </c>
      <c r="D16" s="18">
        <v>43263</v>
      </c>
      <c r="E16" s="34">
        <f>YEAR(ClientDB[[#This Row],[Start Date]])</f>
        <v>2018</v>
      </c>
      <c r="F16" t="s">
        <v>813</v>
      </c>
      <c r="G16" t="str">
        <f>VLOOKUP(ClientDB[[#This Row],[Org Code]],Table2[],2,0)</f>
        <v>HeatProof</v>
      </c>
      <c r="H16" s="10" t="s">
        <v>685</v>
      </c>
      <c r="I16" s="10" t="str">
        <f>_xlfn.XLOOKUP(ClientDB[[#This Row],[Country Code]],Table3[[#All],[Country Codes]],Table3[[#All],[Country]],1,TRUE)</f>
        <v>Sudan</v>
      </c>
      <c r="J16" s="15">
        <v>3</v>
      </c>
      <c r="K16" s="15" t="str">
        <f>IF(ClientDB[[#This Row],[Start Date]]&gt;=$U$14,"New","")</f>
        <v/>
      </c>
      <c r="L16" s="15" t="str">
        <f>IF(OR(ClientDB[[#This Row],[Start Year]]&lt;2016,ClientDB[[#This Row],[Events]]&gt;=6),"Gift","")</f>
        <v/>
      </c>
      <c r="M1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" s="15">
        <v>1</v>
      </c>
      <c r="O16" s="35">
        <f>IF(ClientDB[[#This Row],[Days]]=1,(ClientDB[[#This Row],[Days]]*$V$7),IF(ClientDB[[#This Row],[Days]]&gt;1,(ClientDB[[#This Row],[Days]]*$V$8),""))</f>
        <v>350</v>
      </c>
      <c r="P1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16" s="15" t="s">
        <v>901</v>
      </c>
      <c r="R16" s="15" t="str">
        <f>INDEX(Table4[[Regular]:[Special]],MATCH(ClientDB[[#Data],[Country Code]],Table4[[#Data],[Country]],0),MATCH(ClientDB[[#Data],[Meal]],Table4[[#Headers],[Regular]:[Special]],0))</f>
        <v>G</v>
      </c>
      <c r="T16" s="9" t="s">
        <v>895</v>
      </c>
      <c r="U16" s="9"/>
      <c r="V16" s="27">
        <f>COUNTIFS(ClientDB[Country],"United Kingdom")+COUNTIFS(ClientDB[Country],"United States")</f>
        <v>111</v>
      </c>
    </row>
    <row r="17" spans="1:22" x14ac:dyDescent="0.2">
      <c r="A17" s="10">
        <v>11344</v>
      </c>
      <c r="B17" t="s">
        <v>391</v>
      </c>
      <c r="C17" t="s">
        <v>392</v>
      </c>
      <c r="D17" s="18">
        <v>42140</v>
      </c>
      <c r="E17" s="34">
        <f>YEAR(ClientDB[[#This Row],[Start Date]])</f>
        <v>2015</v>
      </c>
      <c r="F17" t="s">
        <v>826</v>
      </c>
      <c r="G17" t="str">
        <f>VLOOKUP(ClientDB[[#This Row],[Org Code]],Table2[],2,0)</f>
        <v>Respira Networks</v>
      </c>
      <c r="H17" s="10" t="s">
        <v>59</v>
      </c>
      <c r="I17" s="10" t="str">
        <f>_xlfn.XLOOKUP(ClientDB[[#This Row],[Country Code]],Table3[[#All],[Country Codes]],Table3[[#All],[Country]],1,TRUE)</f>
        <v>Netherlands</v>
      </c>
      <c r="J17" s="15">
        <v>5</v>
      </c>
      <c r="K17" s="15" t="str">
        <f>IF(ClientDB[[#This Row],[Start Date]]&gt;=$U$14,"New","")</f>
        <v/>
      </c>
      <c r="L17" s="15" t="str">
        <f>IF(OR(ClientDB[[#This Row],[Start Year]]&lt;2016,ClientDB[[#This Row],[Events]]&gt;=6),"Gift","")</f>
        <v>Gift</v>
      </c>
      <c r="M1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7" s="15">
        <v>3</v>
      </c>
      <c r="O17" s="35">
        <f>IF(ClientDB[[#This Row],[Days]]=1,(ClientDB[[#This Row],[Days]]*$V$7),IF(ClientDB[[#This Row],[Days]]&gt;1,(ClientDB[[#This Row],[Days]]*$V$8),""))</f>
        <v>900</v>
      </c>
      <c r="P1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7" s="15" t="s">
        <v>902</v>
      </c>
      <c r="R17" s="15" t="str">
        <f>INDEX(Table4[[Regular]:[Special]],MATCH(ClientDB[[#Data],[Country Code]],Table4[[#Data],[Country]],0),MATCH(ClientDB[[#Data],[Meal]],Table4[[#Headers],[Regular]:[Special]],0))</f>
        <v>C</v>
      </c>
    </row>
    <row r="18" spans="1:22" ht="16.5" thickBot="1" x14ac:dyDescent="0.25">
      <c r="A18" s="10">
        <v>11365</v>
      </c>
      <c r="B18" t="s">
        <v>260</v>
      </c>
      <c r="C18" t="s">
        <v>261</v>
      </c>
      <c r="D18" s="18">
        <v>43247</v>
      </c>
      <c r="E18" s="34">
        <f>YEAR(ClientDB[[#This Row],[Start Date]])</f>
        <v>2018</v>
      </c>
      <c r="F18" t="s">
        <v>822</v>
      </c>
      <c r="G18" t="str">
        <f>VLOOKUP(ClientDB[[#This Row],[Org Code]],Table2[],2,0)</f>
        <v>PicSure</v>
      </c>
      <c r="H18" s="10" t="s">
        <v>262</v>
      </c>
      <c r="I18" s="10" t="str">
        <f>_xlfn.XLOOKUP(ClientDB[[#This Row],[Country Code]],Table3[[#All],[Country Codes]],Table3[[#All],[Country]],1,TRUE)</f>
        <v>Poland</v>
      </c>
      <c r="J18" s="15">
        <v>2</v>
      </c>
      <c r="K18" s="15" t="str">
        <f>IF(ClientDB[[#This Row],[Start Date]]&gt;=$U$14,"New","")</f>
        <v/>
      </c>
      <c r="L18" s="15" t="str">
        <f>IF(OR(ClientDB[[#This Row],[Start Year]]&lt;2016,ClientDB[[#This Row],[Events]]&gt;=6),"Gift","")</f>
        <v/>
      </c>
      <c r="M1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8" s="15">
        <v>1</v>
      </c>
      <c r="O18" s="35">
        <f>IF(ClientDB[[#This Row],[Days]]=1,(ClientDB[[#This Row],[Days]]*$V$7),IF(ClientDB[[#This Row],[Days]]&gt;1,(ClientDB[[#This Row],[Days]]*$V$8),""))</f>
        <v>350</v>
      </c>
      <c r="P1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18" s="15" t="s">
        <v>901</v>
      </c>
      <c r="R18" s="15" t="str">
        <f>INDEX(Table4[[Regular]:[Special]],MATCH(ClientDB[[#Data],[Country Code]],Table4[[#Data],[Country]],0),MATCH(ClientDB[[#Data],[Meal]],Table4[[#Headers],[Regular]:[Special]],0))</f>
        <v>F</v>
      </c>
      <c r="T18" s="14" t="s">
        <v>780</v>
      </c>
      <c r="U18" s="20" t="s">
        <v>773</v>
      </c>
      <c r="V18" s="20" t="s">
        <v>785</v>
      </c>
    </row>
    <row r="19" spans="1:22" ht="15" thickBot="1" x14ac:dyDescent="0.25">
      <c r="A19" s="10">
        <v>11584</v>
      </c>
      <c r="B19" t="s">
        <v>263</v>
      </c>
      <c r="C19" t="s">
        <v>343</v>
      </c>
      <c r="D19" s="18">
        <v>43460</v>
      </c>
      <c r="E19" s="34">
        <f>YEAR(ClientDB[[#This Row],[Start Date]])</f>
        <v>2018</v>
      </c>
      <c r="F19" t="s">
        <v>827</v>
      </c>
      <c r="G19" t="str">
        <f>VLOOKUP(ClientDB[[#This Row],[Org Code]],Table2[],2,0)</f>
        <v>Ripple Com</v>
      </c>
      <c r="H19" s="10" t="s">
        <v>46</v>
      </c>
      <c r="I19" s="10" t="str">
        <f>_xlfn.XLOOKUP(ClientDB[[#This Row],[Country Code]],Table3[[#All],[Country Codes]],Table3[[#All],[Country]],1,TRUE)</f>
        <v>Germany</v>
      </c>
      <c r="J19" s="15">
        <v>6</v>
      </c>
      <c r="K19" s="15" t="str">
        <f>IF(ClientDB[[#This Row],[Start Date]]&gt;=$U$14,"New","")</f>
        <v/>
      </c>
      <c r="L19" s="15" t="str">
        <f>IF(OR(ClientDB[[#This Row],[Start Year]]&lt;2016,ClientDB[[#This Row],[Events]]&gt;=6),"Gift","")</f>
        <v>Gift</v>
      </c>
      <c r="M1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9" s="15">
        <v>2</v>
      </c>
      <c r="O19" s="35">
        <f>IF(ClientDB[[#This Row],[Days]]=1,(ClientDB[[#This Row],[Days]]*$V$7),IF(ClientDB[[#This Row],[Days]]&gt;1,(ClientDB[[#This Row],[Days]]*$V$8),""))</f>
        <v>600</v>
      </c>
      <c r="P1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9" s="15" t="s">
        <v>901</v>
      </c>
      <c r="R19" s="15" t="str">
        <f>INDEX(Table4[[Regular]:[Special]],MATCH(ClientDB[[#Data],[Country Code]],Table4[[#Data],[Country]],0),MATCH(ClientDB[[#Data],[Meal]],Table4[[#Headers],[Regular]:[Special]],0))</f>
        <v>D</v>
      </c>
      <c r="T19" s="21">
        <v>1</v>
      </c>
      <c r="U19" s="28" t="s">
        <v>781</v>
      </c>
      <c r="V19" s="29">
        <f>COUNTIFS($M$7:$M$368,U19)</f>
        <v>263</v>
      </c>
    </row>
    <row r="20" spans="1:22" ht="15" thickBot="1" x14ac:dyDescent="0.25">
      <c r="A20" s="10">
        <v>11646</v>
      </c>
      <c r="B20" t="s">
        <v>712</v>
      </c>
      <c r="C20" t="s">
        <v>67</v>
      </c>
      <c r="D20" s="18">
        <v>43551</v>
      </c>
      <c r="E20" s="34">
        <f>YEAR(ClientDB[[#This Row],[Start Date]])</f>
        <v>2019</v>
      </c>
      <c r="F20" t="s">
        <v>824</v>
      </c>
      <c r="G20" t="str">
        <f>VLOOKUP(ClientDB[[#This Row],[Org Code]],Table2[],2,0)</f>
        <v>Pink Cloud Networks</v>
      </c>
      <c r="H20" s="10" t="s">
        <v>59</v>
      </c>
      <c r="I20" s="10" t="str">
        <f>_xlfn.XLOOKUP(ClientDB[[#This Row],[Country Code]],Table3[[#All],[Country Codes]],Table3[[#All],[Country]],1,TRUE)</f>
        <v>Netherlands</v>
      </c>
      <c r="J20" s="15">
        <v>9</v>
      </c>
      <c r="K20" s="15" t="str">
        <f>IF(ClientDB[[#This Row],[Start Date]]&gt;=$U$14,"New","")</f>
        <v/>
      </c>
      <c r="L20" s="15" t="str">
        <f>IF(OR(ClientDB[[#This Row],[Start Year]]&lt;2016,ClientDB[[#This Row],[Events]]&gt;=6),"Gift","")</f>
        <v>Gift</v>
      </c>
      <c r="M2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0" s="15">
        <v>1</v>
      </c>
      <c r="O20" s="35">
        <f>IF(ClientDB[[#This Row],[Days]]=1,(ClientDB[[#This Row],[Days]]*$V$7),IF(ClientDB[[#This Row],[Days]]&gt;1,(ClientDB[[#This Row],[Days]]*$V$8),""))</f>
        <v>350</v>
      </c>
      <c r="P2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20" s="15" t="s">
        <v>901</v>
      </c>
      <c r="R20" s="15" t="str">
        <f>INDEX(Table4[[Regular]:[Special]],MATCH(ClientDB[[#Data],[Country Code]],Table4[[#Data],[Country]],0),MATCH(ClientDB[[#Data],[Meal]],Table4[[#Headers],[Regular]:[Special]],0))</f>
        <v>F</v>
      </c>
      <c r="T20" s="23">
        <v>10</v>
      </c>
      <c r="U20" s="30" t="s">
        <v>782</v>
      </c>
      <c r="V20" s="29">
        <f t="shared" ref="V20:V22" si="0">COUNTIFS($M$7:$M$368,U20)</f>
        <v>72</v>
      </c>
    </row>
    <row r="21" spans="1:22" ht="15" thickBot="1" x14ac:dyDescent="0.25">
      <c r="A21" s="10">
        <v>11762</v>
      </c>
      <c r="B21" t="s">
        <v>364</v>
      </c>
      <c r="C21" t="s">
        <v>365</v>
      </c>
      <c r="D21" s="18">
        <v>43821</v>
      </c>
      <c r="E21" s="34">
        <f>YEAR(ClientDB[[#This Row],[Start Date]])</f>
        <v>2019</v>
      </c>
      <c r="F21" t="s">
        <v>838</v>
      </c>
      <c r="G21" t="str">
        <f>VLOOKUP(ClientDB[[#This Row],[Org Code]],Table2[],2,0)</f>
        <v>xLAN Internet Exchange</v>
      </c>
      <c r="H21" s="10" t="s">
        <v>15</v>
      </c>
      <c r="I21" s="10" t="str">
        <f>_xlfn.XLOOKUP(ClientDB[[#This Row],[Country Code]],Table3[[#All],[Country Codes]],Table3[[#All],[Country]],1,TRUE)</f>
        <v>United Kingdom</v>
      </c>
      <c r="J21" s="15">
        <v>3</v>
      </c>
      <c r="K21" s="15" t="str">
        <f>IF(ClientDB[[#This Row],[Start Date]]&gt;=$U$14,"New","")</f>
        <v/>
      </c>
      <c r="L21" s="15" t="str">
        <f>IF(OR(ClientDB[[#This Row],[Start Year]]&lt;2016,ClientDB[[#This Row],[Events]]&gt;=6),"Gift","")</f>
        <v/>
      </c>
      <c r="M2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" s="15">
        <v>1</v>
      </c>
      <c r="O21" s="35">
        <f>IF(ClientDB[[#This Row],[Days]]=1,(ClientDB[[#This Row],[Days]]*$V$7),IF(ClientDB[[#This Row],[Days]]&gt;1,(ClientDB[[#This Row],[Days]]*$V$8),""))</f>
        <v>350</v>
      </c>
      <c r="P2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1" s="15" t="s">
        <v>901</v>
      </c>
      <c r="R21" s="15" t="str">
        <f>INDEX(Table4[[Regular]:[Special]],MATCH(ClientDB[[#Data],[Country Code]],Table4[[#Data],[Country]],0),MATCH(ClientDB[[#Data],[Meal]],Table4[[#Headers],[Regular]:[Special]],0))</f>
        <v>E</v>
      </c>
      <c r="T21" s="23">
        <v>20</v>
      </c>
      <c r="U21" s="30" t="s">
        <v>783</v>
      </c>
      <c r="V21" s="29">
        <f t="shared" si="0"/>
        <v>19</v>
      </c>
    </row>
    <row r="22" spans="1:22" ht="15" thickBot="1" x14ac:dyDescent="0.25">
      <c r="A22" s="10">
        <v>11854</v>
      </c>
      <c r="B22" t="s">
        <v>591</v>
      </c>
      <c r="C22" t="s">
        <v>592</v>
      </c>
      <c r="D22" s="18">
        <v>42788</v>
      </c>
      <c r="E22" s="34">
        <f>YEAR(ClientDB[[#This Row],[Start Date]])</f>
        <v>2017</v>
      </c>
      <c r="F22" t="s">
        <v>832</v>
      </c>
      <c r="G22" t="str">
        <f>VLOOKUP(ClientDB[[#This Row],[Org Code]],Table2[],2,0)</f>
        <v>TQ Processes</v>
      </c>
      <c r="H22" s="10" t="s">
        <v>155</v>
      </c>
      <c r="I22" s="10" t="str">
        <f>_xlfn.XLOOKUP(ClientDB[[#This Row],[Country Code]],Table3[[#All],[Country Codes]],Table3[[#All],[Country]],1,TRUE)</f>
        <v>United Arab Emirates</v>
      </c>
      <c r="J22" s="15">
        <v>14</v>
      </c>
      <c r="K22" s="15" t="str">
        <f>IF(ClientDB[[#This Row],[Start Date]]&gt;=$U$14,"New","")</f>
        <v/>
      </c>
      <c r="L22" s="15" t="str">
        <f>IF(OR(ClientDB[[#This Row],[Start Year]]&lt;2016,ClientDB[[#This Row],[Events]]&gt;=6),"Gift","")</f>
        <v>Gift</v>
      </c>
      <c r="M22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2" s="15">
        <v>1</v>
      </c>
      <c r="O22" s="35">
        <f>IF(ClientDB[[#This Row],[Days]]=1,(ClientDB[[#This Row],[Days]]*$V$7),IF(ClientDB[[#This Row],[Days]]&gt;1,(ClientDB[[#This Row],[Days]]*$V$8),""))</f>
        <v>350</v>
      </c>
      <c r="P2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22" s="15" t="s">
        <v>901</v>
      </c>
      <c r="R22" s="15" t="str">
        <f>INDEX(Table4[[Regular]:[Special]],MATCH(ClientDB[[#Data],[Country Code]],Table4[[#Data],[Country]],0),MATCH(ClientDB[[#Data],[Meal]],Table4[[#Headers],[Regular]:[Special]],0))</f>
        <v>D</v>
      </c>
      <c r="T22" s="25">
        <v>30</v>
      </c>
      <c r="U22" s="31" t="s">
        <v>784</v>
      </c>
      <c r="V22" s="29">
        <f t="shared" si="0"/>
        <v>6</v>
      </c>
    </row>
    <row r="23" spans="1:22" ht="15" thickBot="1" x14ac:dyDescent="0.25">
      <c r="A23" s="10">
        <v>11958</v>
      </c>
      <c r="B23" t="s">
        <v>359</v>
      </c>
      <c r="C23" t="s">
        <v>360</v>
      </c>
      <c r="D23" s="18">
        <v>42654</v>
      </c>
      <c r="E23" s="34">
        <f>YEAR(ClientDB[[#This Row],[Start Date]])</f>
        <v>2016</v>
      </c>
      <c r="F23" t="s">
        <v>803</v>
      </c>
      <c r="G23" t="str">
        <f>VLOOKUP(ClientDB[[#This Row],[Org Code]],Table2[],2,0)</f>
        <v>CTX</v>
      </c>
      <c r="H23" s="10" t="s">
        <v>46</v>
      </c>
      <c r="I23" s="10" t="str">
        <f>_xlfn.XLOOKUP(ClientDB[[#This Row],[Country Code]],Table3[[#All],[Country Codes]],Table3[[#All],[Country]],1,TRUE)</f>
        <v>Germany</v>
      </c>
      <c r="J23" s="15">
        <v>19</v>
      </c>
      <c r="K23" s="15" t="str">
        <f>IF(ClientDB[[#This Row],[Start Date]]&gt;=$U$14,"New","")</f>
        <v/>
      </c>
      <c r="L23" s="15" t="str">
        <f>IF(OR(ClientDB[[#This Row],[Start Year]]&lt;2016,ClientDB[[#This Row],[Events]]&gt;=6),"Gift","")</f>
        <v>Gift</v>
      </c>
      <c r="M23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3" s="15">
        <v>1</v>
      </c>
      <c r="O23" s="35">
        <f>IF(ClientDB[[#This Row],[Days]]=1,(ClientDB[[#This Row],[Days]]*$V$7),IF(ClientDB[[#This Row],[Days]]&gt;1,(ClientDB[[#This Row],[Days]]*$V$8),""))</f>
        <v>350</v>
      </c>
      <c r="P2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23" s="15" t="s">
        <v>902</v>
      </c>
      <c r="R23" s="15" t="str">
        <f>INDEX(Table4[[Regular]:[Special]],MATCH(ClientDB[[#Data],[Country Code]],Table4[[#Data],[Country]],0),MATCH(ClientDB[[#Data],[Meal]],Table4[[#Headers],[Regular]:[Special]],0))</f>
        <v>B</v>
      </c>
    </row>
    <row r="24" spans="1:22" ht="16.5" thickBot="1" x14ac:dyDescent="0.25">
      <c r="A24" s="10">
        <v>12136</v>
      </c>
      <c r="B24" t="s">
        <v>94</v>
      </c>
      <c r="C24" t="s">
        <v>95</v>
      </c>
      <c r="D24" s="18">
        <v>42422</v>
      </c>
      <c r="E24" s="34">
        <f>YEAR(ClientDB[[#This Row],[Start Date]])</f>
        <v>2016</v>
      </c>
      <c r="F24" t="s">
        <v>813</v>
      </c>
      <c r="G24" t="str">
        <f>VLOOKUP(ClientDB[[#This Row],[Org Code]],Table2[],2,0)</f>
        <v>HeatProof</v>
      </c>
      <c r="H24" s="10" t="s">
        <v>97</v>
      </c>
      <c r="I24" s="10" t="str">
        <f>_xlfn.XLOOKUP(ClientDB[[#This Row],[Country Code]],Table3[[#All],[Country Codes]],Table3[[#All],[Country]],1,TRUE)</f>
        <v>Ireland</v>
      </c>
      <c r="J24" s="15">
        <v>8</v>
      </c>
      <c r="K24" s="15" t="str">
        <f>IF(ClientDB[[#This Row],[Start Date]]&gt;=$U$14,"New","")</f>
        <v/>
      </c>
      <c r="L24" s="15" t="str">
        <f>IF(OR(ClientDB[[#This Row],[Start Year]]&lt;2016,ClientDB[[#This Row],[Events]]&gt;=6),"Gift","")</f>
        <v>Gift</v>
      </c>
      <c r="M2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4" s="15">
        <v>1</v>
      </c>
      <c r="O24" s="35">
        <f>IF(ClientDB[[#This Row],[Days]]=1,(ClientDB[[#This Row],[Days]]*$V$7),IF(ClientDB[[#This Row],[Days]]&gt;1,(ClientDB[[#This Row],[Days]]*$V$8),""))</f>
        <v>350</v>
      </c>
      <c r="P2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24" s="15" t="s">
        <v>901</v>
      </c>
      <c r="R24" s="15" t="str">
        <f>INDEX(Table4[[Regular]:[Special]],MATCH(ClientDB[[#Data],[Country Code]],Table4[[#Data],[Country]],0),MATCH(ClientDB[[#Data],[Meal]],Table4[[#Headers],[Regular]:[Special]],0))</f>
        <v>F</v>
      </c>
      <c r="T24" s="9" t="s">
        <v>917</v>
      </c>
      <c r="U24" s="32">
        <f>COUNTIFS(ClientDB[Gift?],"Gift")</f>
        <v>202</v>
      </c>
    </row>
    <row r="25" spans="1:22" ht="16.5" thickBot="1" x14ac:dyDescent="0.25">
      <c r="A25" s="10">
        <v>12141</v>
      </c>
      <c r="B25" t="s">
        <v>693</v>
      </c>
      <c r="C25" t="s">
        <v>694</v>
      </c>
      <c r="D25" s="18">
        <v>43015</v>
      </c>
      <c r="E25" s="34">
        <f>YEAR(ClientDB[[#This Row],[Start Date]])</f>
        <v>2017</v>
      </c>
      <c r="F25" t="s">
        <v>801</v>
      </c>
      <c r="G25" t="str">
        <f>VLOOKUP(ClientDB[[#This Row],[Org Code]],Table2[],2,0)</f>
        <v>Collings University</v>
      </c>
      <c r="H25" s="10" t="s">
        <v>7</v>
      </c>
      <c r="I25" s="10" t="str">
        <f>_xlfn.XLOOKUP(ClientDB[[#This Row],[Country Code]],Table3[[#All],[Country Codes]],Table3[[#All],[Country]],1,TRUE)</f>
        <v>Iran</v>
      </c>
      <c r="J25" s="15">
        <v>2</v>
      </c>
      <c r="K25" s="15" t="str">
        <f>IF(ClientDB[[#This Row],[Start Date]]&gt;=$U$14,"New","")</f>
        <v/>
      </c>
      <c r="L25" s="15" t="str">
        <f>IF(OR(ClientDB[[#This Row],[Start Year]]&lt;2016,ClientDB[[#This Row],[Events]]&gt;=6),"Gift","")</f>
        <v/>
      </c>
      <c r="M2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5" s="15">
        <v>3</v>
      </c>
      <c r="O25" s="35">
        <f>IF(ClientDB[[#This Row],[Days]]=1,(ClientDB[[#This Row],[Days]]*$V$7),IF(ClientDB[[#This Row],[Days]]&gt;1,(ClientDB[[#This Row],[Days]]*$V$8),""))</f>
        <v>900</v>
      </c>
      <c r="P2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5" s="15" t="s">
        <v>901</v>
      </c>
      <c r="R25" s="15" t="str">
        <f>INDEX(Table4[[Regular]:[Special]],MATCH(ClientDB[[#Data],[Country Code]],Table4[[#Data],[Country]],0),MATCH(ClientDB[[#Data],[Meal]],Table4[[#Headers],[Regular]:[Special]],0))</f>
        <v>F</v>
      </c>
      <c r="T25" s="9" t="s">
        <v>908</v>
      </c>
      <c r="U25" s="38">
        <f>SUM(ClientDB[Price])</f>
        <v>230050</v>
      </c>
    </row>
    <row r="26" spans="1:22" ht="16.5" thickBot="1" x14ac:dyDescent="0.25">
      <c r="A26" s="10">
        <v>12268</v>
      </c>
      <c r="B26" t="s">
        <v>67</v>
      </c>
      <c r="C26" t="s">
        <v>720</v>
      </c>
      <c r="D26" s="18">
        <v>42381</v>
      </c>
      <c r="E26" s="34">
        <f>YEAR(ClientDB[[#This Row],[Start Date]])</f>
        <v>2016</v>
      </c>
      <c r="F26" t="s">
        <v>803</v>
      </c>
      <c r="G26" t="str">
        <f>VLOOKUP(ClientDB[[#This Row],[Org Code]],Table2[],2,0)</f>
        <v>CTX</v>
      </c>
      <c r="H26" s="10" t="s">
        <v>46</v>
      </c>
      <c r="I26" s="10" t="str">
        <f>_xlfn.XLOOKUP(ClientDB[[#This Row],[Country Code]],Table3[[#All],[Country Codes]],Table3[[#All],[Country]],1,TRUE)</f>
        <v>Germany</v>
      </c>
      <c r="J26" s="15">
        <v>23</v>
      </c>
      <c r="K26" s="15" t="str">
        <f>IF(ClientDB[[#This Row],[Start Date]]&gt;=$U$14,"New","")</f>
        <v/>
      </c>
      <c r="L26" s="15" t="str">
        <f>IF(OR(ClientDB[[#This Row],[Start Year]]&lt;2016,ClientDB[[#This Row],[Events]]&gt;=6),"Gift","")</f>
        <v>Gift</v>
      </c>
      <c r="M26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26" s="15">
        <v>3</v>
      </c>
      <c r="O26" s="35">
        <f>IF(ClientDB[[#This Row],[Days]]=1,(ClientDB[[#This Row],[Days]]*$V$7),IF(ClientDB[[#This Row],[Days]]&gt;1,(ClientDB[[#This Row],[Days]]*$V$8),""))</f>
        <v>900</v>
      </c>
      <c r="P2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26" s="15" t="s">
        <v>902</v>
      </c>
      <c r="R26" s="15" t="str">
        <f>INDEX(Table4[[Regular]:[Special]],MATCH(ClientDB[[#Data],[Country Code]],Table4[[#Data],[Country]],0),MATCH(ClientDB[[#Data],[Meal]],Table4[[#Headers],[Regular]:[Special]],0))</f>
        <v>B</v>
      </c>
      <c r="T26" s="9" t="s">
        <v>909</v>
      </c>
      <c r="U26" s="38">
        <f>SUM(ClientDB[After Discount])</f>
        <v>212260</v>
      </c>
    </row>
    <row r="27" spans="1:22" x14ac:dyDescent="0.2">
      <c r="A27" s="10">
        <v>12345</v>
      </c>
      <c r="B27" t="s">
        <v>272</v>
      </c>
      <c r="C27" t="s">
        <v>273</v>
      </c>
      <c r="D27" s="18">
        <v>43954</v>
      </c>
      <c r="E27" s="34">
        <f>YEAR(ClientDB[[#This Row],[Start Date]])</f>
        <v>2020</v>
      </c>
      <c r="F27" t="s">
        <v>797</v>
      </c>
      <c r="G27" t="str">
        <f>VLOOKUP(ClientDB[[#This Row],[Org Code]],Table2[],2,0)</f>
        <v>ASET PLC</v>
      </c>
      <c r="H27" s="10" t="s">
        <v>274</v>
      </c>
      <c r="I27" s="10" t="str">
        <f>_xlfn.XLOOKUP(ClientDB[[#This Row],[Country Code]],Table3[[#All],[Country Codes]],Table3[[#All],[Country]],1,TRUE)</f>
        <v>Spain</v>
      </c>
      <c r="J27" s="15">
        <v>2</v>
      </c>
      <c r="K27" s="15" t="str">
        <f>IF(ClientDB[[#This Row],[Start Date]]&gt;=$U$14,"New","")</f>
        <v>New</v>
      </c>
      <c r="L27" s="15" t="str">
        <f>IF(OR(ClientDB[[#This Row],[Start Year]]&lt;2016,ClientDB[[#This Row],[Events]]&gt;=6),"Gift","")</f>
        <v/>
      </c>
      <c r="M2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7" s="15">
        <v>2</v>
      </c>
      <c r="O27" s="35">
        <f>IF(ClientDB[[#This Row],[Days]]=1,(ClientDB[[#This Row],[Days]]*$V$7),IF(ClientDB[[#This Row],[Days]]&gt;1,(ClientDB[[#This Row],[Days]]*$V$8),""))</f>
        <v>600</v>
      </c>
      <c r="P2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7" s="15" t="s">
        <v>901</v>
      </c>
      <c r="R27" s="15" t="str">
        <f>INDEX(Table4[[Regular]:[Special]],MATCH(ClientDB[[#Data],[Country Code]],Table4[[#Data],[Country]],0),MATCH(ClientDB[[#Data],[Meal]],Table4[[#Headers],[Regular]:[Special]],0))</f>
        <v>D</v>
      </c>
    </row>
    <row r="28" spans="1:22" ht="15.75" x14ac:dyDescent="0.2">
      <c r="A28" s="10">
        <v>12443</v>
      </c>
      <c r="B28" t="s">
        <v>384</v>
      </c>
      <c r="C28" t="s">
        <v>385</v>
      </c>
      <c r="D28" s="18">
        <v>43353</v>
      </c>
      <c r="E28" s="34">
        <f>YEAR(ClientDB[[#This Row],[Start Date]])</f>
        <v>2018</v>
      </c>
      <c r="F28" t="s">
        <v>806</v>
      </c>
      <c r="G28" t="str">
        <f>VLOOKUP(ClientDB[[#This Row],[Org Code]],Table2[],2,0)</f>
        <v>DENIL</v>
      </c>
      <c r="H28" s="10" t="s">
        <v>386</v>
      </c>
      <c r="I28" s="10" t="str">
        <f>_xlfn.XLOOKUP(ClientDB[[#This Row],[Country Code]],Table3[[#All],[Country Codes]],Table3[[#All],[Country]],1,TRUE)</f>
        <v>Belgium</v>
      </c>
      <c r="J28" s="15">
        <v>3</v>
      </c>
      <c r="K28" s="15" t="str">
        <f>IF(ClientDB[[#This Row],[Start Date]]&gt;=$U$14,"New","")</f>
        <v/>
      </c>
      <c r="L28" s="15" t="str">
        <f>IF(OR(ClientDB[[#This Row],[Start Year]]&lt;2016,ClientDB[[#This Row],[Events]]&gt;=6),"Gift","")</f>
        <v/>
      </c>
      <c r="M2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8" s="15">
        <v>3</v>
      </c>
      <c r="O28" s="35">
        <f>IF(ClientDB[[#This Row],[Days]]=1,(ClientDB[[#This Row],[Days]]*$V$7),IF(ClientDB[[#This Row],[Days]]&gt;1,(ClientDB[[#This Row],[Days]]*$V$8),""))</f>
        <v>900</v>
      </c>
      <c r="P2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8" s="15" t="s">
        <v>900</v>
      </c>
      <c r="R28" s="15" t="str">
        <f>INDEX(Table4[[Regular]:[Special]],MATCH(ClientDB[[#Data],[Country Code]],Table4[[#Data],[Country]],0),MATCH(ClientDB[[#Data],[Meal]],Table4[[#Headers],[Regular]:[Special]],0))</f>
        <v>A</v>
      </c>
      <c r="T28" s="44" t="s">
        <v>919</v>
      </c>
      <c r="U28" s="43"/>
    </row>
    <row r="29" spans="1:22" ht="15.75" x14ac:dyDescent="0.2">
      <c r="A29" s="10">
        <v>12503</v>
      </c>
      <c r="B29" t="s">
        <v>399</v>
      </c>
      <c r="C29" t="s">
        <v>623</v>
      </c>
      <c r="D29" s="18">
        <v>43398</v>
      </c>
      <c r="E29" s="34">
        <f>YEAR(ClientDB[[#This Row],[Start Date]])</f>
        <v>2018</v>
      </c>
      <c r="F29" t="s">
        <v>805</v>
      </c>
      <c r="G29" t="str">
        <f>VLOOKUP(ClientDB[[#This Row],[Org Code]],Table2[],2,0)</f>
        <v>Data Pro Sys</v>
      </c>
      <c r="H29" s="10" t="s">
        <v>277</v>
      </c>
      <c r="I29" s="10" t="str">
        <f>_xlfn.XLOOKUP(ClientDB[[#This Row],[Country Code]],Table3[[#All],[Country Codes]],Table3[[#All],[Country]],1,TRUE)</f>
        <v>Saudi Arabia</v>
      </c>
      <c r="J29" s="15">
        <v>5</v>
      </c>
      <c r="K29" s="15" t="str">
        <f>IF(ClientDB[[#This Row],[Start Date]]&gt;=$U$14,"New","")</f>
        <v/>
      </c>
      <c r="L29" s="15" t="str">
        <f>IF(OR(ClientDB[[#This Row],[Start Year]]&lt;2016,ClientDB[[#This Row],[Events]]&gt;=6),"Gift","")</f>
        <v/>
      </c>
      <c r="M2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9" s="15">
        <v>3</v>
      </c>
      <c r="O29" s="35">
        <f>IF(ClientDB[[#This Row],[Days]]=1,(ClientDB[[#This Row],[Days]]*$V$7),IF(ClientDB[[#This Row],[Days]]&gt;1,(ClientDB[[#This Row],[Days]]*$V$8),""))</f>
        <v>900</v>
      </c>
      <c r="P2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9" s="15" t="s">
        <v>899</v>
      </c>
      <c r="R29" s="15" t="str">
        <f>INDEX(Table4[[Regular]:[Special]],MATCH(ClientDB[[#Data],[Country Code]],Table4[[#Data],[Country]],0),MATCH(ClientDB[[#Data],[Meal]],Table4[[#Headers],[Regular]:[Special]],0))</f>
        <v>B</v>
      </c>
      <c r="T29" s="14" t="s">
        <v>775</v>
      </c>
      <c r="U29" s="33">
        <f t="shared" ref="U29:U35" si="1">COUNTIFS(Seating,T29)</f>
        <v>76</v>
      </c>
    </row>
    <row r="30" spans="1:22" ht="15.75" x14ac:dyDescent="0.2">
      <c r="A30" s="10">
        <v>12714</v>
      </c>
      <c r="B30" t="s">
        <v>338</v>
      </c>
      <c r="C30" t="s">
        <v>339</v>
      </c>
      <c r="D30" s="18">
        <v>42523</v>
      </c>
      <c r="E30" s="34">
        <f>YEAR(ClientDB[[#This Row],[Start Date]])</f>
        <v>2016</v>
      </c>
      <c r="F30" t="s">
        <v>840</v>
      </c>
      <c r="G30" t="str">
        <f>VLOOKUP(ClientDB[[#This Row],[Org Code]],Table2[],2,0)</f>
        <v>Zim Sales</v>
      </c>
      <c r="H30" s="10" t="s">
        <v>340</v>
      </c>
      <c r="I30" s="10" t="str">
        <f>_xlfn.XLOOKUP(ClientDB[[#This Row],[Country Code]],Table3[[#All],[Country Codes]],Table3[[#All],[Country]],1,TRUE)</f>
        <v>Bulgaria</v>
      </c>
      <c r="J30" s="15">
        <v>13</v>
      </c>
      <c r="K30" s="15" t="str">
        <f>IF(ClientDB[[#This Row],[Start Date]]&gt;=$U$14,"New","")</f>
        <v/>
      </c>
      <c r="L30" s="15" t="str">
        <f>IF(OR(ClientDB[[#This Row],[Start Year]]&lt;2016,ClientDB[[#This Row],[Events]]&gt;=6),"Gift","")</f>
        <v>Gift</v>
      </c>
      <c r="M30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30" s="15">
        <v>1</v>
      </c>
      <c r="O30" s="35">
        <f>IF(ClientDB[[#This Row],[Days]]=1,(ClientDB[[#This Row],[Days]]*$V$7),IF(ClientDB[[#This Row],[Days]]&gt;1,(ClientDB[[#This Row],[Days]]*$V$8),""))</f>
        <v>350</v>
      </c>
      <c r="P3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30" s="15" t="s">
        <v>901</v>
      </c>
      <c r="R30" s="15" t="str">
        <f>INDEX(Table4[[Regular]:[Special]],MATCH(ClientDB[[#Data],[Country Code]],Table4[[#Data],[Country]],0),MATCH(ClientDB[[#Data],[Meal]],Table4[[#Headers],[Regular]:[Special]],0))</f>
        <v>D</v>
      </c>
      <c r="T30" s="14" t="s">
        <v>776</v>
      </c>
      <c r="U30" s="33">
        <f t="shared" si="1"/>
        <v>52</v>
      </c>
    </row>
    <row r="31" spans="1:22" ht="15.75" x14ac:dyDescent="0.2">
      <c r="A31" s="10">
        <v>12802</v>
      </c>
      <c r="B31" t="s">
        <v>532</v>
      </c>
      <c r="C31" t="s">
        <v>533</v>
      </c>
      <c r="D31" s="18">
        <v>41676</v>
      </c>
      <c r="E31" s="34">
        <f>YEAR(ClientDB[[#This Row],[Start Date]])</f>
        <v>2014</v>
      </c>
      <c r="F31" t="s">
        <v>815</v>
      </c>
      <c r="G31" t="str">
        <f>VLOOKUP(ClientDB[[#This Row],[Org Code]],Table2[],2,0)</f>
        <v>Intelligence Systems</v>
      </c>
      <c r="H31" s="10" t="s">
        <v>143</v>
      </c>
      <c r="I31" s="10" t="str">
        <f>_xlfn.XLOOKUP(ClientDB[[#This Row],[Country Code]],Table3[[#All],[Country Codes]],Table3[[#All],[Country]],1,TRUE)</f>
        <v>Oman</v>
      </c>
      <c r="J31" s="15">
        <v>17</v>
      </c>
      <c r="K31" s="15" t="str">
        <f>IF(ClientDB[[#This Row],[Start Date]]&gt;=$U$14,"New","")</f>
        <v/>
      </c>
      <c r="L31" s="15" t="str">
        <f>IF(OR(ClientDB[[#This Row],[Start Year]]&lt;2016,ClientDB[[#This Row],[Events]]&gt;=6),"Gift","")</f>
        <v>Gift</v>
      </c>
      <c r="M31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31" s="15">
        <v>3</v>
      </c>
      <c r="O31" s="35">
        <f>IF(ClientDB[[#This Row],[Days]]=1,(ClientDB[[#This Row],[Days]]*$V$7),IF(ClientDB[[#This Row],[Days]]&gt;1,(ClientDB[[#This Row],[Days]]*$V$8),""))</f>
        <v>900</v>
      </c>
      <c r="P3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31" s="15" t="s">
        <v>899</v>
      </c>
      <c r="R31" s="15" t="str">
        <f>INDEX(Table4[[Regular]:[Special]],MATCH(ClientDB[[#Data],[Country Code]],Table4[[#Data],[Country]],0),MATCH(ClientDB[[#Data],[Meal]],Table4[[#Headers],[Regular]:[Special]],0))</f>
        <v>B</v>
      </c>
      <c r="T31" s="14" t="s">
        <v>774</v>
      </c>
      <c r="U31" s="33">
        <f t="shared" si="1"/>
        <v>46</v>
      </c>
    </row>
    <row r="32" spans="1:22" ht="15.75" x14ac:dyDescent="0.2">
      <c r="A32" s="10">
        <v>12808</v>
      </c>
      <c r="B32" t="s">
        <v>323</v>
      </c>
      <c r="C32" t="s">
        <v>704</v>
      </c>
      <c r="D32" s="18">
        <v>41311</v>
      </c>
      <c r="E32" s="34">
        <f>YEAR(ClientDB[[#This Row],[Start Date]])</f>
        <v>2013</v>
      </c>
      <c r="F32" t="s">
        <v>826</v>
      </c>
      <c r="G32" t="str">
        <f>VLOOKUP(ClientDB[[#This Row],[Org Code]],Table2[],2,0)</f>
        <v>Respira Networks</v>
      </c>
      <c r="H32" s="10" t="s">
        <v>46</v>
      </c>
      <c r="I32" s="10" t="str">
        <f>_xlfn.XLOOKUP(ClientDB[[#This Row],[Country Code]],Table3[[#All],[Country Codes]],Table3[[#All],[Country]],1,TRUE)</f>
        <v>Germany</v>
      </c>
      <c r="J32" s="15">
        <v>26</v>
      </c>
      <c r="K32" s="15" t="str">
        <f>IF(ClientDB[[#This Row],[Start Date]]&gt;=$U$14,"New","")</f>
        <v/>
      </c>
      <c r="L32" s="15" t="str">
        <f>IF(OR(ClientDB[[#This Row],[Start Year]]&lt;2016,ClientDB[[#This Row],[Events]]&gt;=6),"Gift","")</f>
        <v>Gift</v>
      </c>
      <c r="M32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32" s="15">
        <v>1</v>
      </c>
      <c r="O32" s="35">
        <f>IF(ClientDB[[#This Row],[Days]]=1,(ClientDB[[#This Row],[Days]]*$V$7),IF(ClientDB[[#This Row],[Days]]&gt;1,(ClientDB[[#This Row],[Days]]*$V$8),""))</f>
        <v>350</v>
      </c>
      <c r="P3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32" s="15" t="s">
        <v>901</v>
      </c>
      <c r="R32" s="15" t="str">
        <f>INDEX(Table4[[Regular]:[Special]],MATCH(ClientDB[[#Data],[Country Code]],Table4[[#Data],[Country]],0),MATCH(ClientDB[[#Data],[Meal]],Table4[[#Headers],[Regular]:[Special]],0))</f>
        <v>D</v>
      </c>
      <c r="T32" s="14" t="s">
        <v>787</v>
      </c>
      <c r="U32" s="33">
        <f t="shared" si="1"/>
        <v>50</v>
      </c>
    </row>
    <row r="33" spans="1:21" ht="15.75" x14ac:dyDescent="0.2">
      <c r="A33" s="10">
        <v>12811</v>
      </c>
      <c r="B33" t="s">
        <v>570</v>
      </c>
      <c r="C33" t="s">
        <v>571</v>
      </c>
      <c r="D33" s="18">
        <v>42630</v>
      </c>
      <c r="E33" s="34">
        <f>YEAR(ClientDB[[#This Row],[Start Date]])</f>
        <v>2016</v>
      </c>
      <c r="F33" t="s">
        <v>811</v>
      </c>
      <c r="G33" t="str">
        <f>VLOOKUP(ClientDB[[#This Row],[Org Code]],Table2[],2,0)</f>
        <v>EYN</v>
      </c>
      <c r="H33" s="10" t="s">
        <v>15</v>
      </c>
      <c r="I33" s="10" t="str">
        <f>_xlfn.XLOOKUP(ClientDB[[#This Row],[Country Code]],Table3[[#All],[Country Codes]],Table3[[#All],[Country]],1,TRUE)</f>
        <v>United Kingdom</v>
      </c>
      <c r="J33" s="15">
        <v>3</v>
      </c>
      <c r="K33" s="15" t="str">
        <f>IF(ClientDB[[#This Row],[Start Date]]&gt;=$U$14,"New","")</f>
        <v/>
      </c>
      <c r="L33" s="15" t="str">
        <f>IF(OR(ClientDB[[#This Row],[Start Year]]&lt;2016,ClientDB[[#This Row],[Events]]&gt;=6),"Gift","")</f>
        <v/>
      </c>
      <c r="M3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3" s="15">
        <v>1</v>
      </c>
      <c r="O33" s="35">
        <f>IF(ClientDB[[#This Row],[Days]]=1,(ClientDB[[#This Row],[Days]]*$V$7),IF(ClientDB[[#This Row],[Days]]&gt;1,(ClientDB[[#This Row],[Days]]*$V$8),""))</f>
        <v>350</v>
      </c>
      <c r="P3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3" s="15" t="s">
        <v>902</v>
      </c>
      <c r="R33" s="15" t="str">
        <f>INDEX(Table4[[Regular]:[Special]],MATCH(ClientDB[[#Data],[Country Code]],Table4[[#Data],[Country]],0),MATCH(ClientDB[[#Data],[Meal]],Table4[[#Headers],[Regular]:[Special]],0))</f>
        <v>B</v>
      </c>
      <c r="T33" s="14" t="s">
        <v>788</v>
      </c>
      <c r="U33" s="33">
        <f t="shared" si="1"/>
        <v>32</v>
      </c>
    </row>
    <row r="34" spans="1:21" ht="15.75" x14ac:dyDescent="0.2">
      <c r="A34" s="10">
        <v>12838</v>
      </c>
      <c r="B34" t="s">
        <v>268</v>
      </c>
      <c r="C34" t="s">
        <v>269</v>
      </c>
      <c r="D34" s="18">
        <v>43909</v>
      </c>
      <c r="E34" s="34">
        <f>YEAR(ClientDB[[#This Row],[Start Date]])</f>
        <v>2020</v>
      </c>
      <c r="F34" t="s">
        <v>823</v>
      </c>
      <c r="G34" t="str">
        <f>VLOOKUP(ClientDB[[#This Row],[Org Code]],Table2[],2,0)</f>
        <v>Pilco Streambank</v>
      </c>
      <c r="H34" s="10" t="s">
        <v>155</v>
      </c>
      <c r="I34" s="10" t="str">
        <f>_xlfn.XLOOKUP(ClientDB[[#This Row],[Country Code]],Table3[[#All],[Country Codes]],Table3[[#All],[Country]],1,TRUE)</f>
        <v>United Arab Emirates</v>
      </c>
      <c r="J34" s="15">
        <v>2</v>
      </c>
      <c r="K34" s="15" t="str">
        <f>IF(ClientDB[[#This Row],[Start Date]]&gt;=$U$14,"New","")</f>
        <v>New</v>
      </c>
      <c r="L34" s="15" t="str">
        <f>IF(OR(ClientDB[[#This Row],[Start Year]]&lt;2016,ClientDB[[#This Row],[Events]]&gt;=6),"Gift","")</f>
        <v/>
      </c>
      <c r="M3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4" s="15">
        <v>1</v>
      </c>
      <c r="O34" s="35">
        <f>IF(ClientDB[[#This Row],[Days]]=1,(ClientDB[[#This Row],[Days]]*$V$7),IF(ClientDB[[#This Row],[Days]]&gt;1,(ClientDB[[#This Row],[Days]]*$V$8),""))</f>
        <v>350</v>
      </c>
      <c r="P3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4" s="15" t="s">
        <v>901</v>
      </c>
      <c r="R34" s="15" t="str">
        <f>INDEX(Table4[[Regular]:[Special]],MATCH(ClientDB[[#Data],[Country Code]],Table4[[#Data],[Country]],0),MATCH(ClientDB[[#Data],[Meal]],Table4[[#Headers],[Regular]:[Special]],0))</f>
        <v>D</v>
      </c>
      <c r="T34" s="14" t="s">
        <v>789</v>
      </c>
      <c r="U34" s="33">
        <f t="shared" si="1"/>
        <v>62</v>
      </c>
    </row>
    <row r="35" spans="1:21" ht="15.75" x14ac:dyDescent="0.2">
      <c r="A35" s="10">
        <v>12940</v>
      </c>
      <c r="B35" t="s">
        <v>627</v>
      </c>
      <c r="C35" t="s">
        <v>628</v>
      </c>
      <c r="D35" s="18">
        <v>42588</v>
      </c>
      <c r="E35" s="34">
        <f>YEAR(ClientDB[[#This Row],[Start Date]])</f>
        <v>2016</v>
      </c>
      <c r="F35" t="s">
        <v>827</v>
      </c>
      <c r="G35" t="str">
        <f>VLOOKUP(ClientDB[[#This Row],[Org Code]],Table2[],2,0)</f>
        <v>Ripple Com</v>
      </c>
      <c r="H35" s="10" t="s">
        <v>15</v>
      </c>
      <c r="I35" s="10" t="str">
        <f>_xlfn.XLOOKUP(ClientDB[[#This Row],[Country Code]],Table3[[#All],[Country Codes]],Table3[[#All],[Country]],1,TRUE)</f>
        <v>United Kingdom</v>
      </c>
      <c r="J35" s="15">
        <v>9</v>
      </c>
      <c r="K35" s="15" t="str">
        <f>IF(ClientDB[[#This Row],[Start Date]]&gt;=$U$14,"New","")</f>
        <v/>
      </c>
      <c r="L35" s="15" t="str">
        <f>IF(OR(ClientDB[[#This Row],[Start Year]]&lt;2016,ClientDB[[#This Row],[Events]]&gt;=6),"Gift","")</f>
        <v>Gift</v>
      </c>
      <c r="M3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5" s="15">
        <v>3</v>
      </c>
      <c r="O35" s="35">
        <f>IF(ClientDB[[#This Row],[Days]]=1,(ClientDB[[#This Row],[Days]]*$V$7),IF(ClientDB[[#This Row],[Days]]&gt;1,(ClientDB[[#This Row],[Days]]*$V$8),""))</f>
        <v>900</v>
      </c>
      <c r="P3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35" s="15" t="s">
        <v>899</v>
      </c>
      <c r="R35" s="15" t="str">
        <f>INDEX(Table4[[Regular]:[Special]],MATCH(ClientDB[[#Data],[Country Code]],Table4[[#Data],[Country]],0),MATCH(ClientDB[[#Data],[Meal]],Table4[[#Headers],[Regular]:[Special]],0))</f>
        <v>A</v>
      </c>
      <c r="T35" s="14" t="s">
        <v>790</v>
      </c>
      <c r="U35" s="33">
        <f t="shared" si="1"/>
        <v>44</v>
      </c>
    </row>
    <row r="36" spans="1:21" x14ac:dyDescent="0.2">
      <c r="A36" s="10">
        <v>12942</v>
      </c>
      <c r="B36" t="s">
        <v>135</v>
      </c>
      <c r="C36" t="s">
        <v>622</v>
      </c>
      <c r="D36" s="18">
        <v>43373</v>
      </c>
      <c r="E36" s="34">
        <f>YEAR(ClientDB[[#This Row],[Start Date]])</f>
        <v>2018</v>
      </c>
      <c r="F36" t="s">
        <v>803</v>
      </c>
      <c r="G36" t="str">
        <f>VLOOKUP(ClientDB[[#This Row],[Org Code]],Table2[],2,0)</f>
        <v>CTX</v>
      </c>
      <c r="H36" s="10" t="s">
        <v>59</v>
      </c>
      <c r="I36" s="10" t="str">
        <f>_xlfn.XLOOKUP(ClientDB[[#This Row],[Country Code]],Table3[[#All],[Country Codes]],Table3[[#All],[Country]],1,TRUE)</f>
        <v>Netherlands</v>
      </c>
      <c r="J36" s="15">
        <v>7</v>
      </c>
      <c r="K36" s="15" t="str">
        <f>IF(ClientDB[[#This Row],[Start Date]]&gt;=$U$14,"New","")</f>
        <v/>
      </c>
      <c r="L36" s="15" t="str">
        <f>IF(OR(ClientDB[[#This Row],[Start Year]]&lt;2016,ClientDB[[#This Row],[Events]]&gt;=6),"Gift","")</f>
        <v>Gift</v>
      </c>
      <c r="M3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6" s="15">
        <v>1</v>
      </c>
      <c r="O36" s="35">
        <f>IF(ClientDB[[#This Row],[Days]]=1,(ClientDB[[#This Row],[Days]]*$V$7),IF(ClientDB[[#This Row],[Days]]&gt;1,(ClientDB[[#This Row],[Days]]*$V$8),""))</f>
        <v>350</v>
      </c>
      <c r="P3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36" s="15" t="s">
        <v>901</v>
      </c>
      <c r="R36" s="15" t="str">
        <f>INDEX(Table4[[Regular]:[Special]],MATCH(ClientDB[[#Data],[Country Code]],Table4[[#Data],[Country]],0),MATCH(ClientDB[[#Data],[Meal]],Table4[[#Headers],[Regular]:[Special]],0))</f>
        <v>F</v>
      </c>
    </row>
    <row r="37" spans="1:21" x14ac:dyDescent="0.2">
      <c r="A37" s="10">
        <v>13063</v>
      </c>
      <c r="B37" t="s">
        <v>43</v>
      </c>
      <c r="C37" t="s">
        <v>44</v>
      </c>
      <c r="D37" s="18">
        <v>42328</v>
      </c>
      <c r="E37" s="34">
        <f>YEAR(ClientDB[[#This Row],[Start Date]])</f>
        <v>2015</v>
      </c>
      <c r="F37" t="s">
        <v>838</v>
      </c>
      <c r="G37" t="str">
        <f>VLOOKUP(ClientDB[[#This Row],[Org Code]],Table2[],2,0)</f>
        <v>xLAN Internet Exchange</v>
      </c>
      <c r="H37" s="10" t="s">
        <v>46</v>
      </c>
      <c r="I37" s="10" t="str">
        <f>_xlfn.XLOOKUP(ClientDB[[#This Row],[Country Code]],Table3[[#All],[Country Codes]],Table3[[#All],[Country]],1,TRUE)</f>
        <v>Germany</v>
      </c>
      <c r="J37" s="15">
        <v>1</v>
      </c>
      <c r="K37" s="15" t="str">
        <f>IF(ClientDB[[#This Row],[Start Date]]&gt;=$U$14,"New","")</f>
        <v/>
      </c>
      <c r="L37" s="15" t="str">
        <f>IF(OR(ClientDB[[#This Row],[Start Year]]&lt;2016,ClientDB[[#This Row],[Events]]&gt;=6),"Gift","")</f>
        <v>Gift</v>
      </c>
      <c r="M3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7" s="15">
        <v>3</v>
      </c>
      <c r="O37" s="35">
        <f>IF(ClientDB[[#This Row],[Days]]=1,(ClientDB[[#This Row],[Days]]*$V$7),IF(ClientDB[[#This Row],[Days]]&gt;1,(ClientDB[[#This Row],[Days]]*$V$8),""))</f>
        <v>900</v>
      </c>
      <c r="P3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7" s="15" t="s">
        <v>901</v>
      </c>
      <c r="R37" s="15" t="str">
        <f>INDEX(Table4[[Regular]:[Special]],MATCH(ClientDB[[#Data],[Country Code]],Table4[[#Data],[Country]],0),MATCH(ClientDB[[#Data],[Meal]],Table4[[#Headers],[Regular]:[Special]],0))</f>
        <v>D</v>
      </c>
    </row>
    <row r="38" spans="1:21" x14ac:dyDescent="0.2">
      <c r="A38" s="10">
        <v>13210</v>
      </c>
      <c r="B38" t="s">
        <v>627</v>
      </c>
      <c r="C38" t="s">
        <v>697</v>
      </c>
      <c r="D38" s="18">
        <v>42738</v>
      </c>
      <c r="E38" s="34">
        <f>YEAR(ClientDB[[#This Row],[Start Date]])</f>
        <v>2017</v>
      </c>
      <c r="F38" t="s">
        <v>817</v>
      </c>
      <c r="G38" t="str">
        <f>VLOOKUP(ClientDB[[#This Row],[Org Code]],Table2[],2,0)</f>
        <v>LACNE</v>
      </c>
      <c r="H38" s="10" t="s">
        <v>698</v>
      </c>
      <c r="I38" s="10" t="str">
        <f>_xlfn.XLOOKUP(ClientDB[[#This Row],[Country Code]],Table3[[#All],[Country Codes]],Table3[[#All],[Country]],1,TRUE)</f>
        <v>Argentina</v>
      </c>
      <c r="J38" s="15">
        <v>3</v>
      </c>
      <c r="K38" s="15" t="str">
        <f>IF(ClientDB[[#This Row],[Start Date]]&gt;=$U$14,"New","")</f>
        <v/>
      </c>
      <c r="L38" s="15" t="str">
        <f>IF(OR(ClientDB[[#This Row],[Start Year]]&lt;2016,ClientDB[[#This Row],[Events]]&gt;=6),"Gift","")</f>
        <v/>
      </c>
      <c r="M3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8" s="15">
        <v>1</v>
      </c>
      <c r="O38" s="35">
        <f>IF(ClientDB[[#This Row],[Days]]=1,(ClientDB[[#This Row],[Days]]*$V$7),IF(ClientDB[[#This Row],[Days]]&gt;1,(ClientDB[[#This Row],[Days]]*$V$8),""))</f>
        <v>350</v>
      </c>
      <c r="P3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8" s="15" t="s">
        <v>902</v>
      </c>
      <c r="R38" s="15" t="str">
        <f>INDEX(Table4[[Regular]:[Special]],MATCH(ClientDB[[#Data],[Country Code]],Table4[[#Data],[Country]],0),MATCH(ClientDB[[#Data],[Meal]],Table4[[#Headers],[Regular]:[Special]],0))</f>
        <v>B</v>
      </c>
    </row>
    <row r="39" spans="1:21" x14ac:dyDescent="0.2">
      <c r="A39" s="10">
        <v>13229</v>
      </c>
      <c r="B39" t="s">
        <v>60</v>
      </c>
      <c r="C39" t="s">
        <v>61</v>
      </c>
      <c r="D39" s="18">
        <v>42336</v>
      </c>
      <c r="E39" s="34">
        <f>YEAR(ClientDB[[#This Row],[Start Date]])</f>
        <v>2015</v>
      </c>
      <c r="F39" t="s">
        <v>797</v>
      </c>
      <c r="G39" t="str">
        <f>VLOOKUP(ClientDB[[#This Row],[Org Code]],Table2[],2,0)</f>
        <v>ASET PLC</v>
      </c>
      <c r="H39" s="10" t="s">
        <v>63</v>
      </c>
      <c r="I39" s="10" t="str">
        <f>_xlfn.XLOOKUP(ClientDB[[#This Row],[Country Code]],Table3[[#All],[Country Codes]],Table3[[#All],[Country]],1,TRUE)</f>
        <v>Armenia</v>
      </c>
      <c r="J39" s="15">
        <v>2</v>
      </c>
      <c r="K39" s="15" t="str">
        <f>IF(ClientDB[[#This Row],[Start Date]]&gt;=$U$14,"New","")</f>
        <v/>
      </c>
      <c r="L39" s="15" t="str">
        <f>IF(OR(ClientDB[[#This Row],[Start Year]]&lt;2016,ClientDB[[#This Row],[Events]]&gt;=6),"Gift","")</f>
        <v>Gift</v>
      </c>
      <c r="M3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9" s="15">
        <v>1</v>
      </c>
      <c r="O39" s="35">
        <f>IF(ClientDB[[#This Row],[Days]]=1,(ClientDB[[#This Row],[Days]]*$V$7),IF(ClientDB[[#This Row],[Days]]&gt;1,(ClientDB[[#This Row],[Days]]*$V$8),""))</f>
        <v>350</v>
      </c>
      <c r="P3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9" s="15" t="s">
        <v>901</v>
      </c>
      <c r="R39" s="15" t="str">
        <f>INDEX(Table4[[Regular]:[Special]],MATCH(ClientDB[[#Data],[Country Code]],Table4[[#Data],[Country]],0),MATCH(ClientDB[[#Data],[Meal]],Table4[[#Headers],[Regular]:[Special]],0))</f>
        <v>D</v>
      </c>
    </row>
    <row r="40" spans="1:21" x14ac:dyDescent="0.2">
      <c r="A40" s="10">
        <v>13301</v>
      </c>
      <c r="B40" t="s">
        <v>542</v>
      </c>
      <c r="C40" t="s">
        <v>543</v>
      </c>
      <c r="D40" s="18">
        <v>43004</v>
      </c>
      <c r="E40" s="34">
        <f>YEAR(ClientDB[[#This Row],[Start Date]])</f>
        <v>2017</v>
      </c>
      <c r="F40" t="s">
        <v>814</v>
      </c>
      <c r="G40" t="str">
        <f>VLOOKUP(ClientDB[[#This Row],[Org Code]],Table2[],2,0)</f>
        <v>ICANT</v>
      </c>
      <c r="H40" s="10" t="s">
        <v>7</v>
      </c>
      <c r="I40" s="10" t="str">
        <f>_xlfn.XLOOKUP(ClientDB[[#This Row],[Country Code]],Table3[[#All],[Country Codes]],Table3[[#All],[Country]],1,TRUE)</f>
        <v>Iran</v>
      </c>
      <c r="J40" s="15">
        <v>4</v>
      </c>
      <c r="K40" s="15" t="str">
        <f>IF(ClientDB[[#This Row],[Start Date]]&gt;=$U$14,"New","")</f>
        <v/>
      </c>
      <c r="L40" s="15" t="str">
        <f>IF(OR(ClientDB[[#This Row],[Start Year]]&lt;2016,ClientDB[[#This Row],[Events]]&gt;=6),"Gift","")</f>
        <v/>
      </c>
      <c r="M4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40" s="15">
        <v>3</v>
      </c>
      <c r="O40" s="35">
        <f>IF(ClientDB[[#This Row],[Days]]=1,(ClientDB[[#This Row],[Days]]*$V$7),IF(ClientDB[[#This Row],[Days]]&gt;1,(ClientDB[[#This Row],[Days]]*$V$8),""))</f>
        <v>900</v>
      </c>
      <c r="P4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40" s="15" t="s">
        <v>901</v>
      </c>
      <c r="R40" s="15" t="str">
        <f>INDEX(Table4[[Regular]:[Special]],MATCH(ClientDB[[#Data],[Country Code]],Table4[[#Data],[Country]],0),MATCH(ClientDB[[#Data],[Meal]],Table4[[#Headers],[Regular]:[Special]],0))</f>
        <v>F</v>
      </c>
    </row>
    <row r="41" spans="1:21" x14ac:dyDescent="0.2">
      <c r="A41" s="10">
        <v>13380</v>
      </c>
      <c r="B41" t="s">
        <v>447</v>
      </c>
      <c r="C41" t="s">
        <v>448</v>
      </c>
      <c r="D41" s="18">
        <v>42498</v>
      </c>
      <c r="E41" s="34">
        <f>YEAR(ClientDB[[#This Row],[Start Date]])</f>
        <v>2016</v>
      </c>
      <c r="F41" t="s">
        <v>814</v>
      </c>
      <c r="G41" t="str">
        <f>VLOOKUP(ClientDB[[#This Row],[Org Code]],Table2[],2,0)</f>
        <v>ICANT</v>
      </c>
      <c r="H41" s="10" t="s">
        <v>7</v>
      </c>
      <c r="I41" s="10" t="str">
        <f>_xlfn.XLOOKUP(ClientDB[[#This Row],[Country Code]],Table3[[#All],[Country Codes]],Table3[[#All],[Country]],1,TRUE)</f>
        <v>Iran</v>
      </c>
      <c r="J41" s="15">
        <v>6</v>
      </c>
      <c r="K41" s="15" t="str">
        <f>IF(ClientDB[[#This Row],[Start Date]]&gt;=$U$14,"New","")</f>
        <v/>
      </c>
      <c r="L41" s="15" t="str">
        <f>IF(OR(ClientDB[[#This Row],[Start Year]]&lt;2016,ClientDB[[#This Row],[Events]]&gt;=6),"Gift","")</f>
        <v>Gift</v>
      </c>
      <c r="M4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41" s="15">
        <v>2</v>
      </c>
      <c r="O41" s="35">
        <f>IF(ClientDB[[#This Row],[Days]]=1,(ClientDB[[#This Row],[Days]]*$V$7),IF(ClientDB[[#This Row],[Days]]&gt;1,(ClientDB[[#This Row],[Days]]*$V$8),""))</f>
        <v>600</v>
      </c>
      <c r="P4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41" s="15" t="s">
        <v>901</v>
      </c>
      <c r="R41" s="15" t="str">
        <f>INDEX(Table4[[Regular]:[Special]],MATCH(ClientDB[[#Data],[Country Code]],Table4[[#Data],[Country]],0),MATCH(ClientDB[[#Data],[Meal]],Table4[[#Headers],[Regular]:[Special]],0))</f>
        <v>F</v>
      </c>
    </row>
    <row r="42" spans="1:21" x14ac:dyDescent="0.2">
      <c r="A42" s="10">
        <v>13382</v>
      </c>
      <c r="B42" t="s">
        <v>445</v>
      </c>
      <c r="C42" t="s">
        <v>446</v>
      </c>
      <c r="D42" s="18">
        <v>42213</v>
      </c>
      <c r="E42" s="34">
        <f>YEAR(ClientDB[[#This Row],[Start Date]])</f>
        <v>2015</v>
      </c>
      <c r="F42" t="s">
        <v>823</v>
      </c>
      <c r="G42" t="str">
        <f>VLOOKUP(ClientDB[[#This Row],[Org Code]],Table2[],2,0)</f>
        <v>Pilco Streambank</v>
      </c>
      <c r="H42" s="10" t="s">
        <v>59</v>
      </c>
      <c r="I42" s="10" t="str">
        <f>_xlfn.XLOOKUP(ClientDB[[#This Row],[Country Code]],Table3[[#All],[Country Codes]],Table3[[#All],[Country]],1,TRUE)</f>
        <v>Netherlands</v>
      </c>
      <c r="J42" s="15">
        <v>8</v>
      </c>
      <c r="K42" s="15" t="str">
        <f>IF(ClientDB[[#This Row],[Start Date]]&gt;=$U$14,"New","")</f>
        <v/>
      </c>
      <c r="L42" s="15" t="str">
        <f>IF(OR(ClientDB[[#This Row],[Start Year]]&lt;2016,ClientDB[[#This Row],[Events]]&gt;=6),"Gift","")</f>
        <v>Gift</v>
      </c>
      <c r="M4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42" s="15">
        <v>2</v>
      </c>
      <c r="O42" s="35">
        <f>IF(ClientDB[[#This Row],[Days]]=1,(ClientDB[[#This Row],[Days]]*$V$7),IF(ClientDB[[#This Row],[Days]]&gt;1,(ClientDB[[#This Row],[Days]]*$V$8),""))</f>
        <v>600</v>
      </c>
      <c r="P4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42" s="15" t="s">
        <v>901</v>
      </c>
      <c r="R42" s="15" t="str">
        <f>INDEX(Table4[[Regular]:[Special]],MATCH(ClientDB[[#Data],[Country Code]],Table4[[#Data],[Country]],0),MATCH(ClientDB[[#Data],[Meal]],Table4[[#Headers],[Regular]:[Special]],0))</f>
        <v>F</v>
      </c>
    </row>
    <row r="43" spans="1:21" x14ac:dyDescent="0.2">
      <c r="A43" s="10">
        <v>13420</v>
      </c>
      <c r="B43" t="s">
        <v>67</v>
      </c>
      <c r="C43" t="s">
        <v>527</v>
      </c>
      <c r="D43" s="18">
        <v>42701</v>
      </c>
      <c r="E43" s="34">
        <f>YEAR(ClientDB[[#This Row],[Start Date]])</f>
        <v>2016</v>
      </c>
      <c r="F43" t="s">
        <v>806</v>
      </c>
      <c r="G43" t="str">
        <f>VLOOKUP(ClientDB[[#This Row],[Org Code]],Table2[],2,0)</f>
        <v>DENIL</v>
      </c>
      <c r="H43" s="10" t="s">
        <v>11</v>
      </c>
      <c r="I43" s="10" t="str">
        <f>_xlfn.XLOOKUP(ClientDB[[#This Row],[Country Code]],Table3[[#All],[Country Codes]],Table3[[#All],[Country]],1,TRUE)</f>
        <v>Austria</v>
      </c>
      <c r="J43" s="15">
        <v>17</v>
      </c>
      <c r="K43" s="15" t="str">
        <f>IF(ClientDB[[#This Row],[Start Date]]&gt;=$U$14,"New","")</f>
        <v/>
      </c>
      <c r="L43" s="15" t="str">
        <f>IF(OR(ClientDB[[#This Row],[Start Year]]&lt;2016,ClientDB[[#This Row],[Events]]&gt;=6),"Gift","")</f>
        <v>Gift</v>
      </c>
      <c r="M43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43" s="15">
        <v>2</v>
      </c>
      <c r="O43" s="35">
        <f>IF(ClientDB[[#This Row],[Days]]=1,(ClientDB[[#This Row],[Days]]*$V$7),IF(ClientDB[[#This Row],[Days]]&gt;1,(ClientDB[[#This Row],[Days]]*$V$8),""))</f>
        <v>600</v>
      </c>
      <c r="P4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43" s="15" t="s">
        <v>902</v>
      </c>
      <c r="R43" s="15" t="str">
        <f>INDEX(Table4[[Regular]:[Special]],MATCH(ClientDB[[#Data],[Country Code]],Table4[[#Data],[Country]],0),MATCH(ClientDB[[#Data],[Meal]],Table4[[#Headers],[Regular]:[Special]],0))</f>
        <v>B</v>
      </c>
    </row>
    <row r="44" spans="1:21" x14ac:dyDescent="0.2">
      <c r="A44" s="10">
        <v>13485</v>
      </c>
      <c r="B44" t="s">
        <v>135</v>
      </c>
      <c r="C44" t="s">
        <v>174</v>
      </c>
      <c r="D44" s="18">
        <v>43049</v>
      </c>
      <c r="E44" s="34">
        <f>YEAR(ClientDB[[#This Row],[Start Date]])</f>
        <v>2017</v>
      </c>
      <c r="F44" t="s">
        <v>803</v>
      </c>
      <c r="G44" t="str">
        <f>VLOOKUP(ClientDB[[#This Row],[Org Code]],Table2[],2,0)</f>
        <v>CTX</v>
      </c>
      <c r="H44" s="10" t="s">
        <v>175</v>
      </c>
      <c r="I44" s="10" t="str">
        <f>_xlfn.XLOOKUP(ClientDB[[#This Row],[Country Code]],Table3[[#All],[Country Codes]],Table3[[#All],[Country]],1,TRUE)</f>
        <v>Australia</v>
      </c>
      <c r="J44" s="15">
        <v>6</v>
      </c>
      <c r="K44" s="15" t="str">
        <f>IF(ClientDB[[#This Row],[Start Date]]&gt;=$U$14,"New","")</f>
        <v/>
      </c>
      <c r="L44" s="15" t="str">
        <f>IF(OR(ClientDB[[#This Row],[Start Year]]&lt;2016,ClientDB[[#This Row],[Events]]&gt;=6),"Gift","")</f>
        <v>Gift</v>
      </c>
      <c r="M4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44" s="15">
        <v>3</v>
      </c>
      <c r="O44" s="35">
        <f>IF(ClientDB[[#This Row],[Days]]=1,(ClientDB[[#This Row],[Days]]*$V$7),IF(ClientDB[[#This Row],[Days]]&gt;1,(ClientDB[[#This Row],[Days]]*$V$8),""))</f>
        <v>900</v>
      </c>
      <c r="P4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44" s="15" t="s">
        <v>901</v>
      </c>
      <c r="R44" s="15" t="str">
        <f>INDEX(Table4[[Regular]:[Special]],MATCH(ClientDB[[#Data],[Country Code]],Table4[[#Data],[Country]],0),MATCH(ClientDB[[#Data],[Meal]],Table4[[#Headers],[Regular]:[Special]],0))</f>
        <v>D</v>
      </c>
    </row>
    <row r="45" spans="1:21" x14ac:dyDescent="0.2">
      <c r="A45" s="10">
        <v>13650</v>
      </c>
      <c r="B45" t="s">
        <v>536</v>
      </c>
      <c r="C45" t="s">
        <v>537</v>
      </c>
      <c r="D45" s="18">
        <v>44078</v>
      </c>
      <c r="E45" s="34">
        <f>YEAR(ClientDB[[#This Row],[Start Date]])</f>
        <v>2020</v>
      </c>
      <c r="F45" t="s">
        <v>806</v>
      </c>
      <c r="G45" t="str">
        <f>VLOOKUP(ClientDB[[#This Row],[Org Code]],Table2[],2,0)</f>
        <v>DENIL</v>
      </c>
      <c r="H45" s="10" t="s">
        <v>46</v>
      </c>
      <c r="I45" s="10" t="str">
        <f>_xlfn.XLOOKUP(ClientDB[[#This Row],[Country Code]],Table3[[#All],[Country Codes]],Table3[[#All],[Country]],1,TRUE)</f>
        <v>Germany</v>
      </c>
      <c r="J45" s="15">
        <v>17</v>
      </c>
      <c r="K45" s="15" t="str">
        <f>IF(ClientDB[[#This Row],[Start Date]]&gt;=$U$14,"New","")</f>
        <v>New</v>
      </c>
      <c r="L45" s="15" t="str">
        <f>IF(OR(ClientDB[[#This Row],[Start Year]]&lt;2016,ClientDB[[#This Row],[Events]]&gt;=6),"Gift","")</f>
        <v>Gift</v>
      </c>
      <c r="M45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45" s="15">
        <v>2</v>
      </c>
      <c r="O45" s="35">
        <f>IF(ClientDB[[#This Row],[Days]]=1,(ClientDB[[#This Row],[Days]]*$V$7),IF(ClientDB[[#This Row],[Days]]&gt;1,(ClientDB[[#This Row],[Days]]*$V$8),""))</f>
        <v>600</v>
      </c>
      <c r="P4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45" s="15" t="s">
        <v>901</v>
      </c>
      <c r="R45" s="15" t="str">
        <f>INDEX(Table4[[Regular]:[Special]],MATCH(ClientDB[[#Data],[Country Code]],Table4[[#Data],[Country]],0),MATCH(ClientDB[[#Data],[Meal]],Table4[[#Headers],[Regular]:[Special]],0))</f>
        <v>D</v>
      </c>
    </row>
    <row r="46" spans="1:21" x14ac:dyDescent="0.2">
      <c r="A46" s="10">
        <v>13671</v>
      </c>
      <c r="B46" t="s">
        <v>762</v>
      </c>
      <c r="C46" t="s">
        <v>763</v>
      </c>
      <c r="D46" s="18">
        <v>43010</v>
      </c>
      <c r="E46" s="34">
        <f>YEAR(ClientDB[[#This Row],[Start Date]])</f>
        <v>2017</v>
      </c>
      <c r="F46" t="s">
        <v>827</v>
      </c>
      <c r="G46" t="str">
        <f>VLOOKUP(ClientDB[[#This Row],[Org Code]],Table2[],2,0)</f>
        <v>Ripple Com</v>
      </c>
      <c r="H46" s="10" t="s">
        <v>7</v>
      </c>
      <c r="I46" s="10" t="str">
        <f>_xlfn.XLOOKUP(ClientDB[[#This Row],[Country Code]],Table3[[#All],[Country Codes]],Table3[[#All],[Country]],1,TRUE)</f>
        <v>Iran</v>
      </c>
      <c r="J46" s="15">
        <v>8</v>
      </c>
      <c r="K46" s="15" t="str">
        <f>IF(ClientDB[[#This Row],[Start Date]]&gt;=$U$14,"New","")</f>
        <v/>
      </c>
      <c r="L46" s="15" t="str">
        <f>IF(OR(ClientDB[[#This Row],[Start Year]]&lt;2016,ClientDB[[#This Row],[Events]]&gt;=6),"Gift","")</f>
        <v>Gift</v>
      </c>
      <c r="M4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46" s="15">
        <v>2</v>
      </c>
      <c r="O46" s="35">
        <f>IF(ClientDB[[#This Row],[Days]]=1,(ClientDB[[#This Row],[Days]]*$V$7),IF(ClientDB[[#This Row],[Days]]&gt;1,(ClientDB[[#This Row],[Days]]*$V$8),""))</f>
        <v>600</v>
      </c>
      <c r="P4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46" s="15" t="s">
        <v>899</v>
      </c>
      <c r="R46" s="15" t="str">
        <f>INDEX(Table4[[Regular]:[Special]],MATCH(ClientDB[[#Data],[Country Code]],Table4[[#Data],[Country]],0),MATCH(ClientDB[[#Data],[Meal]],Table4[[#Headers],[Regular]:[Special]],0))</f>
        <v>A</v>
      </c>
    </row>
    <row r="47" spans="1:21" x14ac:dyDescent="0.2">
      <c r="A47" s="10">
        <v>13684</v>
      </c>
      <c r="B47" t="s">
        <v>219</v>
      </c>
      <c r="C47" t="s">
        <v>220</v>
      </c>
      <c r="D47" s="18">
        <v>43498</v>
      </c>
      <c r="E47" s="34">
        <f>YEAR(ClientDB[[#This Row],[Start Date]])</f>
        <v>2019</v>
      </c>
      <c r="F47" t="s">
        <v>827</v>
      </c>
      <c r="G47" t="str">
        <f>VLOOKUP(ClientDB[[#This Row],[Org Code]],Table2[],2,0)</f>
        <v>Ripple Com</v>
      </c>
      <c r="H47" s="10" t="s">
        <v>15</v>
      </c>
      <c r="I47" s="10" t="str">
        <f>_xlfn.XLOOKUP(ClientDB[[#This Row],[Country Code]],Table3[[#All],[Country Codes]],Table3[[#All],[Country]],1,TRUE)</f>
        <v>United Kingdom</v>
      </c>
      <c r="J47" s="15">
        <v>10</v>
      </c>
      <c r="K47" s="15" t="str">
        <f>IF(ClientDB[[#This Row],[Start Date]]&gt;=$U$14,"New","")</f>
        <v/>
      </c>
      <c r="L47" s="15" t="str">
        <f>IF(OR(ClientDB[[#This Row],[Start Year]]&lt;2016,ClientDB[[#This Row],[Events]]&gt;=6),"Gift","")</f>
        <v>Gift</v>
      </c>
      <c r="M47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47" s="15">
        <v>1</v>
      </c>
      <c r="O47" s="35">
        <f>IF(ClientDB[[#This Row],[Days]]=1,(ClientDB[[#This Row],[Days]]*$V$7),IF(ClientDB[[#This Row],[Days]]&gt;1,(ClientDB[[#This Row],[Days]]*$V$8),""))</f>
        <v>350</v>
      </c>
      <c r="P4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47" s="15" t="s">
        <v>901</v>
      </c>
      <c r="R47" s="15" t="str">
        <f>INDEX(Table4[[Regular]:[Special]],MATCH(ClientDB[[#Data],[Country Code]],Table4[[#Data],[Country]],0),MATCH(ClientDB[[#Data],[Meal]],Table4[[#Headers],[Regular]:[Special]],0))</f>
        <v>E</v>
      </c>
    </row>
    <row r="48" spans="1:21" x14ac:dyDescent="0.2">
      <c r="A48" s="10">
        <v>13713</v>
      </c>
      <c r="B48" t="s">
        <v>417</v>
      </c>
      <c r="C48" t="s">
        <v>418</v>
      </c>
      <c r="D48" s="18">
        <v>42684</v>
      </c>
      <c r="E48" s="34">
        <f>YEAR(ClientDB[[#This Row],[Start Date]])</f>
        <v>2016</v>
      </c>
      <c r="F48" t="s">
        <v>827</v>
      </c>
      <c r="G48" t="str">
        <f>VLOOKUP(ClientDB[[#This Row],[Org Code]],Table2[],2,0)</f>
        <v>Ripple Com</v>
      </c>
      <c r="H48" s="10" t="s">
        <v>419</v>
      </c>
      <c r="I48" s="10" t="str">
        <f>_xlfn.XLOOKUP(ClientDB[[#This Row],[Country Code]],Table3[[#All],[Country Codes]],Table3[[#All],[Country]],1,TRUE)</f>
        <v>Hungary</v>
      </c>
      <c r="J48" s="15">
        <v>20</v>
      </c>
      <c r="K48" s="15" t="str">
        <f>IF(ClientDB[[#This Row],[Start Date]]&gt;=$U$14,"New","")</f>
        <v/>
      </c>
      <c r="L48" s="15" t="str">
        <f>IF(OR(ClientDB[[#This Row],[Start Year]]&lt;2016,ClientDB[[#This Row],[Events]]&gt;=6),"Gift","")</f>
        <v>Gift</v>
      </c>
      <c r="M48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48" s="15">
        <v>2</v>
      </c>
      <c r="O48" s="35">
        <f>IF(ClientDB[[#This Row],[Days]]=1,(ClientDB[[#This Row],[Days]]*$V$7),IF(ClientDB[[#This Row],[Days]]&gt;1,(ClientDB[[#This Row],[Days]]*$V$8),""))</f>
        <v>600</v>
      </c>
      <c r="P4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48" s="15" t="s">
        <v>900</v>
      </c>
      <c r="R48" s="15" t="str">
        <f>INDEX(Table4[[Regular]:[Special]],MATCH(ClientDB[[#Data],[Country Code]],Table4[[#Data],[Country]],0),MATCH(ClientDB[[#Data],[Meal]],Table4[[#Headers],[Regular]:[Special]],0))</f>
        <v>A</v>
      </c>
    </row>
    <row r="49" spans="1:18" x14ac:dyDescent="0.2">
      <c r="A49" s="10">
        <v>13813</v>
      </c>
      <c r="B49" t="s">
        <v>516</v>
      </c>
      <c r="C49" t="s">
        <v>517</v>
      </c>
      <c r="D49" s="18">
        <v>43978</v>
      </c>
      <c r="E49" s="34">
        <f>YEAR(ClientDB[[#This Row],[Start Date]])</f>
        <v>2020</v>
      </c>
      <c r="F49" t="s">
        <v>827</v>
      </c>
      <c r="G49" t="str">
        <f>VLOOKUP(ClientDB[[#This Row],[Org Code]],Table2[],2,0)</f>
        <v>Ripple Com</v>
      </c>
      <c r="H49" s="10" t="s">
        <v>15</v>
      </c>
      <c r="I49" s="10" t="str">
        <f>_xlfn.XLOOKUP(ClientDB[[#This Row],[Country Code]],Table3[[#All],[Country Codes]],Table3[[#All],[Country]],1,TRUE)</f>
        <v>United Kingdom</v>
      </c>
      <c r="J49" s="15">
        <v>1</v>
      </c>
      <c r="K49" s="15" t="str">
        <f>IF(ClientDB[[#This Row],[Start Date]]&gt;=$U$14,"New","")</f>
        <v>New</v>
      </c>
      <c r="L49" s="15" t="str">
        <f>IF(OR(ClientDB[[#This Row],[Start Year]]&lt;2016,ClientDB[[#This Row],[Events]]&gt;=6),"Gift","")</f>
        <v/>
      </c>
      <c r="M4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49" s="15">
        <v>1</v>
      </c>
      <c r="O49" s="35">
        <f>IF(ClientDB[[#This Row],[Days]]=1,(ClientDB[[#This Row],[Days]]*$V$7),IF(ClientDB[[#This Row],[Days]]&gt;1,(ClientDB[[#This Row],[Days]]*$V$8),""))</f>
        <v>350</v>
      </c>
      <c r="P4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49" s="15" t="s">
        <v>902</v>
      </c>
      <c r="R49" s="15" t="str">
        <f>INDEX(Table4[[Regular]:[Special]],MATCH(ClientDB[[#Data],[Country Code]],Table4[[#Data],[Country]],0),MATCH(ClientDB[[#Data],[Meal]],Table4[[#Headers],[Regular]:[Special]],0))</f>
        <v>B</v>
      </c>
    </row>
    <row r="50" spans="1:18" x14ac:dyDescent="0.2">
      <c r="A50" s="10">
        <v>13824</v>
      </c>
      <c r="B50" t="s">
        <v>110</v>
      </c>
      <c r="C50" t="s">
        <v>111</v>
      </c>
      <c r="D50" s="18">
        <v>41364</v>
      </c>
      <c r="E50" s="34">
        <f>YEAR(ClientDB[[#This Row],[Start Date]])</f>
        <v>2013</v>
      </c>
      <c r="F50" t="s">
        <v>836</v>
      </c>
      <c r="G50" t="str">
        <f>VLOOKUP(ClientDB[[#This Row],[Org Code]],Table2[],2,0)</f>
        <v>Wiz Labs</v>
      </c>
      <c r="H50" s="10" t="s">
        <v>97</v>
      </c>
      <c r="I50" s="10" t="str">
        <f>_xlfn.XLOOKUP(ClientDB[[#This Row],[Country Code]],Table3[[#All],[Country Codes]],Table3[[#All],[Country]],1,TRUE)</f>
        <v>Ireland</v>
      </c>
      <c r="J50" s="15">
        <v>31</v>
      </c>
      <c r="K50" s="15" t="str">
        <f>IF(ClientDB[[#This Row],[Start Date]]&gt;=$U$14,"New","")</f>
        <v/>
      </c>
      <c r="L50" s="15" t="str">
        <f>IF(OR(ClientDB[[#This Row],[Start Year]]&lt;2016,ClientDB[[#This Row],[Events]]&gt;=6),"Gift","")</f>
        <v>Gift</v>
      </c>
      <c r="M50" s="15" t="str">
        <f>IF(AND(ClientDB[Events]&gt;0,ClientDB[Events]&lt;10),"Bronze",IF(AND(ClientDB[Events]&gt;9,ClientDB[Events]&lt;20),"Silver",IF(AND(ClientDB[Events]&gt;19,ClientDB[Events]&lt;30),"Gold",IF(ClientDB[Events]&gt;30,"Platinum",""))))</f>
        <v>Platinum</v>
      </c>
      <c r="N50" s="15">
        <v>3</v>
      </c>
      <c r="O50" s="35">
        <f>IF(ClientDB[[#This Row],[Days]]=1,(ClientDB[[#This Row],[Days]]*$V$7),IF(ClientDB[[#This Row],[Days]]&gt;1,(ClientDB[[#This Row],[Days]]*$V$8),""))</f>
        <v>900</v>
      </c>
      <c r="P5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50" s="15" t="s">
        <v>901</v>
      </c>
      <c r="R50" s="15" t="str">
        <f>INDEX(Table4[[Regular]:[Special]],MATCH(ClientDB[[#Data],[Country Code]],Table4[[#Data],[Country]],0),MATCH(ClientDB[[#Data],[Meal]],Table4[[#Headers],[Regular]:[Special]],0))</f>
        <v>F</v>
      </c>
    </row>
    <row r="51" spans="1:18" x14ac:dyDescent="0.2">
      <c r="A51" s="10">
        <v>13865</v>
      </c>
      <c r="B51" t="s">
        <v>372</v>
      </c>
      <c r="C51" t="s">
        <v>373</v>
      </c>
      <c r="D51" s="18">
        <v>42729</v>
      </c>
      <c r="E51" s="34">
        <f>YEAR(ClientDB[[#This Row],[Start Date]])</f>
        <v>2016</v>
      </c>
      <c r="F51" t="s">
        <v>813</v>
      </c>
      <c r="G51" t="str">
        <f>VLOOKUP(ClientDB[[#This Row],[Org Code]],Table2[],2,0)</f>
        <v>HeatProof</v>
      </c>
      <c r="H51" s="10" t="s">
        <v>11</v>
      </c>
      <c r="I51" s="10" t="str">
        <f>_xlfn.XLOOKUP(ClientDB[[#This Row],[Country Code]],Table3[[#All],[Country Codes]],Table3[[#All],[Country]],1,TRUE)</f>
        <v>Austria</v>
      </c>
      <c r="J51" s="15">
        <v>4</v>
      </c>
      <c r="K51" s="15" t="str">
        <f>IF(ClientDB[[#This Row],[Start Date]]&gt;=$U$14,"New","")</f>
        <v/>
      </c>
      <c r="L51" s="15" t="str">
        <f>IF(OR(ClientDB[[#This Row],[Start Year]]&lt;2016,ClientDB[[#This Row],[Events]]&gt;=6),"Gift","")</f>
        <v/>
      </c>
      <c r="M5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51" s="15">
        <v>3</v>
      </c>
      <c r="O51" s="35">
        <f>IF(ClientDB[[#This Row],[Days]]=1,(ClientDB[[#This Row],[Days]]*$V$7),IF(ClientDB[[#This Row],[Days]]&gt;1,(ClientDB[[#This Row],[Days]]*$V$8),""))</f>
        <v>900</v>
      </c>
      <c r="P5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51" s="15" t="s">
        <v>899</v>
      </c>
      <c r="R51" s="15" t="str">
        <f>INDEX(Table4[[Regular]:[Special]],MATCH(ClientDB[[#Data],[Country Code]],Table4[[#Data],[Country]],0),MATCH(ClientDB[[#Data],[Meal]],Table4[[#Headers],[Regular]:[Special]],0))</f>
        <v>A</v>
      </c>
    </row>
    <row r="52" spans="1:18" x14ac:dyDescent="0.2">
      <c r="A52" s="10">
        <v>13875</v>
      </c>
      <c r="B52" t="s">
        <v>408</v>
      </c>
      <c r="C52" t="s">
        <v>409</v>
      </c>
      <c r="D52" s="18">
        <v>42312</v>
      </c>
      <c r="E52" s="34">
        <f>YEAR(ClientDB[[#This Row],[Start Date]])</f>
        <v>2015</v>
      </c>
      <c r="F52" t="s">
        <v>821</v>
      </c>
      <c r="G52" t="str">
        <f>VLOOKUP(ClientDB[[#This Row],[Org Code]],Table2[],2,0)</f>
        <v>Parmis Technologies</v>
      </c>
      <c r="H52" s="10" t="s">
        <v>7</v>
      </c>
      <c r="I52" s="10" t="str">
        <f>_xlfn.XLOOKUP(ClientDB[[#This Row],[Country Code]],Table3[[#All],[Country Codes]],Table3[[#All],[Country]],1,TRUE)</f>
        <v>Iran</v>
      </c>
      <c r="J52" s="15">
        <v>12</v>
      </c>
      <c r="K52" s="15" t="str">
        <f>IF(ClientDB[[#This Row],[Start Date]]&gt;=$U$14,"New","")</f>
        <v/>
      </c>
      <c r="L52" s="15" t="str">
        <f>IF(OR(ClientDB[[#This Row],[Start Year]]&lt;2016,ClientDB[[#This Row],[Events]]&gt;=6),"Gift","")</f>
        <v>Gift</v>
      </c>
      <c r="M52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52" s="15">
        <v>3</v>
      </c>
      <c r="O52" s="35">
        <f>IF(ClientDB[[#This Row],[Days]]=1,(ClientDB[[#This Row],[Days]]*$V$7),IF(ClientDB[[#This Row],[Days]]&gt;1,(ClientDB[[#This Row],[Days]]*$V$8),""))</f>
        <v>900</v>
      </c>
      <c r="P5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52" s="15" t="s">
        <v>900</v>
      </c>
      <c r="R52" s="15" t="str">
        <f>INDEX(Table4[[Regular]:[Special]],MATCH(ClientDB[[#Data],[Country Code]],Table4[[#Data],[Country]],0),MATCH(ClientDB[[#Data],[Meal]],Table4[[#Headers],[Regular]:[Special]],0))</f>
        <v>A</v>
      </c>
    </row>
    <row r="53" spans="1:18" x14ac:dyDescent="0.2">
      <c r="A53" s="10">
        <v>13906</v>
      </c>
      <c r="B53" t="s">
        <v>540</v>
      </c>
      <c r="C53" t="s">
        <v>541</v>
      </c>
      <c r="D53" s="18">
        <v>43242</v>
      </c>
      <c r="E53" s="34">
        <f>YEAR(ClientDB[[#This Row],[Start Date]])</f>
        <v>2018</v>
      </c>
      <c r="F53" t="s">
        <v>826</v>
      </c>
      <c r="G53" t="str">
        <f>VLOOKUP(ClientDB[[#This Row],[Org Code]],Table2[],2,0)</f>
        <v>Respira Networks</v>
      </c>
      <c r="H53" s="10" t="s">
        <v>7</v>
      </c>
      <c r="I53" s="10" t="str">
        <f>_xlfn.XLOOKUP(ClientDB[[#This Row],[Country Code]],Table3[[#All],[Country Codes]],Table3[[#All],[Country]],1,TRUE)</f>
        <v>Iran</v>
      </c>
      <c r="J53" s="15">
        <v>8</v>
      </c>
      <c r="K53" s="15" t="str">
        <f>IF(ClientDB[[#This Row],[Start Date]]&gt;=$U$14,"New","")</f>
        <v/>
      </c>
      <c r="L53" s="15" t="str">
        <f>IF(OR(ClientDB[[#This Row],[Start Year]]&lt;2016,ClientDB[[#This Row],[Events]]&gt;=6),"Gift","")</f>
        <v>Gift</v>
      </c>
      <c r="M5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53" s="15">
        <v>3</v>
      </c>
      <c r="O53" s="35">
        <f>IF(ClientDB[[#This Row],[Days]]=1,(ClientDB[[#This Row],[Days]]*$V$7),IF(ClientDB[[#This Row],[Days]]&gt;1,(ClientDB[[#This Row],[Days]]*$V$8),""))</f>
        <v>900</v>
      </c>
      <c r="P5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53" s="15" t="s">
        <v>901</v>
      </c>
      <c r="R53" s="15" t="str">
        <f>INDEX(Table4[[Regular]:[Special]],MATCH(ClientDB[[#Data],[Country Code]],Table4[[#Data],[Country]],0),MATCH(ClientDB[[#Data],[Meal]],Table4[[#Headers],[Regular]:[Special]],0))</f>
        <v>F</v>
      </c>
    </row>
    <row r="54" spans="1:18" x14ac:dyDescent="0.2">
      <c r="A54" s="10">
        <v>14010</v>
      </c>
      <c r="B54" t="s">
        <v>589</v>
      </c>
      <c r="C54" t="s">
        <v>590</v>
      </c>
      <c r="D54" s="18">
        <v>42621</v>
      </c>
      <c r="E54" s="34">
        <f>YEAR(ClientDB[[#This Row],[Start Date]])</f>
        <v>2016</v>
      </c>
      <c r="F54" t="s">
        <v>804</v>
      </c>
      <c r="G54" t="str">
        <f>VLOOKUP(ClientDB[[#This Row],[Org Code]],Table2[],2,0)</f>
        <v>Cyber Data Processing</v>
      </c>
      <c r="H54" s="10" t="s">
        <v>7</v>
      </c>
      <c r="I54" s="10" t="str">
        <f>_xlfn.XLOOKUP(ClientDB[[#This Row],[Country Code]],Table3[[#All],[Country Codes]],Table3[[#All],[Country]],1,TRUE)</f>
        <v>Iran</v>
      </c>
      <c r="J54" s="15">
        <v>27</v>
      </c>
      <c r="K54" s="15" t="str">
        <f>IF(ClientDB[[#This Row],[Start Date]]&gt;=$U$14,"New","")</f>
        <v/>
      </c>
      <c r="L54" s="15" t="str">
        <f>IF(OR(ClientDB[[#This Row],[Start Year]]&lt;2016,ClientDB[[#This Row],[Events]]&gt;=6),"Gift","")</f>
        <v>Gift</v>
      </c>
      <c r="M54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54" s="15">
        <v>1</v>
      </c>
      <c r="O54" s="35">
        <f>IF(ClientDB[[#This Row],[Days]]=1,(ClientDB[[#This Row],[Days]]*$V$7),IF(ClientDB[[#This Row],[Days]]&gt;1,(ClientDB[[#This Row],[Days]]*$V$8),""))</f>
        <v>350</v>
      </c>
      <c r="P5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54" s="15" t="s">
        <v>901</v>
      </c>
      <c r="R54" s="15" t="str">
        <f>INDEX(Table4[[Regular]:[Special]],MATCH(ClientDB[[#Data],[Country Code]],Table4[[#Data],[Country]],0),MATCH(ClientDB[[#Data],[Meal]],Table4[[#Headers],[Regular]:[Special]],0))</f>
        <v>F</v>
      </c>
    </row>
    <row r="55" spans="1:18" x14ac:dyDescent="0.2">
      <c r="A55" s="10">
        <v>14051</v>
      </c>
      <c r="B55" t="s">
        <v>528</v>
      </c>
      <c r="C55" t="s">
        <v>529</v>
      </c>
      <c r="D55" s="18">
        <v>43000</v>
      </c>
      <c r="E55" s="34">
        <f>YEAR(ClientDB[[#This Row],[Start Date]])</f>
        <v>2017</v>
      </c>
      <c r="F55" t="s">
        <v>810</v>
      </c>
      <c r="G55" t="str">
        <f>VLOOKUP(ClientDB[[#This Row],[Org Code]],Table2[],2,0)</f>
        <v>Euro-M</v>
      </c>
      <c r="H55" s="10" t="s">
        <v>46</v>
      </c>
      <c r="I55" s="10" t="str">
        <f>_xlfn.XLOOKUP(ClientDB[[#This Row],[Country Code]],Table3[[#All],[Country Codes]],Table3[[#All],[Country]],1,TRUE)</f>
        <v>Germany</v>
      </c>
      <c r="J55" s="15">
        <v>8</v>
      </c>
      <c r="K55" s="15" t="str">
        <f>IF(ClientDB[[#This Row],[Start Date]]&gt;=$U$14,"New","")</f>
        <v/>
      </c>
      <c r="L55" s="15" t="str">
        <f>IF(OR(ClientDB[[#This Row],[Start Year]]&lt;2016,ClientDB[[#This Row],[Events]]&gt;=6),"Gift","")</f>
        <v>Gift</v>
      </c>
      <c r="M5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55" s="15">
        <v>2</v>
      </c>
      <c r="O55" s="35">
        <f>IF(ClientDB[[#This Row],[Days]]=1,(ClientDB[[#This Row],[Days]]*$V$7),IF(ClientDB[[#This Row],[Days]]&gt;1,(ClientDB[[#This Row],[Days]]*$V$8),""))</f>
        <v>600</v>
      </c>
      <c r="P5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55" s="15" t="s">
        <v>902</v>
      </c>
      <c r="R55" s="15" t="str">
        <f>INDEX(Table4[[Regular]:[Special]],MATCH(ClientDB[[#Data],[Country Code]],Table4[[#Data],[Country]],0),MATCH(ClientDB[[#Data],[Meal]],Table4[[#Headers],[Regular]:[Special]],0))</f>
        <v>B</v>
      </c>
    </row>
    <row r="56" spans="1:18" x14ac:dyDescent="0.2">
      <c r="A56" s="10">
        <v>14099</v>
      </c>
      <c r="B56" t="s">
        <v>669</v>
      </c>
      <c r="C56" t="s">
        <v>670</v>
      </c>
      <c r="D56" s="18">
        <v>42832</v>
      </c>
      <c r="E56" s="34">
        <f>YEAR(ClientDB[[#This Row],[Start Date]])</f>
        <v>2017</v>
      </c>
      <c r="F56" t="s">
        <v>799</v>
      </c>
      <c r="G56" t="str">
        <f>VLOOKUP(ClientDB[[#This Row],[Org Code]],Table2[],2,0)</f>
        <v>ByteSize</v>
      </c>
      <c r="H56" s="10" t="s">
        <v>155</v>
      </c>
      <c r="I56" s="10" t="str">
        <f>_xlfn.XLOOKUP(ClientDB[[#This Row],[Country Code]],Table3[[#All],[Country Codes]],Table3[[#All],[Country]],1,TRUE)</f>
        <v>United Arab Emirates</v>
      </c>
      <c r="J56" s="15">
        <v>22</v>
      </c>
      <c r="K56" s="15" t="str">
        <f>IF(ClientDB[[#This Row],[Start Date]]&gt;=$U$14,"New","")</f>
        <v/>
      </c>
      <c r="L56" s="15" t="str">
        <f>IF(OR(ClientDB[[#This Row],[Start Year]]&lt;2016,ClientDB[[#This Row],[Events]]&gt;=6),"Gift","")</f>
        <v>Gift</v>
      </c>
      <c r="M56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56" s="15">
        <v>2</v>
      </c>
      <c r="O56" s="35">
        <f>IF(ClientDB[[#This Row],[Days]]=1,(ClientDB[[#This Row],[Days]]*$V$7),IF(ClientDB[[#This Row],[Days]]&gt;1,(ClientDB[[#This Row],[Days]]*$V$8),""))</f>
        <v>600</v>
      </c>
      <c r="P5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56" s="15" t="s">
        <v>902</v>
      </c>
      <c r="R56" s="15" t="str">
        <f>INDEX(Table4[[Regular]:[Special]],MATCH(ClientDB[[#Data],[Country Code]],Table4[[#Data],[Country]],0),MATCH(ClientDB[[#Data],[Meal]],Table4[[#Headers],[Regular]:[Special]],0))</f>
        <v>B</v>
      </c>
    </row>
    <row r="57" spans="1:18" x14ac:dyDescent="0.2">
      <c r="A57" s="10">
        <v>14145</v>
      </c>
      <c r="B57" t="s">
        <v>734</v>
      </c>
      <c r="C57" t="s">
        <v>735</v>
      </c>
      <c r="D57" s="18">
        <v>44029</v>
      </c>
      <c r="E57" s="34">
        <f>YEAR(ClientDB[[#This Row],[Start Date]])</f>
        <v>2020</v>
      </c>
      <c r="F57" t="s">
        <v>827</v>
      </c>
      <c r="G57" t="str">
        <f>VLOOKUP(ClientDB[[#This Row],[Org Code]],Table2[],2,0)</f>
        <v>Ripple Com</v>
      </c>
      <c r="H57" s="10" t="s">
        <v>15</v>
      </c>
      <c r="I57" s="10" t="str">
        <f>_xlfn.XLOOKUP(ClientDB[[#This Row],[Country Code]],Table3[[#All],[Country Codes]],Table3[[#All],[Country]],1,TRUE)</f>
        <v>United Kingdom</v>
      </c>
      <c r="J57" s="15">
        <v>1</v>
      </c>
      <c r="K57" s="15" t="str">
        <f>IF(ClientDB[[#This Row],[Start Date]]&gt;=$U$14,"New","")</f>
        <v>New</v>
      </c>
      <c r="L57" s="15" t="str">
        <f>IF(OR(ClientDB[[#This Row],[Start Year]]&lt;2016,ClientDB[[#This Row],[Events]]&gt;=6),"Gift","")</f>
        <v/>
      </c>
      <c r="M5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57" s="15">
        <v>3</v>
      </c>
      <c r="O57" s="35">
        <f>IF(ClientDB[[#This Row],[Days]]=1,(ClientDB[[#This Row],[Days]]*$V$7),IF(ClientDB[[#This Row],[Days]]&gt;1,(ClientDB[[#This Row],[Days]]*$V$8),""))</f>
        <v>900</v>
      </c>
      <c r="P5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57" s="15" t="s">
        <v>901</v>
      </c>
      <c r="R57" s="15" t="str">
        <f>INDEX(Table4[[Regular]:[Special]],MATCH(ClientDB[[#Data],[Country Code]],Table4[[#Data],[Country]],0),MATCH(ClientDB[[#Data],[Meal]],Table4[[#Headers],[Regular]:[Special]],0))</f>
        <v>E</v>
      </c>
    </row>
    <row r="58" spans="1:18" x14ac:dyDescent="0.2">
      <c r="A58" s="10">
        <v>14159</v>
      </c>
      <c r="B58" t="s">
        <v>94</v>
      </c>
      <c r="C58" t="s">
        <v>352</v>
      </c>
      <c r="D58" s="18">
        <v>42215</v>
      </c>
      <c r="E58" s="34">
        <f>YEAR(ClientDB[[#This Row],[Start Date]])</f>
        <v>2015</v>
      </c>
      <c r="F58" t="s">
        <v>827</v>
      </c>
      <c r="G58" t="str">
        <f>VLOOKUP(ClientDB[[#This Row],[Org Code]],Table2[],2,0)</f>
        <v>Ripple Com</v>
      </c>
      <c r="H58" s="10" t="s">
        <v>15</v>
      </c>
      <c r="I58" s="10" t="str">
        <f>_xlfn.XLOOKUP(ClientDB[[#This Row],[Country Code]],Table3[[#All],[Country Codes]],Table3[[#All],[Country]],1,TRUE)</f>
        <v>United Kingdom</v>
      </c>
      <c r="J58" s="15">
        <v>22</v>
      </c>
      <c r="K58" s="15" t="str">
        <f>IF(ClientDB[[#This Row],[Start Date]]&gt;=$U$14,"New","")</f>
        <v/>
      </c>
      <c r="L58" s="15" t="str">
        <f>IF(OR(ClientDB[[#This Row],[Start Year]]&lt;2016,ClientDB[[#This Row],[Events]]&gt;=6),"Gift","")</f>
        <v>Gift</v>
      </c>
      <c r="M58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58" s="15">
        <v>1</v>
      </c>
      <c r="O58" s="35">
        <f>IF(ClientDB[[#This Row],[Days]]=1,(ClientDB[[#This Row],[Days]]*$V$7),IF(ClientDB[[#This Row],[Days]]&gt;1,(ClientDB[[#This Row],[Days]]*$V$8),""))</f>
        <v>350</v>
      </c>
      <c r="P5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58" s="15" t="s">
        <v>900</v>
      </c>
      <c r="R58" s="15" t="str">
        <f>INDEX(Table4[[Regular]:[Special]],MATCH(ClientDB[[#Data],[Country Code]],Table4[[#Data],[Country]],0),MATCH(ClientDB[[#Data],[Meal]],Table4[[#Headers],[Regular]:[Special]],0))</f>
        <v>A</v>
      </c>
    </row>
    <row r="59" spans="1:18" x14ac:dyDescent="0.2">
      <c r="A59" s="10">
        <v>14194</v>
      </c>
      <c r="B59" t="s">
        <v>501</v>
      </c>
      <c r="C59" t="s">
        <v>604</v>
      </c>
      <c r="D59" s="18">
        <v>43901</v>
      </c>
      <c r="E59" s="34">
        <f>YEAR(ClientDB[[#This Row],[Start Date]])</f>
        <v>2020</v>
      </c>
      <c r="F59" t="s">
        <v>821</v>
      </c>
      <c r="G59" t="str">
        <f>VLOOKUP(ClientDB[[#This Row],[Org Code]],Table2[],2,0)</f>
        <v>Parmis Technologies</v>
      </c>
      <c r="H59" s="10" t="s">
        <v>46</v>
      </c>
      <c r="I59" s="10" t="str">
        <f>_xlfn.XLOOKUP(ClientDB[[#This Row],[Country Code]],Table3[[#All],[Country Codes]],Table3[[#All],[Country]],1,TRUE)</f>
        <v>Germany</v>
      </c>
      <c r="J59" s="15">
        <v>4</v>
      </c>
      <c r="K59" s="15" t="str">
        <f>IF(ClientDB[[#This Row],[Start Date]]&gt;=$U$14,"New","")</f>
        <v>New</v>
      </c>
      <c r="L59" s="15" t="str">
        <f>IF(OR(ClientDB[[#This Row],[Start Year]]&lt;2016,ClientDB[[#This Row],[Events]]&gt;=6),"Gift","")</f>
        <v/>
      </c>
      <c r="M5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59" s="15">
        <v>3</v>
      </c>
      <c r="O59" s="35">
        <f>IF(ClientDB[[#This Row],[Days]]=1,(ClientDB[[#This Row],[Days]]*$V$7),IF(ClientDB[[#This Row],[Days]]&gt;1,(ClientDB[[#This Row],[Days]]*$V$8),""))</f>
        <v>900</v>
      </c>
      <c r="P5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59" s="15" t="s">
        <v>901</v>
      </c>
      <c r="R59" s="15" t="str">
        <f>INDEX(Table4[[Regular]:[Special]],MATCH(ClientDB[[#Data],[Country Code]],Table4[[#Data],[Country]],0),MATCH(ClientDB[[#Data],[Meal]],Table4[[#Headers],[Regular]:[Special]],0))</f>
        <v>D</v>
      </c>
    </row>
    <row r="60" spans="1:18" x14ac:dyDescent="0.2">
      <c r="A60" s="10">
        <v>14279</v>
      </c>
      <c r="B60" t="s">
        <v>434</v>
      </c>
      <c r="C60" t="s">
        <v>435</v>
      </c>
      <c r="D60" s="18">
        <v>42962</v>
      </c>
      <c r="E60" s="34">
        <f>YEAR(ClientDB[[#This Row],[Start Date]])</f>
        <v>2017</v>
      </c>
      <c r="F60" t="s">
        <v>838</v>
      </c>
      <c r="G60" t="str">
        <f>VLOOKUP(ClientDB[[#This Row],[Org Code]],Table2[],2,0)</f>
        <v>xLAN Internet Exchange</v>
      </c>
      <c r="H60" s="10" t="s">
        <v>7</v>
      </c>
      <c r="I60" s="10" t="str">
        <f>_xlfn.XLOOKUP(ClientDB[[#This Row],[Country Code]],Table3[[#All],[Country Codes]],Table3[[#All],[Country]],1,TRUE)</f>
        <v>Iran</v>
      </c>
      <c r="J60" s="15">
        <v>5</v>
      </c>
      <c r="K60" s="15" t="str">
        <f>IF(ClientDB[[#This Row],[Start Date]]&gt;=$U$14,"New","")</f>
        <v/>
      </c>
      <c r="L60" s="15" t="str">
        <f>IF(OR(ClientDB[[#This Row],[Start Year]]&lt;2016,ClientDB[[#This Row],[Events]]&gt;=6),"Gift","")</f>
        <v/>
      </c>
      <c r="M6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60" s="15">
        <v>1</v>
      </c>
      <c r="O60" s="35">
        <f>IF(ClientDB[[#This Row],[Days]]=1,(ClientDB[[#This Row],[Days]]*$V$7),IF(ClientDB[[#This Row],[Days]]&gt;1,(ClientDB[[#This Row],[Days]]*$V$8),""))</f>
        <v>350</v>
      </c>
      <c r="P6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60" s="15" t="s">
        <v>901</v>
      </c>
      <c r="R60" s="15" t="str">
        <f>INDEX(Table4[[Regular]:[Special]],MATCH(ClientDB[[#Data],[Country Code]],Table4[[#Data],[Country]],0),MATCH(ClientDB[[#Data],[Meal]],Table4[[#Headers],[Regular]:[Special]],0))</f>
        <v>F</v>
      </c>
    </row>
    <row r="61" spans="1:18" x14ac:dyDescent="0.2">
      <c r="A61" s="10">
        <v>14484</v>
      </c>
      <c r="B61" t="s">
        <v>499</v>
      </c>
      <c r="C61" t="s">
        <v>500</v>
      </c>
      <c r="D61" s="18">
        <v>42640</v>
      </c>
      <c r="E61" s="34">
        <f>YEAR(ClientDB[[#This Row],[Start Date]])</f>
        <v>2016</v>
      </c>
      <c r="F61" t="s">
        <v>827</v>
      </c>
      <c r="G61" t="str">
        <f>VLOOKUP(ClientDB[[#This Row],[Org Code]],Table2[],2,0)</f>
        <v>Ripple Com</v>
      </c>
      <c r="H61" s="10" t="s">
        <v>15</v>
      </c>
      <c r="I61" s="10" t="str">
        <f>_xlfn.XLOOKUP(ClientDB[[#This Row],[Country Code]],Table3[[#All],[Country Codes]],Table3[[#All],[Country]],1,TRUE)</f>
        <v>United Kingdom</v>
      </c>
      <c r="J61" s="15">
        <v>18</v>
      </c>
      <c r="K61" s="15" t="str">
        <f>IF(ClientDB[[#This Row],[Start Date]]&gt;=$U$14,"New","")</f>
        <v/>
      </c>
      <c r="L61" s="15" t="str">
        <f>IF(OR(ClientDB[[#This Row],[Start Year]]&lt;2016,ClientDB[[#This Row],[Events]]&gt;=6),"Gift","")</f>
        <v>Gift</v>
      </c>
      <c r="M61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61" s="15">
        <v>3</v>
      </c>
      <c r="O61" s="35">
        <f>IF(ClientDB[[#This Row],[Days]]=1,(ClientDB[[#This Row],[Days]]*$V$7),IF(ClientDB[[#This Row],[Days]]&gt;1,(ClientDB[[#This Row],[Days]]*$V$8),""))</f>
        <v>900</v>
      </c>
      <c r="P6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61" s="15" t="s">
        <v>902</v>
      </c>
      <c r="R61" s="15" t="str">
        <f>INDEX(Table4[[Regular]:[Special]],MATCH(ClientDB[[#Data],[Country Code]],Table4[[#Data],[Country]],0),MATCH(ClientDB[[#Data],[Meal]],Table4[[#Headers],[Regular]:[Special]],0))</f>
        <v>B</v>
      </c>
    </row>
    <row r="62" spans="1:18" x14ac:dyDescent="0.2">
      <c r="A62" s="10">
        <v>14486</v>
      </c>
      <c r="B62" t="s">
        <v>618</v>
      </c>
      <c r="C62" t="s">
        <v>619</v>
      </c>
      <c r="D62" s="18">
        <v>43855</v>
      </c>
      <c r="E62" s="34">
        <f>YEAR(ClientDB[[#This Row],[Start Date]])</f>
        <v>2020</v>
      </c>
      <c r="F62" t="s">
        <v>830</v>
      </c>
      <c r="G62" t="str">
        <f>VLOOKUP(ClientDB[[#This Row],[Org Code]],Table2[],2,0)</f>
        <v>Steps IT Training</v>
      </c>
      <c r="H62" s="10" t="s">
        <v>274</v>
      </c>
      <c r="I62" s="10" t="str">
        <f>_xlfn.XLOOKUP(ClientDB[[#This Row],[Country Code]],Table3[[#All],[Country Codes]],Table3[[#All],[Country]],1,TRUE)</f>
        <v>Spain</v>
      </c>
      <c r="J62" s="15">
        <v>3</v>
      </c>
      <c r="K62" s="15" t="str">
        <f>IF(ClientDB[[#This Row],[Start Date]]&gt;=$U$14,"New","")</f>
        <v>New</v>
      </c>
      <c r="L62" s="15" t="str">
        <f>IF(OR(ClientDB[[#This Row],[Start Year]]&lt;2016,ClientDB[[#This Row],[Events]]&gt;=6),"Gift","")</f>
        <v/>
      </c>
      <c r="M6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62" s="15">
        <v>3</v>
      </c>
      <c r="O62" s="35">
        <f>IF(ClientDB[[#This Row],[Days]]=1,(ClientDB[[#This Row],[Days]]*$V$7),IF(ClientDB[[#This Row],[Days]]&gt;1,(ClientDB[[#This Row],[Days]]*$V$8),""))</f>
        <v>900</v>
      </c>
      <c r="P6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62" s="15" t="s">
        <v>901</v>
      </c>
      <c r="R62" s="15" t="str">
        <f>INDEX(Table4[[Regular]:[Special]],MATCH(ClientDB[[#Data],[Country Code]],Table4[[#Data],[Country]],0),MATCH(ClientDB[[#Data],[Meal]],Table4[[#Headers],[Regular]:[Special]],0))</f>
        <v>D</v>
      </c>
    </row>
    <row r="63" spans="1:18" x14ac:dyDescent="0.2">
      <c r="A63" s="10">
        <v>14504</v>
      </c>
      <c r="B63" t="s">
        <v>378</v>
      </c>
      <c r="C63" t="s">
        <v>379</v>
      </c>
      <c r="D63" s="18">
        <v>43369</v>
      </c>
      <c r="E63" s="34">
        <f>YEAR(ClientDB[[#This Row],[Start Date]])</f>
        <v>2018</v>
      </c>
      <c r="F63" t="s">
        <v>832</v>
      </c>
      <c r="G63" t="str">
        <f>VLOOKUP(ClientDB[[#This Row],[Org Code]],Table2[],2,0)</f>
        <v>TQ Processes</v>
      </c>
      <c r="H63" s="10" t="s">
        <v>38</v>
      </c>
      <c r="I63" s="10" t="str">
        <f>_xlfn.XLOOKUP(ClientDB[[#This Row],[Country Code]],Table3[[#All],[Country Codes]],Table3[[#All],[Country]],1,TRUE)</f>
        <v>Czech Republic</v>
      </c>
      <c r="J63" s="15">
        <v>11</v>
      </c>
      <c r="K63" s="15" t="str">
        <f>IF(ClientDB[[#This Row],[Start Date]]&gt;=$U$14,"New","")</f>
        <v/>
      </c>
      <c r="L63" s="15" t="str">
        <f>IF(OR(ClientDB[[#This Row],[Start Year]]&lt;2016,ClientDB[[#This Row],[Events]]&gt;=6),"Gift","")</f>
        <v>Gift</v>
      </c>
      <c r="M63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63" s="15">
        <v>2</v>
      </c>
      <c r="O63" s="35">
        <f>IF(ClientDB[[#This Row],[Days]]=1,(ClientDB[[#This Row],[Days]]*$V$7),IF(ClientDB[[#This Row],[Days]]&gt;1,(ClientDB[[#This Row],[Days]]*$V$8),""))</f>
        <v>600</v>
      </c>
      <c r="P6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63" s="15" t="s">
        <v>899</v>
      </c>
      <c r="R63" s="15" t="str">
        <f>INDEX(Table4[[Regular]:[Special]],MATCH(ClientDB[[#Data],[Country Code]],Table4[[#Data],[Country]],0),MATCH(ClientDB[[#Data],[Meal]],Table4[[#Headers],[Regular]:[Special]],0))</f>
        <v>A</v>
      </c>
    </row>
    <row r="64" spans="1:18" x14ac:dyDescent="0.2">
      <c r="A64" s="10">
        <v>14515</v>
      </c>
      <c r="B64" t="s">
        <v>237</v>
      </c>
      <c r="C64" t="s">
        <v>238</v>
      </c>
      <c r="D64" s="18">
        <v>43615</v>
      </c>
      <c r="E64" s="34">
        <f>YEAR(ClientDB[[#This Row],[Start Date]])</f>
        <v>2019</v>
      </c>
      <c r="F64" t="s">
        <v>820</v>
      </c>
      <c r="G64" t="str">
        <f>VLOOKUP(ClientDB[[#This Row],[Org Code]],Table2[],2,0)</f>
        <v>Oglev</v>
      </c>
      <c r="H64" s="10" t="s">
        <v>239</v>
      </c>
      <c r="I64" s="10" t="str">
        <f>_xlfn.XLOOKUP(ClientDB[[#This Row],[Country Code]],Table3[[#All],[Country Codes]],Table3[[#All],[Country]],1,TRUE)</f>
        <v>Switzerland</v>
      </c>
      <c r="J64" s="15">
        <v>5</v>
      </c>
      <c r="K64" s="15" t="str">
        <f>IF(ClientDB[[#This Row],[Start Date]]&gt;=$U$14,"New","")</f>
        <v/>
      </c>
      <c r="L64" s="15" t="str">
        <f>IF(OR(ClientDB[[#This Row],[Start Year]]&lt;2016,ClientDB[[#This Row],[Events]]&gt;=6),"Gift","")</f>
        <v/>
      </c>
      <c r="M6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64" s="15">
        <v>1</v>
      </c>
      <c r="O64" s="35">
        <f>IF(ClientDB[[#This Row],[Days]]=1,(ClientDB[[#This Row],[Days]]*$V$7),IF(ClientDB[[#This Row],[Days]]&gt;1,(ClientDB[[#This Row],[Days]]*$V$8),""))</f>
        <v>350</v>
      </c>
      <c r="P6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64" s="15" t="s">
        <v>901</v>
      </c>
      <c r="R64" s="15" t="str">
        <f>INDEX(Table4[[Regular]:[Special]],MATCH(ClientDB[[#Data],[Country Code]],Table4[[#Data],[Country]],0),MATCH(ClientDB[[#Data],[Meal]],Table4[[#Headers],[Regular]:[Special]],0))</f>
        <v>D</v>
      </c>
    </row>
    <row r="65" spans="1:18" x14ac:dyDescent="0.2">
      <c r="A65" s="10">
        <v>14530</v>
      </c>
      <c r="B65" t="s">
        <v>633</v>
      </c>
      <c r="C65" t="s">
        <v>634</v>
      </c>
      <c r="D65" s="18">
        <v>41530</v>
      </c>
      <c r="E65" s="34">
        <f>YEAR(ClientDB[[#This Row],[Start Date]])</f>
        <v>2013</v>
      </c>
      <c r="F65" t="s">
        <v>817</v>
      </c>
      <c r="G65" t="str">
        <f>VLOOKUP(ClientDB[[#This Row],[Org Code]],Table2[],2,0)</f>
        <v>LACNE</v>
      </c>
      <c r="H65" s="10" t="s">
        <v>15</v>
      </c>
      <c r="I65" s="10" t="str">
        <f>_xlfn.XLOOKUP(ClientDB[[#This Row],[Country Code]],Table3[[#All],[Country Codes]],Table3[[#All],[Country]],1,TRUE)</f>
        <v>United Kingdom</v>
      </c>
      <c r="J65" s="15">
        <v>36</v>
      </c>
      <c r="K65" s="15" t="str">
        <f>IF(ClientDB[[#This Row],[Start Date]]&gt;=$U$14,"New","")</f>
        <v/>
      </c>
      <c r="L65" s="15" t="str">
        <f>IF(OR(ClientDB[[#This Row],[Start Year]]&lt;2016,ClientDB[[#This Row],[Events]]&gt;=6),"Gift","")</f>
        <v>Gift</v>
      </c>
      <c r="M65" s="15" t="str">
        <f>IF(AND(ClientDB[Events]&gt;0,ClientDB[Events]&lt;10),"Bronze",IF(AND(ClientDB[Events]&gt;9,ClientDB[Events]&lt;20),"Silver",IF(AND(ClientDB[Events]&gt;19,ClientDB[Events]&lt;30),"Gold",IF(ClientDB[Events]&gt;30,"Platinum",""))))</f>
        <v>Platinum</v>
      </c>
      <c r="N65" s="15">
        <v>1</v>
      </c>
      <c r="O65" s="35">
        <f>IF(ClientDB[[#This Row],[Days]]=1,(ClientDB[[#This Row],[Days]]*$V$7),IF(ClientDB[[#This Row],[Days]]&gt;1,(ClientDB[[#This Row],[Days]]*$V$8),""))</f>
        <v>350</v>
      </c>
      <c r="P6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65" s="15" t="s">
        <v>901</v>
      </c>
      <c r="R65" s="15" t="str">
        <f>INDEX(Table4[[Regular]:[Special]],MATCH(ClientDB[[#Data],[Country Code]],Table4[[#Data],[Country]],0),MATCH(ClientDB[[#Data],[Meal]],Table4[[#Headers],[Regular]:[Special]],0))</f>
        <v>E</v>
      </c>
    </row>
    <row r="66" spans="1:18" x14ac:dyDescent="0.2">
      <c r="A66" s="10">
        <v>14621</v>
      </c>
      <c r="B66" t="s">
        <v>122</v>
      </c>
      <c r="C66" t="s">
        <v>123</v>
      </c>
      <c r="D66" s="18">
        <v>43720</v>
      </c>
      <c r="E66" s="34">
        <f>YEAR(ClientDB[[#This Row],[Start Date]])</f>
        <v>2019</v>
      </c>
      <c r="F66" t="s">
        <v>827</v>
      </c>
      <c r="G66" t="str">
        <f>VLOOKUP(ClientDB[[#This Row],[Org Code]],Table2[],2,0)</f>
        <v>Ripple Com</v>
      </c>
      <c r="H66" s="10" t="s">
        <v>124</v>
      </c>
      <c r="I66" s="10" t="str">
        <f>_xlfn.XLOOKUP(ClientDB[[#This Row],[Country Code]],Table3[[#All],[Country Codes]],Table3[[#All],[Country]],1,TRUE)</f>
        <v>Lebanon</v>
      </c>
      <c r="J66" s="15">
        <v>8</v>
      </c>
      <c r="K66" s="15" t="str">
        <f>IF(ClientDB[[#This Row],[Start Date]]&gt;=$U$14,"New","")</f>
        <v/>
      </c>
      <c r="L66" s="15" t="str">
        <f>IF(OR(ClientDB[[#This Row],[Start Year]]&lt;2016,ClientDB[[#This Row],[Events]]&gt;=6),"Gift","")</f>
        <v>Gift</v>
      </c>
      <c r="M6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66" s="15">
        <v>2</v>
      </c>
      <c r="O66" s="35">
        <f>IF(ClientDB[[#This Row],[Days]]=1,(ClientDB[[#This Row],[Days]]*$V$7),IF(ClientDB[[#This Row],[Days]]&gt;1,(ClientDB[[#This Row],[Days]]*$V$8),""))</f>
        <v>600</v>
      </c>
      <c r="P6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66" s="15" t="s">
        <v>899</v>
      </c>
      <c r="R66" s="15" t="str">
        <f>INDEX(Table4[[Regular]:[Special]],MATCH(ClientDB[[#Data],[Country Code]],Table4[[#Data],[Country]],0),MATCH(ClientDB[[#Data],[Meal]],Table4[[#Headers],[Regular]:[Special]],0))</f>
        <v>B</v>
      </c>
    </row>
    <row r="67" spans="1:18" x14ac:dyDescent="0.2">
      <c r="A67" s="10">
        <v>14634</v>
      </c>
      <c r="B67" t="s">
        <v>534</v>
      </c>
      <c r="C67" t="s">
        <v>535</v>
      </c>
      <c r="D67" s="18">
        <v>43151</v>
      </c>
      <c r="E67" s="34">
        <f>YEAR(ClientDB[[#This Row],[Start Date]])</f>
        <v>2018</v>
      </c>
      <c r="F67" t="s">
        <v>823</v>
      </c>
      <c r="G67" t="str">
        <f>VLOOKUP(ClientDB[[#This Row],[Org Code]],Table2[],2,0)</f>
        <v>Pilco Streambank</v>
      </c>
      <c r="H67" s="10" t="s">
        <v>34</v>
      </c>
      <c r="I67" s="10" t="str">
        <f>_xlfn.XLOOKUP(ClientDB[[#This Row],[Country Code]],Table3[[#All],[Country Codes]],Table3[[#All],[Country]],1,TRUE)</f>
        <v>United States</v>
      </c>
      <c r="J67" s="15">
        <v>4</v>
      </c>
      <c r="K67" s="15" t="str">
        <f>IF(ClientDB[[#This Row],[Start Date]]&gt;=$U$14,"New","")</f>
        <v/>
      </c>
      <c r="L67" s="15" t="str">
        <f>IF(OR(ClientDB[[#This Row],[Start Year]]&lt;2016,ClientDB[[#This Row],[Events]]&gt;=6),"Gift","")</f>
        <v/>
      </c>
      <c r="M6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67" s="15">
        <v>2</v>
      </c>
      <c r="O67" s="35">
        <f>IF(ClientDB[[#This Row],[Days]]=1,(ClientDB[[#This Row],[Days]]*$V$7),IF(ClientDB[[#This Row],[Days]]&gt;1,(ClientDB[[#This Row],[Days]]*$V$8),""))</f>
        <v>600</v>
      </c>
      <c r="P6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67" s="15" t="s">
        <v>901</v>
      </c>
      <c r="R67" s="15" t="str">
        <f>INDEX(Table4[[Regular]:[Special]],MATCH(ClientDB[[#Data],[Country Code]],Table4[[#Data],[Country]],0),MATCH(ClientDB[[#Data],[Meal]],Table4[[#Headers],[Regular]:[Special]],0))</f>
        <v>G</v>
      </c>
    </row>
    <row r="68" spans="1:18" x14ac:dyDescent="0.2">
      <c r="A68" s="10">
        <v>14675</v>
      </c>
      <c r="B68" t="s">
        <v>234</v>
      </c>
      <c r="C68" t="s">
        <v>235</v>
      </c>
      <c r="D68" s="18">
        <v>43871</v>
      </c>
      <c r="E68" s="34">
        <f>YEAR(ClientDB[[#This Row],[Start Date]])</f>
        <v>2020</v>
      </c>
      <c r="F68" t="s">
        <v>832</v>
      </c>
      <c r="G68" t="str">
        <f>VLOOKUP(ClientDB[[#This Row],[Org Code]],Table2[],2,0)</f>
        <v>TQ Processes</v>
      </c>
      <c r="H68" s="10" t="s">
        <v>34</v>
      </c>
      <c r="I68" s="10" t="str">
        <f>_xlfn.XLOOKUP(ClientDB[[#This Row],[Country Code]],Table3[[#All],[Country Codes]],Table3[[#All],[Country]],1,TRUE)</f>
        <v>United States</v>
      </c>
      <c r="J68" s="15">
        <v>1</v>
      </c>
      <c r="K68" s="15" t="str">
        <f>IF(ClientDB[[#This Row],[Start Date]]&gt;=$U$14,"New","")</f>
        <v>New</v>
      </c>
      <c r="L68" s="15" t="str">
        <f>IF(OR(ClientDB[[#This Row],[Start Year]]&lt;2016,ClientDB[[#This Row],[Events]]&gt;=6),"Gift","")</f>
        <v/>
      </c>
      <c r="M6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68" s="15">
        <v>2</v>
      </c>
      <c r="O68" s="35">
        <f>IF(ClientDB[[#This Row],[Days]]=1,(ClientDB[[#This Row],[Days]]*$V$7),IF(ClientDB[[#This Row],[Days]]&gt;1,(ClientDB[[#This Row],[Days]]*$V$8),""))</f>
        <v>600</v>
      </c>
      <c r="P6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68" s="15" t="s">
        <v>902</v>
      </c>
      <c r="R68" s="15" t="str">
        <f>INDEX(Table4[[Regular]:[Special]],MATCH(ClientDB[[#Data],[Country Code]],Table4[[#Data],[Country]],0),MATCH(ClientDB[[#Data],[Meal]],Table4[[#Headers],[Regular]:[Special]],0))</f>
        <v>F</v>
      </c>
    </row>
    <row r="69" spans="1:18" x14ac:dyDescent="0.2">
      <c r="A69" s="10">
        <v>15000</v>
      </c>
      <c r="B69" t="s">
        <v>57</v>
      </c>
      <c r="C69" t="s">
        <v>58</v>
      </c>
      <c r="D69" s="18">
        <v>43970</v>
      </c>
      <c r="E69" s="34">
        <f>YEAR(ClientDB[[#This Row],[Start Date]])</f>
        <v>2020</v>
      </c>
      <c r="F69" t="s">
        <v>824</v>
      </c>
      <c r="G69" t="str">
        <f>VLOOKUP(ClientDB[[#This Row],[Org Code]],Table2[],2,0)</f>
        <v>Pink Cloud Networks</v>
      </c>
      <c r="H69" s="10" t="s">
        <v>59</v>
      </c>
      <c r="I69" s="10" t="str">
        <f>_xlfn.XLOOKUP(ClientDB[[#This Row],[Country Code]],Table3[[#All],[Country Codes]],Table3[[#All],[Country]],1,TRUE)</f>
        <v>Netherlands</v>
      </c>
      <c r="J69" s="15">
        <v>3</v>
      </c>
      <c r="K69" s="15" t="str">
        <f>IF(ClientDB[[#This Row],[Start Date]]&gt;=$U$14,"New","")</f>
        <v>New</v>
      </c>
      <c r="L69" s="15" t="str">
        <f>IF(OR(ClientDB[[#This Row],[Start Year]]&lt;2016,ClientDB[[#This Row],[Events]]&gt;=6),"Gift","")</f>
        <v/>
      </c>
      <c r="M6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69" s="15">
        <v>2</v>
      </c>
      <c r="O69" s="35">
        <f>IF(ClientDB[[#This Row],[Days]]=1,(ClientDB[[#This Row],[Days]]*$V$7),IF(ClientDB[[#This Row],[Days]]&gt;1,(ClientDB[[#This Row],[Days]]*$V$8),""))</f>
        <v>600</v>
      </c>
      <c r="P6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69" s="15" t="s">
        <v>902</v>
      </c>
      <c r="R69" s="15" t="str">
        <f>INDEX(Table4[[Regular]:[Special]],MATCH(ClientDB[[#Data],[Country Code]],Table4[[#Data],[Country]],0),MATCH(ClientDB[[#Data],[Meal]],Table4[[#Headers],[Regular]:[Special]],0))</f>
        <v>C</v>
      </c>
    </row>
    <row r="70" spans="1:18" x14ac:dyDescent="0.2">
      <c r="A70" s="10">
        <v>15111</v>
      </c>
      <c r="B70" t="s">
        <v>683</v>
      </c>
      <c r="C70" t="s">
        <v>684</v>
      </c>
      <c r="D70" s="18">
        <v>42411</v>
      </c>
      <c r="E70" s="34">
        <f>YEAR(ClientDB[[#This Row],[Start Date]])</f>
        <v>2016</v>
      </c>
      <c r="F70" t="s">
        <v>807</v>
      </c>
      <c r="G70" t="str">
        <f>VLOOKUP(ClientDB[[#This Row],[Org Code]],Table2[],2,0)</f>
        <v>Duet</v>
      </c>
      <c r="H70" s="10" t="s">
        <v>685</v>
      </c>
      <c r="I70" s="10" t="str">
        <f>_xlfn.XLOOKUP(ClientDB[[#This Row],[Country Code]],Table3[[#All],[Country Codes]],Table3[[#All],[Country]],1,TRUE)</f>
        <v>Sudan</v>
      </c>
      <c r="J70" s="15">
        <v>34</v>
      </c>
      <c r="K70" s="15" t="str">
        <f>IF(ClientDB[[#This Row],[Start Date]]&gt;=$U$14,"New","")</f>
        <v/>
      </c>
      <c r="L70" s="15" t="str">
        <f>IF(OR(ClientDB[[#This Row],[Start Year]]&lt;2016,ClientDB[[#This Row],[Events]]&gt;=6),"Gift","")</f>
        <v>Gift</v>
      </c>
      <c r="M70" s="15" t="str">
        <f>IF(AND(ClientDB[Events]&gt;0,ClientDB[Events]&lt;10),"Bronze",IF(AND(ClientDB[Events]&gt;9,ClientDB[Events]&lt;20),"Silver",IF(AND(ClientDB[Events]&gt;19,ClientDB[Events]&lt;30),"Gold",IF(ClientDB[Events]&gt;30,"Platinum",""))))</f>
        <v>Platinum</v>
      </c>
      <c r="N70" s="15">
        <v>2</v>
      </c>
      <c r="O70" s="35">
        <f>IF(ClientDB[[#This Row],[Days]]=1,(ClientDB[[#This Row],[Days]]*$V$7),IF(ClientDB[[#This Row],[Days]]&gt;1,(ClientDB[[#This Row],[Days]]*$V$8),""))</f>
        <v>600</v>
      </c>
      <c r="P7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70" s="15" t="s">
        <v>902</v>
      </c>
      <c r="R70" s="15" t="str">
        <f>INDEX(Table4[[Regular]:[Special]],MATCH(ClientDB[[#Data],[Country Code]],Table4[[#Data],[Country]],0),MATCH(ClientDB[[#Data],[Meal]],Table4[[#Headers],[Regular]:[Special]],0))</f>
        <v>C</v>
      </c>
    </row>
    <row r="71" spans="1:18" x14ac:dyDescent="0.2">
      <c r="A71" s="10">
        <v>15212</v>
      </c>
      <c r="B71" t="s">
        <v>244</v>
      </c>
      <c r="C71" t="s">
        <v>245</v>
      </c>
      <c r="D71" s="18">
        <v>43869</v>
      </c>
      <c r="E71" s="34">
        <f>YEAR(ClientDB[[#This Row],[Start Date]])</f>
        <v>2020</v>
      </c>
      <c r="F71" t="s">
        <v>827</v>
      </c>
      <c r="G71" t="str">
        <f>VLOOKUP(ClientDB[[#This Row],[Org Code]],Table2[],2,0)</f>
        <v>Ripple Com</v>
      </c>
      <c r="H71" s="10" t="s">
        <v>15</v>
      </c>
      <c r="I71" s="10" t="str">
        <f>_xlfn.XLOOKUP(ClientDB[[#This Row],[Country Code]],Table3[[#All],[Country Codes]],Table3[[#All],[Country]],1,TRUE)</f>
        <v>United Kingdom</v>
      </c>
      <c r="J71" s="15">
        <v>3</v>
      </c>
      <c r="K71" s="15" t="str">
        <f>IF(ClientDB[[#This Row],[Start Date]]&gt;=$U$14,"New","")</f>
        <v>New</v>
      </c>
      <c r="L71" s="15" t="str">
        <f>IF(OR(ClientDB[[#This Row],[Start Year]]&lt;2016,ClientDB[[#This Row],[Events]]&gt;=6),"Gift","")</f>
        <v/>
      </c>
      <c r="M7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71" s="15">
        <v>2</v>
      </c>
      <c r="O71" s="35">
        <f>IF(ClientDB[[#This Row],[Days]]=1,(ClientDB[[#This Row],[Days]]*$V$7),IF(ClientDB[[#This Row],[Days]]&gt;1,(ClientDB[[#This Row],[Days]]*$V$8),""))</f>
        <v>600</v>
      </c>
      <c r="P7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71" s="15" t="s">
        <v>899</v>
      </c>
      <c r="R71" s="15" t="str">
        <f>INDEX(Table4[[Regular]:[Special]],MATCH(ClientDB[[#Data],[Country Code]],Table4[[#Data],[Country]],0),MATCH(ClientDB[[#Data],[Meal]],Table4[[#Headers],[Regular]:[Special]],0))</f>
        <v>A</v>
      </c>
    </row>
    <row r="72" spans="1:18" x14ac:dyDescent="0.2">
      <c r="A72" s="10">
        <v>15232</v>
      </c>
      <c r="B72" t="s">
        <v>35</v>
      </c>
      <c r="C72" t="s">
        <v>169</v>
      </c>
      <c r="D72" s="18">
        <v>43045</v>
      </c>
      <c r="E72" s="34">
        <f>YEAR(ClientDB[[#This Row],[Start Date]])</f>
        <v>2017</v>
      </c>
      <c r="F72" t="s">
        <v>814</v>
      </c>
      <c r="G72" t="str">
        <f>VLOOKUP(ClientDB[[#This Row],[Org Code]],Table2[],2,0)</f>
        <v>ICANT</v>
      </c>
      <c r="H72" s="10" t="s">
        <v>26</v>
      </c>
      <c r="I72" s="10" t="str">
        <f>_xlfn.XLOOKUP(ClientDB[[#This Row],[Country Code]],Table3[[#All],[Country Codes]],Table3[[#All],[Country]],1,TRUE)</f>
        <v>Ukraine</v>
      </c>
      <c r="J72" s="15">
        <v>4</v>
      </c>
      <c r="K72" s="15" t="str">
        <f>IF(ClientDB[[#This Row],[Start Date]]&gt;=$U$14,"New","")</f>
        <v/>
      </c>
      <c r="L72" s="15" t="str">
        <f>IF(OR(ClientDB[[#This Row],[Start Year]]&lt;2016,ClientDB[[#This Row],[Events]]&gt;=6),"Gift","")</f>
        <v/>
      </c>
      <c r="M7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72" s="15">
        <v>2</v>
      </c>
      <c r="O72" s="35">
        <f>IF(ClientDB[[#This Row],[Days]]=1,(ClientDB[[#This Row],[Days]]*$V$7),IF(ClientDB[[#This Row],[Days]]&gt;1,(ClientDB[[#This Row],[Days]]*$V$8),""))</f>
        <v>600</v>
      </c>
      <c r="P7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72" s="15" t="s">
        <v>901</v>
      </c>
      <c r="R72" s="15" t="str">
        <f>INDEX(Table4[[Regular]:[Special]],MATCH(ClientDB[[#Data],[Country Code]],Table4[[#Data],[Country]],0),MATCH(ClientDB[[#Data],[Meal]],Table4[[#Headers],[Regular]:[Special]],0))</f>
        <v>G</v>
      </c>
    </row>
    <row r="73" spans="1:18" x14ac:dyDescent="0.2">
      <c r="A73" s="10">
        <v>15266</v>
      </c>
      <c r="B73" t="s">
        <v>548</v>
      </c>
      <c r="C73" t="s">
        <v>549</v>
      </c>
      <c r="D73" s="18">
        <v>43883</v>
      </c>
      <c r="E73" s="34">
        <f>YEAR(ClientDB[[#This Row],[Start Date]])</f>
        <v>2020</v>
      </c>
      <c r="F73" t="s">
        <v>807</v>
      </c>
      <c r="G73" t="str">
        <f>VLOOKUP(ClientDB[[#This Row],[Org Code]],Table2[],2,0)</f>
        <v>Duet</v>
      </c>
      <c r="H73" s="10" t="s">
        <v>155</v>
      </c>
      <c r="I73" s="10" t="str">
        <f>_xlfn.XLOOKUP(ClientDB[[#This Row],[Country Code]],Table3[[#All],[Country Codes]],Table3[[#All],[Country]],1,TRUE)</f>
        <v>United Arab Emirates</v>
      </c>
      <c r="J73" s="15">
        <v>5</v>
      </c>
      <c r="K73" s="15" t="str">
        <f>IF(ClientDB[[#This Row],[Start Date]]&gt;=$U$14,"New","")</f>
        <v>New</v>
      </c>
      <c r="L73" s="15" t="str">
        <f>IF(OR(ClientDB[[#This Row],[Start Year]]&lt;2016,ClientDB[[#This Row],[Events]]&gt;=6),"Gift","")</f>
        <v/>
      </c>
      <c r="M7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73" s="15">
        <v>3</v>
      </c>
      <c r="O73" s="35">
        <f>IF(ClientDB[[#This Row],[Days]]=1,(ClientDB[[#This Row],[Days]]*$V$7),IF(ClientDB[[#This Row],[Days]]&gt;1,(ClientDB[[#This Row],[Days]]*$V$8),""))</f>
        <v>900</v>
      </c>
      <c r="P7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73" s="15" t="s">
        <v>901</v>
      </c>
      <c r="R73" s="15" t="str">
        <f>INDEX(Table4[[Regular]:[Special]],MATCH(ClientDB[[#Data],[Country Code]],Table4[[#Data],[Country]],0),MATCH(ClientDB[[#Data],[Meal]],Table4[[#Headers],[Regular]:[Special]],0))</f>
        <v>D</v>
      </c>
    </row>
    <row r="74" spans="1:18" x14ac:dyDescent="0.2">
      <c r="A74" s="10">
        <v>15329</v>
      </c>
      <c r="B74" t="s">
        <v>132</v>
      </c>
      <c r="C74" t="s">
        <v>133</v>
      </c>
      <c r="D74" s="18">
        <v>44049</v>
      </c>
      <c r="E74" s="34">
        <f>YEAR(ClientDB[[#This Row],[Start Date]])</f>
        <v>2020</v>
      </c>
      <c r="F74" t="s">
        <v>839</v>
      </c>
      <c r="G74" t="str">
        <f>VLOOKUP(ClientDB[[#This Row],[Org Code]],Table2[],2,0)</f>
        <v>Zconnect, Inc</v>
      </c>
      <c r="H74" s="10" t="s">
        <v>26</v>
      </c>
      <c r="I74" s="10" t="str">
        <f>_xlfn.XLOOKUP(ClientDB[[#This Row],[Country Code]],Table3[[#All],[Country Codes]],Table3[[#All],[Country]],1,TRUE)</f>
        <v>Ukraine</v>
      </c>
      <c r="J74" s="15">
        <v>1</v>
      </c>
      <c r="K74" s="15" t="str">
        <f>IF(ClientDB[[#This Row],[Start Date]]&gt;=$U$14,"New","")</f>
        <v>New</v>
      </c>
      <c r="L74" s="15" t="str">
        <f>IF(OR(ClientDB[[#This Row],[Start Year]]&lt;2016,ClientDB[[#This Row],[Events]]&gt;=6),"Gift","")</f>
        <v/>
      </c>
      <c r="M7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74" s="15">
        <v>2</v>
      </c>
      <c r="O74" s="35">
        <f>IF(ClientDB[[#This Row],[Days]]=1,(ClientDB[[#This Row],[Days]]*$V$7),IF(ClientDB[[#This Row],[Days]]&gt;1,(ClientDB[[#This Row],[Days]]*$V$8),""))</f>
        <v>600</v>
      </c>
      <c r="P7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74" s="15" t="s">
        <v>899</v>
      </c>
      <c r="R74" s="15" t="str">
        <f>INDEX(Table4[[Regular]:[Special]],MATCH(ClientDB[[#Data],[Country Code]],Table4[[#Data],[Country]],0),MATCH(ClientDB[[#Data],[Meal]],Table4[[#Headers],[Regular]:[Special]],0))</f>
        <v>B</v>
      </c>
    </row>
    <row r="75" spans="1:18" x14ac:dyDescent="0.2">
      <c r="A75" s="10">
        <v>15378</v>
      </c>
      <c r="B75" t="s">
        <v>430</v>
      </c>
      <c r="C75" t="s">
        <v>431</v>
      </c>
      <c r="D75" s="18">
        <v>44035</v>
      </c>
      <c r="E75" s="34">
        <f>YEAR(ClientDB[[#This Row],[Start Date]])</f>
        <v>2020</v>
      </c>
      <c r="F75" t="s">
        <v>839</v>
      </c>
      <c r="G75" t="str">
        <f>VLOOKUP(ClientDB[[#This Row],[Org Code]],Table2[],2,0)</f>
        <v>Zconnect, Inc</v>
      </c>
      <c r="H75" s="10" t="s">
        <v>54</v>
      </c>
      <c r="I75" s="10" t="str">
        <f>_xlfn.XLOOKUP(ClientDB[[#This Row],[Country Code]],Table3[[#All],[Country Codes]],Table3[[#All],[Country]],1,TRUE)</f>
        <v>Romania</v>
      </c>
      <c r="J75" s="15">
        <v>2</v>
      </c>
      <c r="K75" s="15" t="str">
        <f>IF(ClientDB[[#This Row],[Start Date]]&gt;=$U$14,"New","")</f>
        <v>New</v>
      </c>
      <c r="L75" s="15" t="str">
        <f>IF(OR(ClientDB[[#This Row],[Start Year]]&lt;2016,ClientDB[[#This Row],[Events]]&gt;=6),"Gift","")</f>
        <v/>
      </c>
      <c r="M7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75" s="15">
        <v>3</v>
      </c>
      <c r="O75" s="35">
        <f>IF(ClientDB[[#This Row],[Days]]=1,(ClientDB[[#This Row],[Days]]*$V$7),IF(ClientDB[[#This Row],[Days]]&gt;1,(ClientDB[[#This Row],[Days]]*$V$8),""))</f>
        <v>900</v>
      </c>
      <c r="P7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75" s="15" t="s">
        <v>901</v>
      </c>
      <c r="R75" s="15" t="str">
        <f>INDEX(Table4[[Regular]:[Special]],MATCH(ClientDB[[#Data],[Country Code]],Table4[[#Data],[Country]],0),MATCH(ClientDB[[#Data],[Meal]],Table4[[#Headers],[Regular]:[Special]],0))</f>
        <v>G</v>
      </c>
    </row>
    <row r="76" spans="1:18" x14ac:dyDescent="0.2">
      <c r="A76" s="10">
        <v>15458</v>
      </c>
      <c r="B76" t="s">
        <v>31</v>
      </c>
      <c r="C76" t="s">
        <v>32</v>
      </c>
      <c r="D76" s="18">
        <v>43359</v>
      </c>
      <c r="E76" s="34">
        <f>YEAR(ClientDB[[#This Row],[Start Date]])</f>
        <v>2018</v>
      </c>
      <c r="F76" t="s">
        <v>795</v>
      </c>
      <c r="G76" t="str">
        <f>VLOOKUP(ClientDB[[#This Row],[Org Code]],Table2[],2,0)</f>
        <v>AHA Networks</v>
      </c>
      <c r="H76" s="10" t="s">
        <v>34</v>
      </c>
      <c r="I76" s="10" t="str">
        <f>_xlfn.XLOOKUP(ClientDB[[#This Row],[Country Code]],Table3[[#All],[Country Codes]],Table3[[#All],[Country]],1,TRUE)</f>
        <v>United States</v>
      </c>
      <c r="J76" s="15">
        <v>13</v>
      </c>
      <c r="K76" s="15" t="str">
        <f>IF(ClientDB[[#This Row],[Start Date]]&gt;=$U$14,"New","")</f>
        <v/>
      </c>
      <c r="L76" s="15" t="str">
        <f>IF(OR(ClientDB[[#This Row],[Start Year]]&lt;2016,ClientDB[[#This Row],[Events]]&gt;=6),"Gift","")</f>
        <v>Gift</v>
      </c>
      <c r="M76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76" s="15">
        <v>1</v>
      </c>
      <c r="O76" s="35">
        <f>IF(ClientDB[[#This Row],[Days]]=1,(ClientDB[[#This Row],[Days]]*$V$7),IF(ClientDB[[#This Row],[Days]]&gt;1,(ClientDB[[#This Row],[Days]]*$V$8),""))</f>
        <v>350</v>
      </c>
      <c r="P7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76" s="15" t="s">
        <v>902</v>
      </c>
      <c r="R76" s="15" t="str">
        <f>INDEX(Table4[[Regular]:[Special]],MATCH(ClientDB[[#Data],[Country Code]],Table4[[#Data],[Country]],0),MATCH(ClientDB[[#Data],[Meal]],Table4[[#Headers],[Regular]:[Special]],0))</f>
        <v>F</v>
      </c>
    </row>
    <row r="77" spans="1:18" x14ac:dyDescent="0.2">
      <c r="A77" s="10">
        <v>15513</v>
      </c>
      <c r="B77" t="s">
        <v>672</v>
      </c>
      <c r="C77" t="s">
        <v>673</v>
      </c>
      <c r="D77" s="18">
        <v>43518</v>
      </c>
      <c r="E77" s="34">
        <f>YEAR(ClientDB[[#This Row],[Start Date]])</f>
        <v>2019</v>
      </c>
      <c r="F77" t="s">
        <v>830</v>
      </c>
      <c r="G77" t="str">
        <f>VLOOKUP(ClientDB[[#This Row],[Org Code]],Table2[],2,0)</f>
        <v>Steps IT Training</v>
      </c>
      <c r="H77" s="10" t="s">
        <v>396</v>
      </c>
      <c r="I77" s="10" t="str">
        <f>_xlfn.XLOOKUP(ClientDB[[#This Row],[Country Code]],Table3[[#All],[Country Codes]],Table3[[#All],[Country]],1,TRUE)</f>
        <v>Lithuania</v>
      </c>
      <c r="J77" s="15">
        <v>4</v>
      </c>
      <c r="K77" s="15" t="str">
        <f>IF(ClientDB[[#This Row],[Start Date]]&gt;=$U$14,"New","")</f>
        <v/>
      </c>
      <c r="L77" s="15" t="str">
        <f>IF(OR(ClientDB[[#This Row],[Start Year]]&lt;2016,ClientDB[[#This Row],[Events]]&gt;=6),"Gift","")</f>
        <v/>
      </c>
      <c r="M7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77" s="15">
        <v>3</v>
      </c>
      <c r="O77" s="35">
        <f>IF(ClientDB[[#This Row],[Days]]=1,(ClientDB[[#This Row],[Days]]*$V$7),IF(ClientDB[[#This Row],[Days]]&gt;1,(ClientDB[[#This Row],[Days]]*$V$8),""))</f>
        <v>900</v>
      </c>
      <c r="P7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77" s="15" t="s">
        <v>899</v>
      </c>
      <c r="R77" s="15" t="str">
        <f>INDEX(Table4[[Regular]:[Special]],MATCH(ClientDB[[#Data],[Country Code]],Table4[[#Data],[Country]],0),MATCH(ClientDB[[#Data],[Meal]],Table4[[#Headers],[Regular]:[Special]],0))</f>
        <v>B</v>
      </c>
    </row>
    <row r="78" spans="1:18" x14ac:dyDescent="0.2">
      <c r="A78" s="10">
        <v>15627</v>
      </c>
      <c r="B78" t="s">
        <v>201</v>
      </c>
      <c r="C78" t="s">
        <v>202</v>
      </c>
      <c r="D78" s="18">
        <v>43936</v>
      </c>
      <c r="E78" s="34">
        <f>YEAR(ClientDB[[#This Row],[Start Date]])</f>
        <v>2020</v>
      </c>
      <c r="F78" t="s">
        <v>835</v>
      </c>
      <c r="G78" t="str">
        <f>VLOOKUP(ClientDB[[#This Row],[Org Code]],Table2[],2,0)</f>
        <v>West Telco</v>
      </c>
      <c r="H78" s="10" t="s">
        <v>203</v>
      </c>
      <c r="I78" s="10" t="str">
        <f>_xlfn.XLOOKUP(ClientDB[[#This Row],[Country Code]],Table3[[#All],[Country Codes]],Table3[[#All],[Country]],1,TRUE)</f>
        <v>Uganda</v>
      </c>
      <c r="J78" s="15">
        <v>3</v>
      </c>
      <c r="K78" s="15" t="str">
        <f>IF(ClientDB[[#This Row],[Start Date]]&gt;=$U$14,"New","")</f>
        <v>New</v>
      </c>
      <c r="L78" s="15" t="str">
        <f>IF(OR(ClientDB[[#This Row],[Start Year]]&lt;2016,ClientDB[[#This Row],[Events]]&gt;=6),"Gift","")</f>
        <v/>
      </c>
      <c r="M7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78" s="15">
        <v>1</v>
      </c>
      <c r="O78" s="35">
        <f>IF(ClientDB[[#This Row],[Days]]=1,(ClientDB[[#This Row],[Days]]*$V$7),IF(ClientDB[[#This Row],[Days]]&gt;1,(ClientDB[[#This Row],[Days]]*$V$8),""))</f>
        <v>350</v>
      </c>
      <c r="P7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78" s="15" t="s">
        <v>901</v>
      </c>
      <c r="R78" s="15" t="str">
        <f>INDEX(Table4[[Regular]:[Special]],MATCH(ClientDB[[#Data],[Country Code]],Table4[[#Data],[Country]],0),MATCH(ClientDB[[#Data],[Meal]],Table4[[#Headers],[Regular]:[Special]],0))</f>
        <v>G</v>
      </c>
    </row>
    <row r="79" spans="1:18" x14ac:dyDescent="0.2">
      <c r="A79" s="10">
        <v>15663</v>
      </c>
      <c r="B79" t="s">
        <v>312</v>
      </c>
      <c r="C79" t="s">
        <v>313</v>
      </c>
      <c r="D79" s="18">
        <v>43013</v>
      </c>
      <c r="E79" s="34">
        <f>YEAR(ClientDB[[#This Row],[Start Date]])</f>
        <v>2017</v>
      </c>
      <c r="F79" t="s">
        <v>838</v>
      </c>
      <c r="G79" t="str">
        <f>VLOOKUP(ClientDB[[#This Row],[Org Code]],Table2[],2,0)</f>
        <v>xLAN Internet Exchange</v>
      </c>
      <c r="H79" s="10" t="s">
        <v>34</v>
      </c>
      <c r="I79" s="10" t="str">
        <f>_xlfn.XLOOKUP(ClientDB[[#This Row],[Country Code]],Table3[[#All],[Country Codes]],Table3[[#All],[Country]],1,TRUE)</f>
        <v>United States</v>
      </c>
      <c r="J79" s="15">
        <v>5</v>
      </c>
      <c r="K79" s="15" t="str">
        <f>IF(ClientDB[[#This Row],[Start Date]]&gt;=$U$14,"New","")</f>
        <v/>
      </c>
      <c r="L79" s="15" t="str">
        <f>IF(OR(ClientDB[[#This Row],[Start Year]]&lt;2016,ClientDB[[#This Row],[Events]]&gt;=6),"Gift","")</f>
        <v/>
      </c>
      <c r="M7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79" s="15">
        <v>2</v>
      </c>
      <c r="O79" s="35">
        <f>IF(ClientDB[[#This Row],[Days]]=1,(ClientDB[[#This Row],[Days]]*$V$7),IF(ClientDB[[#This Row],[Days]]&gt;1,(ClientDB[[#This Row],[Days]]*$V$8),""))</f>
        <v>600</v>
      </c>
      <c r="P7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79" s="15" t="s">
        <v>901</v>
      </c>
      <c r="R79" s="15" t="str">
        <f>INDEX(Table4[[Regular]:[Special]],MATCH(ClientDB[[#Data],[Country Code]],Table4[[#Data],[Country]],0),MATCH(ClientDB[[#Data],[Meal]],Table4[[#Headers],[Regular]:[Special]],0))</f>
        <v>G</v>
      </c>
    </row>
    <row r="80" spans="1:18" x14ac:dyDescent="0.2">
      <c r="A80" s="10">
        <v>15843</v>
      </c>
      <c r="B80" t="s">
        <v>745</v>
      </c>
      <c r="C80" t="s">
        <v>746</v>
      </c>
      <c r="D80" s="18">
        <v>42305</v>
      </c>
      <c r="E80" s="34">
        <f>YEAR(ClientDB[[#This Row],[Start Date]])</f>
        <v>2015</v>
      </c>
      <c r="F80" t="s">
        <v>840</v>
      </c>
      <c r="G80" t="str">
        <f>VLOOKUP(ClientDB[[#This Row],[Org Code]],Table2[],2,0)</f>
        <v>Zim Sales</v>
      </c>
      <c r="H80" s="10" t="s">
        <v>340</v>
      </c>
      <c r="I80" s="10" t="str">
        <f>_xlfn.XLOOKUP(ClientDB[[#This Row],[Country Code]],Table3[[#All],[Country Codes]],Table3[[#All],[Country]],1,TRUE)</f>
        <v>Bulgaria</v>
      </c>
      <c r="J80" s="15">
        <v>10</v>
      </c>
      <c r="K80" s="15" t="str">
        <f>IF(ClientDB[[#This Row],[Start Date]]&gt;=$U$14,"New","")</f>
        <v/>
      </c>
      <c r="L80" s="15" t="str">
        <f>IF(OR(ClientDB[[#This Row],[Start Year]]&lt;2016,ClientDB[[#This Row],[Events]]&gt;=6),"Gift","")</f>
        <v>Gift</v>
      </c>
      <c r="M80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80" s="15">
        <v>1</v>
      </c>
      <c r="O80" s="35">
        <f>IF(ClientDB[[#This Row],[Days]]=1,(ClientDB[[#This Row],[Days]]*$V$7),IF(ClientDB[[#This Row],[Days]]&gt;1,(ClientDB[[#This Row],[Days]]*$V$8),""))</f>
        <v>350</v>
      </c>
      <c r="P8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80" s="15" t="s">
        <v>901</v>
      </c>
      <c r="R80" s="15" t="str">
        <f>INDEX(Table4[[Regular]:[Special]],MATCH(ClientDB[[#Data],[Country Code]],Table4[[#Data],[Country]],0),MATCH(ClientDB[[#Data],[Meal]],Table4[[#Headers],[Regular]:[Special]],0))</f>
        <v>D</v>
      </c>
    </row>
    <row r="81" spans="1:18" x14ac:dyDescent="0.2">
      <c r="A81" s="10">
        <v>15866</v>
      </c>
      <c r="B81" t="s">
        <v>675</v>
      </c>
      <c r="C81" t="s">
        <v>676</v>
      </c>
      <c r="D81" s="18">
        <v>43115</v>
      </c>
      <c r="E81" s="34">
        <f>YEAR(ClientDB[[#This Row],[Start Date]])</f>
        <v>2018</v>
      </c>
      <c r="F81" t="s">
        <v>803</v>
      </c>
      <c r="G81" t="str">
        <f>VLOOKUP(ClientDB[[#This Row],[Org Code]],Table2[],2,0)</f>
        <v>CTX</v>
      </c>
      <c r="H81" s="10" t="s">
        <v>274</v>
      </c>
      <c r="I81" s="10" t="str">
        <f>_xlfn.XLOOKUP(ClientDB[[#This Row],[Country Code]],Table3[[#All],[Country Codes]],Table3[[#All],[Country]],1,TRUE)</f>
        <v>Spain</v>
      </c>
      <c r="J81" s="15">
        <v>14</v>
      </c>
      <c r="K81" s="15" t="str">
        <f>IF(ClientDB[[#This Row],[Start Date]]&gt;=$U$14,"New","")</f>
        <v/>
      </c>
      <c r="L81" s="15" t="str">
        <f>IF(OR(ClientDB[[#This Row],[Start Year]]&lt;2016,ClientDB[[#This Row],[Events]]&gt;=6),"Gift","")</f>
        <v>Gift</v>
      </c>
      <c r="M81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81" s="15">
        <v>1</v>
      </c>
      <c r="O81" s="35">
        <f>IF(ClientDB[[#This Row],[Days]]=1,(ClientDB[[#This Row],[Days]]*$V$7),IF(ClientDB[[#This Row],[Days]]&gt;1,(ClientDB[[#This Row],[Days]]*$V$8),""))</f>
        <v>350</v>
      </c>
      <c r="P8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81" s="15" t="s">
        <v>902</v>
      </c>
      <c r="R81" s="15" t="str">
        <f>INDEX(Table4[[Regular]:[Special]],MATCH(ClientDB[[#Data],[Country Code]],Table4[[#Data],[Country]],0),MATCH(ClientDB[[#Data],[Meal]],Table4[[#Headers],[Regular]:[Special]],0))</f>
        <v>B</v>
      </c>
    </row>
    <row r="82" spans="1:18" x14ac:dyDescent="0.2">
      <c r="A82" s="10">
        <v>15895</v>
      </c>
      <c r="B82" t="s">
        <v>159</v>
      </c>
      <c r="C82" t="s">
        <v>160</v>
      </c>
      <c r="D82" s="18">
        <v>42858</v>
      </c>
      <c r="E82" s="34">
        <f>YEAR(ClientDB[[#This Row],[Start Date]])</f>
        <v>2017</v>
      </c>
      <c r="F82" t="s">
        <v>827</v>
      </c>
      <c r="G82" t="str">
        <f>VLOOKUP(ClientDB[[#This Row],[Org Code]],Table2[],2,0)</f>
        <v>Ripple Com</v>
      </c>
      <c r="H82" s="10" t="s">
        <v>15</v>
      </c>
      <c r="I82" s="10" t="str">
        <f>_xlfn.XLOOKUP(ClientDB[[#This Row],[Country Code]],Table3[[#All],[Country Codes]],Table3[[#All],[Country]],1,TRUE)</f>
        <v>United Kingdom</v>
      </c>
      <c r="J82" s="15">
        <v>11</v>
      </c>
      <c r="K82" s="15" t="str">
        <f>IF(ClientDB[[#This Row],[Start Date]]&gt;=$U$14,"New","")</f>
        <v/>
      </c>
      <c r="L82" s="15" t="str">
        <f>IF(OR(ClientDB[[#This Row],[Start Year]]&lt;2016,ClientDB[[#This Row],[Events]]&gt;=6),"Gift","")</f>
        <v>Gift</v>
      </c>
      <c r="M82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82" s="15">
        <v>2</v>
      </c>
      <c r="O82" s="35">
        <f>IF(ClientDB[[#This Row],[Days]]=1,(ClientDB[[#This Row],[Days]]*$V$7),IF(ClientDB[[#This Row],[Days]]&gt;1,(ClientDB[[#This Row],[Days]]*$V$8),""))</f>
        <v>600</v>
      </c>
      <c r="P8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82" s="15" t="s">
        <v>901</v>
      </c>
      <c r="R82" s="15" t="str">
        <f>INDEX(Table4[[Regular]:[Special]],MATCH(ClientDB[[#Data],[Country Code]],Table4[[#Data],[Country]],0),MATCH(ClientDB[[#Data],[Meal]],Table4[[#Headers],[Regular]:[Special]],0))</f>
        <v>E</v>
      </c>
    </row>
    <row r="83" spans="1:18" x14ac:dyDescent="0.2">
      <c r="A83" s="10">
        <v>15928</v>
      </c>
      <c r="B83" t="s">
        <v>495</v>
      </c>
      <c r="C83" t="s">
        <v>496</v>
      </c>
      <c r="D83" s="18">
        <v>42474</v>
      </c>
      <c r="E83" s="34">
        <f>YEAR(ClientDB[[#This Row],[Start Date]])</f>
        <v>2016</v>
      </c>
      <c r="F83" t="s">
        <v>808</v>
      </c>
      <c r="G83" t="str">
        <f>VLOOKUP(ClientDB[[#This Row],[Org Code]],Table2[],2,0)</f>
        <v>Ebony Telecoms</v>
      </c>
      <c r="H83" s="10" t="s">
        <v>38</v>
      </c>
      <c r="I83" s="10" t="str">
        <f>_xlfn.XLOOKUP(ClientDB[[#This Row],[Country Code]],Table3[[#All],[Country Codes]],Table3[[#All],[Country]],1,TRUE)</f>
        <v>Czech Republic</v>
      </c>
      <c r="J83" s="15">
        <v>7</v>
      </c>
      <c r="K83" s="15" t="str">
        <f>IF(ClientDB[[#This Row],[Start Date]]&gt;=$U$14,"New","")</f>
        <v/>
      </c>
      <c r="L83" s="15" t="str">
        <f>IF(OR(ClientDB[[#This Row],[Start Year]]&lt;2016,ClientDB[[#This Row],[Events]]&gt;=6),"Gift","")</f>
        <v>Gift</v>
      </c>
      <c r="M8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83" s="15">
        <v>3</v>
      </c>
      <c r="O83" s="35">
        <f>IF(ClientDB[[#This Row],[Days]]=1,(ClientDB[[#This Row],[Days]]*$V$7),IF(ClientDB[[#This Row],[Days]]&gt;1,(ClientDB[[#This Row],[Days]]*$V$8),""))</f>
        <v>900</v>
      </c>
      <c r="P8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83" s="15" t="s">
        <v>899</v>
      </c>
      <c r="R83" s="15" t="str">
        <f>INDEX(Table4[[Regular]:[Special]],MATCH(ClientDB[[#Data],[Country Code]],Table4[[#Data],[Country]],0),MATCH(ClientDB[[#Data],[Meal]],Table4[[#Headers],[Regular]:[Special]],0))</f>
        <v>A</v>
      </c>
    </row>
    <row r="84" spans="1:18" x14ac:dyDescent="0.2">
      <c r="A84" s="10">
        <v>15957</v>
      </c>
      <c r="B84" t="s">
        <v>616</v>
      </c>
      <c r="C84" t="s">
        <v>617</v>
      </c>
      <c r="D84" s="18">
        <v>43932</v>
      </c>
      <c r="E84" s="34">
        <f>YEAR(ClientDB[[#This Row],[Start Date]])</f>
        <v>2020</v>
      </c>
      <c r="F84" t="s">
        <v>837</v>
      </c>
      <c r="G84" t="str">
        <f>VLOOKUP(ClientDB[[#This Row],[Org Code]],Table2[],2,0)</f>
        <v>WWT</v>
      </c>
      <c r="H84" s="10" t="s">
        <v>7</v>
      </c>
      <c r="I84" s="10" t="str">
        <f>_xlfn.XLOOKUP(ClientDB[[#This Row],[Country Code]],Table3[[#All],[Country Codes]],Table3[[#All],[Country]],1,TRUE)</f>
        <v>Iran</v>
      </c>
      <c r="J84" s="15">
        <v>12</v>
      </c>
      <c r="K84" s="15" t="str">
        <f>IF(ClientDB[[#This Row],[Start Date]]&gt;=$U$14,"New","")</f>
        <v>New</v>
      </c>
      <c r="L84" s="15" t="str">
        <f>IF(OR(ClientDB[[#This Row],[Start Year]]&lt;2016,ClientDB[[#This Row],[Events]]&gt;=6),"Gift","")</f>
        <v>Gift</v>
      </c>
      <c r="M84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84" s="15">
        <v>3</v>
      </c>
      <c r="O84" s="35">
        <f>IF(ClientDB[[#This Row],[Days]]=1,(ClientDB[[#This Row],[Days]]*$V$7),IF(ClientDB[[#This Row],[Days]]&gt;1,(ClientDB[[#This Row],[Days]]*$V$8),""))</f>
        <v>900</v>
      </c>
      <c r="P8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84" s="15" t="s">
        <v>901</v>
      </c>
      <c r="R84" s="15" t="str">
        <f>INDEX(Table4[[Regular]:[Special]],MATCH(ClientDB[[#Data],[Country Code]],Table4[[#Data],[Country]],0),MATCH(ClientDB[[#Data],[Meal]],Table4[[#Headers],[Regular]:[Special]],0))</f>
        <v>F</v>
      </c>
    </row>
    <row r="85" spans="1:18" x14ac:dyDescent="0.2">
      <c r="A85" s="10">
        <v>16000</v>
      </c>
      <c r="B85" t="s">
        <v>593</v>
      </c>
      <c r="C85" t="s">
        <v>594</v>
      </c>
      <c r="D85" s="18">
        <v>41550</v>
      </c>
      <c r="E85" s="34">
        <f>YEAR(ClientDB[[#This Row],[Start Date]])</f>
        <v>2013</v>
      </c>
      <c r="F85" t="s">
        <v>814</v>
      </c>
      <c r="G85" t="str">
        <f>VLOOKUP(ClientDB[[#This Row],[Org Code]],Table2[],2,0)</f>
        <v>ICANT</v>
      </c>
      <c r="H85" s="10" t="s">
        <v>59</v>
      </c>
      <c r="I85" s="10" t="str">
        <f>_xlfn.XLOOKUP(ClientDB[[#This Row],[Country Code]],Table3[[#All],[Country Codes]],Table3[[#All],[Country]],1,TRUE)</f>
        <v>Netherlands</v>
      </c>
      <c r="J85" s="15">
        <v>37</v>
      </c>
      <c r="K85" s="15" t="str">
        <f>IF(ClientDB[[#This Row],[Start Date]]&gt;=$U$14,"New","")</f>
        <v/>
      </c>
      <c r="L85" s="15" t="str">
        <f>IF(OR(ClientDB[[#This Row],[Start Year]]&lt;2016,ClientDB[[#This Row],[Events]]&gt;=6),"Gift","")</f>
        <v>Gift</v>
      </c>
      <c r="M85" s="15" t="str">
        <f>IF(AND(ClientDB[Events]&gt;0,ClientDB[Events]&lt;10),"Bronze",IF(AND(ClientDB[Events]&gt;9,ClientDB[Events]&lt;20),"Silver",IF(AND(ClientDB[Events]&gt;19,ClientDB[Events]&lt;30),"Gold",IF(ClientDB[Events]&gt;30,"Platinum",""))))</f>
        <v>Platinum</v>
      </c>
      <c r="N85" s="15">
        <v>2</v>
      </c>
      <c r="O85" s="35">
        <f>IF(ClientDB[[#This Row],[Days]]=1,(ClientDB[[#This Row],[Days]]*$V$7),IF(ClientDB[[#This Row],[Days]]&gt;1,(ClientDB[[#This Row],[Days]]*$V$8),""))</f>
        <v>600</v>
      </c>
      <c r="P8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85" s="15" t="s">
        <v>902</v>
      </c>
      <c r="R85" s="15" t="str">
        <f>INDEX(Table4[[Regular]:[Special]],MATCH(ClientDB[[#Data],[Country Code]],Table4[[#Data],[Country]],0),MATCH(ClientDB[[#Data],[Meal]],Table4[[#Headers],[Regular]:[Special]],0))</f>
        <v>C</v>
      </c>
    </row>
    <row r="86" spans="1:18" x14ac:dyDescent="0.2">
      <c r="A86" s="10">
        <v>16152</v>
      </c>
      <c r="B86" t="s">
        <v>35</v>
      </c>
      <c r="C86" t="s">
        <v>36</v>
      </c>
      <c r="D86" s="18">
        <v>43673</v>
      </c>
      <c r="E86" s="34">
        <f>YEAR(ClientDB[[#This Row],[Start Date]])</f>
        <v>2019</v>
      </c>
      <c r="F86" t="s">
        <v>824</v>
      </c>
      <c r="G86" t="str">
        <f>VLOOKUP(ClientDB[[#This Row],[Org Code]],Table2[],2,0)</f>
        <v>Pink Cloud Networks</v>
      </c>
      <c r="H86" s="10" t="s">
        <v>38</v>
      </c>
      <c r="I86" s="10" t="str">
        <f>_xlfn.XLOOKUP(ClientDB[[#This Row],[Country Code]],Table3[[#All],[Country Codes]],Table3[[#All],[Country]],1,TRUE)</f>
        <v>Czech Republic</v>
      </c>
      <c r="J86" s="15">
        <v>19</v>
      </c>
      <c r="K86" s="15" t="str">
        <f>IF(ClientDB[[#This Row],[Start Date]]&gt;=$U$14,"New","")</f>
        <v/>
      </c>
      <c r="L86" s="15" t="str">
        <f>IF(OR(ClientDB[[#This Row],[Start Year]]&lt;2016,ClientDB[[#This Row],[Events]]&gt;=6),"Gift","")</f>
        <v>Gift</v>
      </c>
      <c r="M86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86" s="15">
        <v>2</v>
      </c>
      <c r="O86" s="35">
        <f>IF(ClientDB[[#This Row],[Days]]=1,(ClientDB[[#This Row],[Days]]*$V$7),IF(ClientDB[[#This Row],[Days]]&gt;1,(ClientDB[[#This Row],[Days]]*$V$8),""))</f>
        <v>600</v>
      </c>
      <c r="P8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86" s="15" t="s">
        <v>902</v>
      </c>
      <c r="R86" s="15" t="str">
        <f>INDEX(Table4[[Regular]:[Special]],MATCH(ClientDB[[#Data],[Country Code]],Table4[[#Data],[Country]],0),MATCH(ClientDB[[#Data],[Meal]],Table4[[#Headers],[Regular]:[Special]],0))</f>
        <v>B</v>
      </c>
    </row>
    <row r="87" spans="1:18" x14ac:dyDescent="0.2">
      <c r="A87" s="10">
        <v>16316</v>
      </c>
      <c r="B87" t="s">
        <v>189</v>
      </c>
      <c r="C87" t="s">
        <v>719</v>
      </c>
      <c r="D87" s="18">
        <v>43063</v>
      </c>
      <c r="E87" s="34">
        <f>YEAR(ClientDB[[#This Row],[Start Date]])</f>
        <v>2017</v>
      </c>
      <c r="F87" t="s">
        <v>797</v>
      </c>
      <c r="G87" t="str">
        <f>VLOOKUP(ClientDB[[#This Row],[Org Code]],Table2[],2,0)</f>
        <v>ASET PLC</v>
      </c>
      <c r="H87" s="10" t="s">
        <v>7</v>
      </c>
      <c r="I87" s="10" t="str">
        <f>_xlfn.XLOOKUP(ClientDB[[#This Row],[Country Code]],Table3[[#All],[Country Codes]],Table3[[#All],[Country]],1,TRUE)</f>
        <v>Iran</v>
      </c>
      <c r="J87" s="15">
        <v>8</v>
      </c>
      <c r="K87" s="15" t="str">
        <f>IF(ClientDB[[#This Row],[Start Date]]&gt;=$U$14,"New","")</f>
        <v/>
      </c>
      <c r="L87" s="15" t="str">
        <f>IF(OR(ClientDB[[#This Row],[Start Year]]&lt;2016,ClientDB[[#This Row],[Events]]&gt;=6),"Gift","")</f>
        <v>Gift</v>
      </c>
      <c r="M8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87" s="15">
        <v>3</v>
      </c>
      <c r="O87" s="35">
        <f>IF(ClientDB[[#This Row],[Days]]=1,(ClientDB[[#This Row],[Days]]*$V$7),IF(ClientDB[[#This Row],[Days]]&gt;1,(ClientDB[[#This Row],[Days]]*$V$8),""))</f>
        <v>900</v>
      </c>
      <c r="P8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87" s="15" t="s">
        <v>900</v>
      </c>
      <c r="R87" s="15" t="str">
        <f>INDEX(Table4[[Regular]:[Special]],MATCH(ClientDB[[#Data],[Country Code]],Table4[[#Data],[Country]],0),MATCH(ClientDB[[#Data],[Meal]],Table4[[#Headers],[Regular]:[Special]],0))</f>
        <v>A</v>
      </c>
    </row>
    <row r="88" spans="1:18" x14ac:dyDescent="0.2">
      <c r="A88" s="10">
        <v>16399</v>
      </c>
      <c r="B88" t="s">
        <v>336</v>
      </c>
      <c r="C88" t="s">
        <v>337</v>
      </c>
      <c r="D88" s="18">
        <v>42193</v>
      </c>
      <c r="E88" s="34">
        <f>YEAR(ClientDB[[#This Row],[Start Date]])</f>
        <v>2015</v>
      </c>
      <c r="F88" t="s">
        <v>823</v>
      </c>
      <c r="G88" t="str">
        <f>VLOOKUP(ClientDB[[#This Row],[Org Code]],Table2[],2,0)</f>
        <v>Pilco Streambank</v>
      </c>
      <c r="H88" s="10" t="s">
        <v>155</v>
      </c>
      <c r="I88" s="10" t="str">
        <f>_xlfn.XLOOKUP(ClientDB[[#This Row],[Country Code]],Table3[[#All],[Country Codes]],Table3[[#All],[Country]],1,TRUE)</f>
        <v>United Arab Emirates</v>
      </c>
      <c r="J88" s="15">
        <v>2</v>
      </c>
      <c r="K88" s="15" t="str">
        <f>IF(ClientDB[[#This Row],[Start Date]]&gt;=$U$14,"New","")</f>
        <v/>
      </c>
      <c r="L88" s="15" t="str">
        <f>IF(OR(ClientDB[[#This Row],[Start Year]]&lt;2016,ClientDB[[#This Row],[Events]]&gt;=6),"Gift","")</f>
        <v>Gift</v>
      </c>
      <c r="M8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88" s="15">
        <v>3</v>
      </c>
      <c r="O88" s="35">
        <f>IF(ClientDB[[#This Row],[Days]]=1,(ClientDB[[#This Row],[Days]]*$V$7),IF(ClientDB[[#This Row],[Days]]&gt;1,(ClientDB[[#This Row],[Days]]*$V$8),""))</f>
        <v>900</v>
      </c>
      <c r="P8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88" s="15" t="s">
        <v>899</v>
      </c>
      <c r="R88" s="15" t="str">
        <f>INDEX(Table4[[Regular]:[Special]],MATCH(ClientDB[[#Data],[Country Code]],Table4[[#Data],[Country]],0),MATCH(ClientDB[[#Data],[Meal]],Table4[[#Headers],[Regular]:[Special]],0))</f>
        <v>A</v>
      </c>
    </row>
    <row r="89" spans="1:18" x14ac:dyDescent="0.2">
      <c r="A89" s="10">
        <v>16572</v>
      </c>
      <c r="B89" t="s">
        <v>150</v>
      </c>
      <c r="C89" t="s">
        <v>151</v>
      </c>
      <c r="D89" s="18">
        <v>42342</v>
      </c>
      <c r="E89" s="34">
        <f>YEAR(ClientDB[[#This Row],[Start Date]])</f>
        <v>2015</v>
      </c>
      <c r="F89" t="s">
        <v>817</v>
      </c>
      <c r="G89" t="str">
        <f>VLOOKUP(ClientDB[[#This Row],[Org Code]],Table2[],2,0)</f>
        <v>LACNE</v>
      </c>
      <c r="H89" s="10" t="s">
        <v>15</v>
      </c>
      <c r="I89" s="10" t="str">
        <f>_xlfn.XLOOKUP(ClientDB[[#This Row],[Country Code]],Table3[[#All],[Country Codes]],Table3[[#All],[Country]],1,TRUE)</f>
        <v>United Kingdom</v>
      </c>
      <c r="J89" s="15">
        <v>30</v>
      </c>
      <c r="K89" s="15" t="str">
        <f>IF(ClientDB[[#This Row],[Start Date]]&gt;=$U$14,"New","")</f>
        <v/>
      </c>
      <c r="L89" s="15" t="str">
        <f>IF(OR(ClientDB[[#This Row],[Start Year]]&lt;2016,ClientDB[[#This Row],[Events]]&gt;=6),"Gift","")</f>
        <v>Gift</v>
      </c>
      <c r="M89" s="15" t="str">
        <f>IF(AND(ClientDB[Events]&gt;0,ClientDB[Events]&lt;10),"Bronze",IF(AND(ClientDB[Events]&gt;9,ClientDB[Events]&lt;20),"Silver",IF(AND(ClientDB[Events]&gt;19,ClientDB[Events]&lt;30),"Gold",IF(ClientDB[Events]&gt;30,"Platinum",""))))</f>
        <v/>
      </c>
      <c r="N89" s="15">
        <v>2</v>
      </c>
      <c r="O89" s="35">
        <f>IF(ClientDB[[#This Row],[Days]]=1,(ClientDB[[#This Row],[Days]]*$V$7),IF(ClientDB[[#This Row],[Days]]&gt;1,(ClientDB[[#This Row],[Days]]*$V$8),""))</f>
        <v>600</v>
      </c>
      <c r="P8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89" s="15" t="s">
        <v>902</v>
      </c>
      <c r="R89" s="15" t="str">
        <f>INDEX(Table4[[Regular]:[Special]],MATCH(ClientDB[[#Data],[Country Code]],Table4[[#Data],[Country]],0),MATCH(ClientDB[[#Data],[Meal]],Table4[[#Headers],[Regular]:[Special]],0))</f>
        <v>B</v>
      </c>
    </row>
    <row r="90" spans="1:18" x14ac:dyDescent="0.2">
      <c r="A90" s="10">
        <v>16755</v>
      </c>
      <c r="B90" t="s">
        <v>323</v>
      </c>
      <c r="C90" t="s">
        <v>324</v>
      </c>
      <c r="D90" s="18">
        <v>43418</v>
      </c>
      <c r="E90" s="34">
        <f>YEAR(ClientDB[[#This Row],[Start Date]])</f>
        <v>2018</v>
      </c>
      <c r="F90" t="s">
        <v>807</v>
      </c>
      <c r="G90" t="str">
        <f>VLOOKUP(ClientDB[[#This Row],[Org Code]],Table2[],2,0)</f>
        <v>Duet</v>
      </c>
      <c r="H90" s="10" t="s">
        <v>325</v>
      </c>
      <c r="I90" s="10" t="str">
        <f>_xlfn.XLOOKUP(ClientDB[[#This Row],[Country Code]],Table3[[#All],[Country Codes]],Table3[[#All],[Country]],1,TRUE)</f>
        <v>New Zealand</v>
      </c>
      <c r="J90" s="15">
        <v>8</v>
      </c>
      <c r="K90" s="15" t="str">
        <f>IF(ClientDB[[#This Row],[Start Date]]&gt;=$U$14,"New","")</f>
        <v/>
      </c>
      <c r="L90" s="15" t="str">
        <f>IF(OR(ClientDB[[#This Row],[Start Year]]&lt;2016,ClientDB[[#This Row],[Events]]&gt;=6),"Gift","")</f>
        <v>Gift</v>
      </c>
      <c r="M9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90" s="15">
        <v>2</v>
      </c>
      <c r="O90" s="35">
        <f>IF(ClientDB[[#This Row],[Days]]=1,(ClientDB[[#This Row],[Days]]*$V$7),IF(ClientDB[[#This Row],[Days]]&gt;1,(ClientDB[[#This Row],[Days]]*$V$8),""))</f>
        <v>600</v>
      </c>
      <c r="P9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90" s="15" t="s">
        <v>899</v>
      </c>
      <c r="R90" s="15" t="str">
        <f>INDEX(Table4[[Regular]:[Special]],MATCH(ClientDB[[#Data],[Country Code]],Table4[[#Data],[Country]],0),MATCH(ClientDB[[#Data],[Meal]],Table4[[#Headers],[Regular]:[Special]],0))</f>
        <v>B</v>
      </c>
    </row>
    <row r="91" spans="1:18" x14ac:dyDescent="0.2">
      <c r="A91" s="10">
        <v>16823</v>
      </c>
      <c r="B91" t="s">
        <v>705</v>
      </c>
      <c r="C91" t="s">
        <v>706</v>
      </c>
      <c r="D91" s="18">
        <v>42202</v>
      </c>
      <c r="E91" s="34">
        <f>YEAR(ClientDB[[#This Row],[Start Date]])</f>
        <v>2015</v>
      </c>
      <c r="F91" t="s">
        <v>840</v>
      </c>
      <c r="G91" t="str">
        <f>VLOOKUP(ClientDB[[#This Row],[Org Code]],Table2[],2,0)</f>
        <v>Zim Sales</v>
      </c>
      <c r="H91" s="10" t="s">
        <v>46</v>
      </c>
      <c r="I91" s="10" t="str">
        <f>_xlfn.XLOOKUP(ClientDB[[#This Row],[Country Code]],Table3[[#All],[Country Codes]],Table3[[#All],[Country]],1,TRUE)</f>
        <v>Germany</v>
      </c>
      <c r="J91" s="15">
        <v>16</v>
      </c>
      <c r="K91" s="15" t="str">
        <f>IF(ClientDB[[#This Row],[Start Date]]&gt;=$U$14,"New","")</f>
        <v/>
      </c>
      <c r="L91" s="15" t="str">
        <f>IF(OR(ClientDB[[#This Row],[Start Year]]&lt;2016,ClientDB[[#This Row],[Events]]&gt;=6),"Gift","")</f>
        <v>Gift</v>
      </c>
      <c r="M91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91" s="15">
        <v>3</v>
      </c>
      <c r="O91" s="35">
        <f>IF(ClientDB[[#This Row],[Days]]=1,(ClientDB[[#This Row],[Days]]*$V$7),IF(ClientDB[[#This Row],[Days]]&gt;1,(ClientDB[[#This Row],[Days]]*$V$8),""))</f>
        <v>900</v>
      </c>
      <c r="P9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91" s="15" t="s">
        <v>901</v>
      </c>
      <c r="R91" s="15" t="str">
        <f>INDEX(Table4[[Regular]:[Special]],MATCH(ClientDB[[#Data],[Country Code]],Table4[[#Data],[Country]],0),MATCH(ClientDB[[#Data],[Meal]],Table4[[#Headers],[Regular]:[Special]],0))</f>
        <v>D</v>
      </c>
    </row>
    <row r="92" spans="1:18" x14ac:dyDescent="0.2">
      <c r="A92" s="10">
        <v>16991</v>
      </c>
      <c r="B92" t="s">
        <v>278</v>
      </c>
      <c r="C92" t="s">
        <v>279</v>
      </c>
      <c r="D92" s="18">
        <v>43326</v>
      </c>
      <c r="E92" s="34">
        <f>YEAR(ClientDB[[#This Row],[Start Date]])</f>
        <v>2018</v>
      </c>
      <c r="F92" t="s">
        <v>827</v>
      </c>
      <c r="G92" t="str">
        <f>VLOOKUP(ClientDB[[#This Row],[Org Code]],Table2[],2,0)</f>
        <v>Ripple Com</v>
      </c>
      <c r="H92" s="10" t="s">
        <v>34</v>
      </c>
      <c r="I92" s="10" t="str">
        <f>_xlfn.XLOOKUP(ClientDB[[#This Row],[Country Code]],Table3[[#All],[Country Codes]],Table3[[#All],[Country]],1,TRUE)</f>
        <v>United States</v>
      </c>
      <c r="J92" s="15">
        <v>19</v>
      </c>
      <c r="K92" s="15" t="str">
        <f>IF(ClientDB[[#This Row],[Start Date]]&gt;=$U$14,"New","")</f>
        <v/>
      </c>
      <c r="L92" s="15" t="str">
        <f>IF(OR(ClientDB[[#This Row],[Start Year]]&lt;2016,ClientDB[[#This Row],[Events]]&gt;=6),"Gift","")</f>
        <v>Gift</v>
      </c>
      <c r="M92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92" s="15">
        <v>2</v>
      </c>
      <c r="O92" s="35">
        <f>IF(ClientDB[[#This Row],[Days]]=1,(ClientDB[[#This Row],[Days]]*$V$7),IF(ClientDB[[#This Row],[Days]]&gt;1,(ClientDB[[#This Row],[Days]]*$V$8),""))</f>
        <v>600</v>
      </c>
      <c r="P9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92" s="15" t="s">
        <v>900</v>
      </c>
      <c r="R92" s="15" t="str">
        <f>INDEX(Table4[[Regular]:[Special]],MATCH(ClientDB[[#Data],[Country Code]],Table4[[#Data],[Country]],0),MATCH(ClientDB[[#Data],[Meal]],Table4[[#Headers],[Regular]:[Special]],0))</f>
        <v>F</v>
      </c>
    </row>
    <row r="93" spans="1:18" x14ac:dyDescent="0.2">
      <c r="A93" s="10">
        <v>17020</v>
      </c>
      <c r="B93" t="s">
        <v>478</v>
      </c>
      <c r="C93" t="s">
        <v>479</v>
      </c>
      <c r="D93" s="18">
        <v>42666</v>
      </c>
      <c r="E93" s="34">
        <f>YEAR(ClientDB[[#This Row],[Start Date]])</f>
        <v>2016</v>
      </c>
      <c r="F93" t="s">
        <v>822</v>
      </c>
      <c r="G93" t="str">
        <f>VLOOKUP(ClientDB[[#This Row],[Org Code]],Table2[],2,0)</f>
        <v>PicSure</v>
      </c>
      <c r="H93" s="10" t="s">
        <v>59</v>
      </c>
      <c r="I93" s="10" t="str">
        <f>_xlfn.XLOOKUP(ClientDB[[#This Row],[Country Code]],Table3[[#All],[Country Codes]],Table3[[#All],[Country]],1,TRUE)</f>
        <v>Netherlands</v>
      </c>
      <c r="J93" s="15">
        <v>2</v>
      </c>
      <c r="K93" s="15" t="str">
        <f>IF(ClientDB[[#This Row],[Start Date]]&gt;=$U$14,"New","")</f>
        <v/>
      </c>
      <c r="L93" s="15" t="str">
        <f>IF(OR(ClientDB[[#This Row],[Start Year]]&lt;2016,ClientDB[[#This Row],[Events]]&gt;=6),"Gift","")</f>
        <v/>
      </c>
      <c r="M9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93" s="15">
        <v>2</v>
      </c>
      <c r="O93" s="35">
        <f>IF(ClientDB[[#This Row],[Days]]=1,(ClientDB[[#This Row],[Days]]*$V$7),IF(ClientDB[[#This Row],[Days]]&gt;1,(ClientDB[[#This Row],[Days]]*$V$8),""))</f>
        <v>600</v>
      </c>
      <c r="P9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93" s="15" t="s">
        <v>901</v>
      </c>
      <c r="R93" s="15" t="str">
        <f>INDEX(Table4[[Regular]:[Special]],MATCH(ClientDB[[#Data],[Country Code]],Table4[[#Data],[Country]],0),MATCH(ClientDB[[#Data],[Meal]],Table4[[#Headers],[Regular]:[Special]],0))</f>
        <v>F</v>
      </c>
    </row>
    <row r="94" spans="1:18" x14ac:dyDescent="0.2">
      <c r="A94" s="10">
        <v>17050</v>
      </c>
      <c r="B94" t="s">
        <v>754</v>
      </c>
      <c r="C94" t="s">
        <v>755</v>
      </c>
      <c r="D94" s="18">
        <v>42380</v>
      </c>
      <c r="E94" s="34">
        <f>YEAR(ClientDB[[#This Row],[Start Date]])</f>
        <v>2016</v>
      </c>
      <c r="F94" t="s">
        <v>827</v>
      </c>
      <c r="G94" t="str">
        <f>VLOOKUP(ClientDB[[#This Row],[Org Code]],Table2[],2,0)</f>
        <v>Ripple Com</v>
      </c>
      <c r="H94" s="10" t="s">
        <v>15</v>
      </c>
      <c r="I94" s="10" t="str">
        <f>_xlfn.XLOOKUP(ClientDB[[#This Row],[Country Code]],Table3[[#All],[Country Codes]],Table3[[#All],[Country]],1,TRUE)</f>
        <v>United Kingdom</v>
      </c>
      <c r="J94" s="15">
        <v>12</v>
      </c>
      <c r="K94" s="15" t="str">
        <f>IF(ClientDB[[#This Row],[Start Date]]&gt;=$U$14,"New","")</f>
        <v/>
      </c>
      <c r="L94" s="15" t="str">
        <f>IF(OR(ClientDB[[#This Row],[Start Year]]&lt;2016,ClientDB[[#This Row],[Events]]&gt;=6),"Gift","")</f>
        <v>Gift</v>
      </c>
      <c r="M94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94" s="15">
        <v>1</v>
      </c>
      <c r="O94" s="35">
        <f>IF(ClientDB[[#This Row],[Days]]=1,(ClientDB[[#This Row],[Days]]*$V$7),IF(ClientDB[[#This Row],[Days]]&gt;1,(ClientDB[[#This Row],[Days]]*$V$8),""))</f>
        <v>350</v>
      </c>
      <c r="P9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94" s="15" t="s">
        <v>899</v>
      </c>
      <c r="R94" s="15" t="str">
        <f>INDEX(Table4[[Regular]:[Special]],MATCH(ClientDB[[#Data],[Country Code]],Table4[[#Data],[Country]],0),MATCH(ClientDB[[#Data],[Meal]],Table4[[#Headers],[Regular]:[Special]],0))</f>
        <v>A</v>
      </c>
    </row>
    <row r="95" spans="1:18" x14ac:dyDescent="0.2">
      <c r="A95" s="10">
        <v>17091</v>
      </c>
      <c r="B95" t="s">
        <v>665</v>
      </c>
      <c r="C95" t="s">
        <v>666</v>
      </c>
      <c r="D95" s="18">
        <v>42197</v>
      </c>
      <c r="E95" s="34">
        <f>YEAR(ClientDB[[#This Row],[Start Date]])</f>
        <v>2015</v>
      </c>
      <c r="F95" t="s">
        <v>818</v>
      </c>
      <c r="G95" t="str">
        <f>VLOOKUP(ClientDB[[#This Row],[Org Code]],Table2[],2,0)</f>
        <v>Mojbal</v>
      </c>
      <c r="H95" s="10" t="s">
        <v>34</v>
      </c>
      <c r="I95" s="10" t="str">
        <f>_xlfn.XLOOKUP(ClientDB[[#This Row],[Country Code]],Table3[[#All],[Country Codes]],Table3[[#All],[Country]],1,TRUE)</f>
        <v>United States</v>
      </c>
      <c r="J95" s="15">
        <v>11</v>
      </c>
      <c r="K95" s="15" t="str">
        <f>IF(ClientDB[[#This Row],[Start Date]]&gt;=$U$14,"New","")</f>
        <v/>
      </c>
      <c r="L95" s="15" t="str">
        <f>IF(OR(ClientDB[[#This Row],[Start Year]]&lt;2016,ClientDB[[#This Row],[Events]]&gt;=6),"Gift","")</f>
        <v>Gift</v>
      </c>
      <c r="M95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95" s="15">
        <v>3</v>
      </c>
      <c r="O95" s="35">
        <f>IF(ClientDB[[#This Row],[Days]]=1,(ClientDB[[#This Row],[Days]]*$V$7),IF(ClientDB[[#This Row],[Days]]&gt;1,(ClientDB[[#This Row],[Days]]*$V$8),""))</f>
        <v>900</v>
      </c>
      <c r="P9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95" s="15" t="s">
        <v>899</v>
      </c>
      <c r="R95" s="15" t="str">
        <f>INDEX(Table4[[Regular]:[Special]],MATCH(ClientDB[[#Data],[Country Code]],Table4[[#Data],[Country]],0),MATCH(ClientDB[[#Data],[Meal]],Table4[[#Headers],[Regular]:[Special]],0))</f>
        <v>F</v>
      </c>
    </row>
    <row r="96" spans="1:18" x14ac:dyDescent="0.2">
      <c r="A96" s="10">
        <v>17163</v>
      </c>
      <c r="B96" t="s">
        <v>530</v>
      </c>
      <c r="C96" t="s">
        <v>531</v>
      </c>
      <c r="D96" s="18">
        <v>43444</v>
      </c>
      <c r="E96" s="34">
        <f>YEAR(ClientDB[[#This Row],[Start Date]])</f>
        <v>2018</v>
      </c>
      <c r="F96" t="s">
        <v>795</v>
      </c>
      <c r="G96" t="str">
        <f>VLOOKUP(ClientDB[[#This Row],[Org Code]],Table2[],2,0)</f>
        <v>AHA Networks</v>
      </c>
      <c r="H96" s="10" t="s">
        <v>46</v>
      </c>
      <c r="I96" s="10" t="str">
        <f>_xlfn.XLOOKUP(ClientDB[[#This Row],[Country Code]],Table3[[#All],[Country Codes]],Table3[[#All],[Country]],1,TRUE)</f>
        <v>Germany</v>
      </c>
      <c r="J96" s="15">
        <v>21</v>
      </c>
      <c r="K96" s="15" t="str">
        <f>IF(ClientDB[[#This Row],[Start Date]]&gt;=$U$14,"New","")</f>
        <v/>
      </c>
      <c r="L96" s="15" t="str">
        <f>IF(OR(ClientDB[[#This Row],[Start Year]]&lt;2016,ClientDB[[#This Row],[Events]]&gt;=6),"Gift","")</f>
        <v>Gift</v>
      </c>
      <c r="M96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96" s="15">
        <v>2</v>
      </c>
      <c r="O96" s="35">
        <f>IF(ClientDB[[#This Row],[Days]]=1,(ClientDB[[#This Row],[Days]]*$V$7),IF(ClientDB[[#This Row],[Days]]&gt;1,(ClientDB[[#This Row],[Days]]*$V$8),""))</f>
        <v>600</v>
      </c>
      <c r="P9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96" s="15" t="s">
        <v>900</v>
      </c>
      <c r="R96" s="15" t="str">
        <f>INDEX(Table4[[Regular]:[Special]],MATCH(ClientDB[[#Data],[Country Code]],Table4[[#Data],[Country]],0),MATCH(ClientDB[[#Data],[Meal]],Table4[[#Headers],[Regular]:[Special]],0))</f>
        <v>A</v>
      </c>
    </row>
    <row r="97" spans="1:18" x14ac:dyDescent="0.2">
      <c r="A97" s="10">
        <v>17367</v>
      </c>
      <c r="B97" t="s">
        <v>195</v>
      </c>
      <c r="C97" t="s">
        <v>196</v>
      </c>
      <c r="D97" s="18">
        <v>42112</v>
      </c>
      <c r="E97" s="34">
        <f>YEAR(ClientDB[[#This Row],[Start Date]])</f>
        <v>2015</v>
      </c>
      <c r="F97" t="s">
        <v>802</v>
      </c>
      <c r="G97" t="str">
        <f>VLOOKUP(ClientDB[[#This Row],[Org Code]],Table2[],2,0)</f>
        <v>Colot</v>
      </c>
      <c r="H97" s="10" t="s">
        <v>78</v>
      </c>
      <c r="I97" s="10" t="str">
        <f>_xlfn.XLOOKUP(ClientDB[[#This Row],[Country Code]],Table3[[#All],[Country Codes]],Table3[[#All],[Country]],1,TRUE)</f>
        <v>Sweden</v>
      </c>
      <c r="J97" s="15">
        <v>26</v>
      </c>
      <c r="K97" s="15" t="str">
        <f>IF(ClientDB[[#This Row],[Start Date]]&gt;=$U$14,"New","")</f>
        <v/>
      </c>
      <c r="L97" s="15" t="str">
        <f>IF(OR(ClientDB[[#This Row],[Start Year]]&lt;2016,ClientDB[[#This Row],[Events]]&gt;=6),"Gift","")</f>
        <v>Gift</v>
      </c>
      <c r="M97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97" s="15">
        <v>1</v>
      </c>
      <c r="O97" s="35">
        <f>IF(ClientDB[[#This Row],[Days]]=1,(ClientDB[[#This Row],[Days]]*$V$7),IF(ClientDB[[#This Row],[Days]]&gt;1,(ClientDB[[#This Row],[Days]]*$V$8),""))</f>
        <v>350</v>
      </c>
      <c r="P9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97" s="15" t="s">
        <v>902</v>
      </c>
      <c r="R97" s="15" t="str">
        <f>INDEX(Table4[[Regular]:[Special]],MATCH(ClientDB[[#Data],[Country Code]],Table4[[#Data],[Country]],0),MATCH(ClientDB[[#Data],[Meal]],Table4[[#Headers],[Regular]:[Special]],0))</f>
        <v>C</v>
      </c>
    </row>
    <row r="98" spans="1:18" x14ac:dyDescent="0.2">
      <c r="A98" s="10">
        <v>17422</v>
      </c>
      <c r="B98" t="s">
        <v>723</v>
      </c>
      <c r="C98" t="s">
        <v>724</v>
      </c>
      <c r="D98" s="18">
        <v>42185</v>
      </c>
      <c r="E98" s="34">
        <f>YEAR(ClientDB[[#This Row],[Start Date]])</f>
        <v>2015</v>
      </c>
      <c r="F98" t="s">
        <v>797</v>
      </c>
      <c r="G98" t="str">
        <f>VLOOKUP(ClientDB[[#This Row],[Org Code]],Table2[],2,0)</f>
        <v>ASET PLC</v>
      </c>
      <c r="H98" s="10" t="s">
        <v>311</v>
      </c>
      <c r="I98" s="10" t="str">
        <f>_xlfn.XLOOKUP(ClientDB[[#This Row],[Country Code]],Table3[[#All],[Country Codes]],Table3[[#All],[Country]],1,TRUE)</f>
        <v>France</v>
      </c>
      <c r="J98" s="15">
        <v>11</v>
      </c>
      <c r="K98" s="15" t="str">
        <f>IF(ClientDB[[#This Row],[Start Date]]&gt;=$U$14,"New","")</f>
        <v/>
      </c>
      <c r="L98" s="15" t="str">
        <f>IF(OR(ClientDB[[#This Row],[Start Year]]&lt;2016,ClientDB[[#This Row],[Events]]&gt;=6),"Gift","")</f>
        <v>Gift</v>
      </c>
      <c r="M98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98" s="15">
        <v>2</v>
      </c>
      <c r="O98" s="35">
        <f>IF(ClientDB[[#This Row],[Days]]=1,(ClientDB[[#This Row],[Days]]*$V$7),IF(ClientDB[[#This Row],[Days]]&gt;1,(ClientDB[[#This Row],[Days]]*$V$8),""))</f>
        <v>600</v>
      </c>
      <c r="P9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98" s="15" t="s">
        <v>901</v>
      </c>
      <c r="R98" s="15" t="str">
        <f>INDEX(Table4[[Regular]:[Special]],MATCH(ClientDB[[#Data],[Country Code]],Table4[[#Data],[Country]],0),MATCH(ClientDB[[#Data],[Meal]],Table4[[#Headers],[Regular]:[Special]],0))</f>
        <v>D</v>
      </c>
    </row>
    <row r="99" spans="1:18" x14ac:dyDescent="0.2">
      <c r="A99" s="10">
        <v>17464</v>
      </c>
      <c r="B99" t="s">
        <v>432</v>
      </c>
      <c r="C99" t="s">
        <v>433</v>
      </c>
      <c r="D99" s="18">
        <v>43477</v>
      </c>
      <c r="E99" s="34">
        <f>YEAR(ClientDB[[#This Row],[Start Date]])</f>
        <v>2019</v>
      </c>
      <c r="F99" t="s">
        <v>812</v>
      </c>
      <c r="G99" t="str">
        <f>VLOOKUP(ClientDB[[#This Row],[Org Code]],Table2[],2,0)</f>
        <v>Fzig Fibre</v>
      </c>
      <c r="H99" s="10" t="s">
        <v>34</v>
      </c>
      <c r="I99" s="10" t="str">
        <f>_xlfn.XLOOKUP(ClientDB[[#This Row],[Country Code]],Table3[[#All],[Country Codes]],Table3[[#All],[Country]],1,TRUE)</f>
        <v>United States</v>
      </c>
      <c r="J99" s="15">
        <v>11</v>
      </c>
      <c r="K99" s="15" t="str">
        <f>IF(ClientDB[[#This Row],[Start Date]]&gt;=$U$14,"New","")</f>
        <v/>
      </c>
      <c r="L99" s="15" t="str">
        <f>IF(OR(ClientDB[[#This Row],[Start Year]]&lt;2016,ClientDB[[#This Row],[Events]]&gt;=6),"Gift","")</f>
        <v>Gift</v>
      </c>
      <c r="M99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99" s="15">
        <v>3</v>
      </c>
      <c r="O99" s="35">
        <f>IF(ClientDB[[#This Row],[Days]]=1,(ClientDB[[#This Row],[Days]]*$V$7),IF(ClientDB[[#This Row],[Days]]&gt;1,(ClientDB[[#This Row],[Days]]*$V$8),""))</f>
        <v>900</v>
      </c>
      <c r="P9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99" s="15" t="s">
        <v>901</v>
      </c>
      <c r="R99" s="15" t="str">
        <f>INDEX(Table4[[Regular]:[Special]],MATCH(ClientDB[[#Data],[Country Code]],Table4[[#Data],[Country]],0),MATCH(ClientDB[[#Data],[Meal]],Table4[[#Headers],[Regular]:[Special]],0))</f>
        <v>G</v>
      </c>
    </row>
    <row r="100" spans="1:18" x14ac:dyDescent="0.2">
      <c r="A100" s="10">
        <v>17546</v>
      </c>
      <c r="B100" t="s">
        <v>581</v>
      </c>
      <c r="C100" t="s">
        <v>582</v>
      </c>
      <c r="D100" s="18">
        <v>43315</v>
      </c>
      <c r="E100" s="34">
        <f>YEAR(ClientDB[[#This Row],[Start Date]])</f>
        <v>2018</v>
      </c>
      <c r="F100" t="s">
        <v>834</v>
      </c>
      <c r="G100" t="str">
        <f>VLOOKUP(ClientDB[[#This Row],[Org Code]],Table2[],2,0)</f>
        <v>Verisize</v>
      </c>
      <c r="H100" s="10" t="s">
        <v>38</v>
      </c>
      <c r="I100" s="10" t="str">
        <f>_xlfn.XLOOKUP(ClientDB[[#This Row],[Country Code]],Table3[[#All],[Country Codes]],Table3[[#All],[Country]],1,TRUE)</f>
        <v>Czech Republic</v>
      </c>
      <c r="J100" s="15">
        <v>3</v>
      </c>
      <c r="K100" s="15" t="str">
        <f>IF(ClientDB[[#This Row],[Start Date]]&gt;=$U$14,"New","")</f>
        <v/>
      </c>
      <c r="L100" s="15" t="str">
        <f>IF(OR(ClientDB[[#This Row],[Start Year]]&lt;2016,ClientDB[[#This Row],[Events]]&gt;=6),"Gift","")</f>
        <v/>
      </c>
      <c r="M10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00" s="15">
        <v>3</v>
      </c>
      <c r="O100" s="35">
        <f>IF(ClientDB[[#This Row],[Days]]=1,(ClientDB[[#This Row],[Days]]*$V$7),IF(ClientDB[[#This Row],[Days]]&gt;1,(ClientDB[[#This Row],[Days]]*$V$8),""))</f>
        <v>900</v>
      </c>
      <c r="P10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00" s="15" t="s">
        <v>900</v>
      </c>
      <c r="R100" s="15" t="str">
        <f>INDEX(Table4[[Regular]:[Special]],MATCH(ClientDB[[#Data],[Country Code]],Table4[[#Data],[Country]],0),MATCH(ClientDB[[#Data],[Meal]],Table4[[#Headers],[Regular]:[Special]],0))</f>
        <v>A</v>
      </c>
    </row>
    <row r="101" spans="1:18" x14ac:dyDescent="0.2">
      <c r="A101" s="10">
        <v>17637</v>
      </c>
      <c r="B101" t="s">
        <v>583</v>
      </c>
      <c r="C101" t="s">
        <v>584</v>
      </c>
      <c r="D101" s="18">
        <v>42655</v>
      </c>
      <c r="E101" s="34">
        <f>YEAR(ClientDB[[#This Row],[Start Date]])</f>
        <v>2016</v>
      </c>
      <c r="F101" t="s">
        <v>832</v>
      </c>
      <c r="G101" t="str">
        <f>VLOOKUP(ClientDB[[#This Row],[Org Code]],Table2[],2,0)</f>
        <v>TQ Processes</v>
      </c>
      <c r="H101" s="10" t="s">
        <v>155</v>
      </c>
      <c r="I101" s="10" t="str">
        <f>_xlfn.XLOOKUP(ClientDB[[#This Row],[Country Code]],Table3[[#All],[Country Codes]],Table3[[#All],[Country]],1,TRUE)</f>
        <v>United Arab Emirates</v>
      </c>
      <c r="J101" s="15">
        <v>6</v>
      </c>
      <c r="K101" s="15" t="str">
        <f>IF(ClientDB[[#This Row],[Start Date]]&gt;=$U$14,"New","")</f>
        <v/>
      </c>
      <c r="L101" s="15" t="str">
        <f>IF(OR(ClientDB[[#This Row],[Start Year]]&lt;2016,ClientDB[[#This Row],[Events]]&gt;=6),"Gift","")</f>
        <v>Gift</v>
      </c>
      <c r="M10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01" s="15">
        <v>1</v>
      </c>
      <c r="O101" s="35">
        <f>IF(ClientDB[[#This Row],[Days]]=1,(ClientDB[[#This Row],[Days]]*$V$7),IF(ClientDB[[#This Row],[Days]]&gt;1,(ClientDB[[#This Row],[Days]]*$V$8),""))</f>
        <v>350</v>
      </c>
      <c r="P10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01" s="15" t="s">
        <v>900</v>
      </c>
      <c r="R101" s="15" t="str">
        <f>INDEX(Table4[[Regular]:[Special]],MATCH(ClientDB[[#Data],[Country Code]],Table4[[#Data],[Country]],0),MATCH(ClientDB[[#Data],[Meal]],Table4[[#Headers],[Regular]:[Special]],0))</f>
        <v>A</v>
      </c>
    </row>
    <row r="102" spans="1:18" x14ac:dyDescent="0.2">
      <c r="A102" s="10">
        <v>17721</v>
      </c>
      <c r="B102" t="s">
        <v>266</v>
      </c>
      <c r="C102" t="s">
        <v>267</v>
      </c>
      <c r="D102" s="18">
        <v>42436</v>
      </c>
      <c r="E102" s="34">
        <f>YEAR(ClientDB[[#This Row],[Start Date]])</f>
        <v>2016</v>
      </c>
      <c r="F102" t="s">
        <v>797</v>
      </c>
      <c r="G102" t="str">
        <f>VLOOKUP(ClientDB[[#This Row],[Org Code]],Table2[],2,0)</f>
        <v>ASET PLC</v>
      </c>
      <c r="H102" s="10" t="s">
        <v>26</v>
      </c>
      <c r="I102" s="10" t="str">
        <f>_xlfn.XLOOKUP(ClientDB[[#This Row],[Country Code]],Table3[[#All],[Country Codes]],Table3[[#All],[Country]],1,TRUE)</f>
        <v>Ukraine</v>
      </c>
      <c r="J102" s="15">
        <v>29</v>
      </c>
      <c r="K102" s="15" t="str">
        <f>IF(ClientDB[[#This Row],[Start Date]]&gt;=$U$14,"New","")</f>
        <v/>
      </c>
      <c r="L102" s="15" t="str">
        <f>IF(OR(ClientDB[[#This Row],[Start Year]]&lt;2016,ClientDB[[#This Row],[Events]]&gt;=6),"Gift","")</f>
        <v>Gift</v>
      </c>
      <c r="M102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102" s="15">
        <v>2</v>
      </c>
      <c r="O102" s="35">
        <f>IF(ClientDB[[#This Row],[Days]]=1,(ClientDB[[#This Row],[Days]]*$V$7),IF(ClientDB[[#This Row],[Days]]&gt;1,(ClientDB[[#This Row],[Days]]*$V$8),""))</f>
        <v>600</v>
      </c>
      <c r="P10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02" s="15" t="s">
        <v>902</v>
      </c>
      <c r="R102" s="15" t="str">
        <f>INDEX(Table4[[Regular]:[Special]],MATCH(ClientDB[[#Data],[Country Code]],Table4[[#Data],[Country]],0),MATCH(ClientDB[[#Data],[Meal]],Table4[[#Headers],[Regular]:[Special]],0))</f>
        <v>C</v>
      </c>
    </row>
    <row r="103" spans="1:18" x14ac:dyDescent="0.2">
      <c r="A103" s="10">
        <v>17721</v>
      </c>
      <c r="B103" t="s">
        <v>749</v>
      </c>
      <c r="C103" t="s">
        <v>750</v>
      </c>
      <c r="D103" s="18">
        <v>42299</v>
      </c>
      <c r="E103" s="34">
        <f>YEAR(ClientDB[[#This Row],[Start Date]])</f>
        <v>2015</v>
      </c>
      <c r="F103" t="s">
        <v>827</v>
      </c>
      <c r="G103" t="str">
        <f>VLOOKUP(ClientDB[[#This Row],[Org Code]],Table2[],2,0)</f>
        <v>Ripple Com</v>
      </c>
      <c r="H103" s="10" t="s">
        <v>15</v>
      </c>
      <c r="I103" s="10" t="str">
        <f>_xlfn.XLOOKUP(ClientDB[[#This Row],[Country Code]],Table3[[#All],[Country Codes]],Table3[[#All],[Country]],1,TRUE)</f>
        <v>United Kingdom</v>
      </c>
      <c r="J103" s="15">
        <v>5</v>
      </c>
      <c r="K103" s="15" t="str">
        <f>IF(ClientDB[[#This Row],[Start Date]]&gt;=$U$14,"New","")</f>
        <v/>
      </c>
      <c r="L103" s="15" t="str">
        <f>IF(OR(ClientDB[[#This Row],[Start Year]]&lt;2016,ClientDB[[#This Row],[Events]]&gt;=6),"Gift","")</f>
        <v>Gift</v>
      </c>
      <c r="M10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03" s="15">
        <v>3</v>
      </c>
      <c r="O103" s="35">
        <f>IF(ClientDB[[#This Row],[Days]]=1,(ClientDB[[#This Row],[Days]]*$V$7),IF(ClientDB[[#This Row],[Days]]&gt;1,(ClientDB[[#This Row],[Days]]*$V$8),""))</f>
        <v>900</v>
      </c>
      <c r="P10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03" s="15" t="s">
        <v>900</v>
      </c>
      <c r="R103" s="15" t="str">
        <f>INDEX(Table4[[Regular]:[Special]],MATCH(ClientDB[[#Data],[Country Code]],Table4[[#Data],[Country]],0),MATCH(ClientDB[[#Data],[Meal]],Table4[[#Headers],[Regular]:[Special]],0))</f>
        <v>A</v>
      </c>
    </row>
    <row r="104" spans="1:18" x14ac:dyDescent="0.2">
      <c r="A104" s="10">
        <v>17769</v>
      </c>
      <c r="B104" t="s">
        <v>701</v>
      </c>
      <c r="C104" t="s">
        <v>702</v>
      </c>
      <c r="D104" s="18">
        <v>42540</v>
      </c>
      <c r="E104" s="34">
        <f>YEAR(ClientDB[[#This Row],[Start Date]])</f>
        <v>2016</v>
      </c>
      <c r="F104" t="s">
        <v>800</v>
      </c>
      <c r="G104" t="str">
        <f>VLOOKUP(ClientDB[[#This Row],[Org Code]],Table2[],2,0)</f>
        <v>Chirah Technologies</v>
      </c>
      <c r="H104" s="10" t="s">
        <v>386</v>
      </c>
      <c r="I104" s="10" t="str">
        <f>_xlfn.XLOOKUP(ClientDB[[#This Row],[Country Code]],Table3[[#All],[Country Codes]],Table3[[#All],[Country]],1,TRUE)</f>
        <v>Belgium</v>
      </c>
      <c r="J104" s="15">
        <v>15</v>
      </c>
      <c r="K104" s="15" t="str">
        <f>IF(ClientDB[[#This Row],[Start Date]]&gt;=$U$14,"New","")</f>
        <v/>
      </c>
      <c r="L104" s="15" t="str">
        <f>IF(OR(ClientDB[[#This Row],[Start Year]]&lt;2016,ClientDB[[#This Row],[Events]]&gt;=6),"Gift","")</f>
        <v>Gift</v>
      </c>
      <c r="M104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04" s="15">
        <v>3</v>
      </c>
      <c r="O104" s="35">
        <f>IF(ClientDB[[#This Row],[Days]]=1,(ClientDB[[#This Row],[Days]]*$V$7),IF(ClientDB[[#This Row],[Days]]&gt;1,(ClientDB[[#This Row],[Days]]*$V$8),""))</f>
        <v>900</v>
      </c>
      <c r="P10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04" s="15" t="s">
        <v>901</v>
      </c>
      <c r="R104" s="15" t="str">
        <f>INDEX(Table4[[Regular]:[Special]],MATCH(ClientDB[[#Data],[Country Code]],Table4[[#Data],[Country]],0),MATCH(ClientDB[[#Data],[Meal]],Table4[[#Headers],[Regular]:[Special]],0))</f>
        <v>D</v>
      </c>
    </row>
    <row r="105" spans="1:18" x14ac:dyDescent="0.2">
      <c r="A105" s="10">
        <v>17805</v>
      </c>
      <c r="B105" t="s">
        <v>4</v>
      </c>
      <c r="C105" t="s">
        <v>5</v>
      </c>
      <c r="D105" s="18">
        <v>42444</v>
      </c>
      <c r="E105" s="34">
        <f>YEAR(ClientDB[[#This Row],[Start Date]])</f>
        <v>2016</v>
      </c>
      <c r="F105" t="s">
        <v>826</v>
      </c>
      <c r="G105" t="str">
        <f>VLOOKUP(ClientDB[[#This Row],[Org Code]],Table2[],2,0)</f>
        <v>Respira Networks</v>
      </c>
      <c r="H105" s="10" t="s">
        <v>7</v>
      </c>
      <c r="I105" s="10" t="str">
        <f>_xlfn.XLOOKUP(ClientDB[[#This Row],[Country Code]],Table3[[#All],[Country Codes]],Table3[[#All],[Country]],1,TRUE)</f>
        <v>Iran</v>
      </c>
      <c r="J105" s="15">
        <v>7</v>
      </c>
      <c r="K105" s="15" t="str">
        <f>IF(ClientDB[[#This Row],[Start Date]]&gt;=$U$14,"New","")</f>
        <v/>
      </c>
      <c r="L105" s="15" t="str">
        <f>IF(OR(ClientDB[[#This Row],[Start Year]]&lt;2016,ClientDB[[#This Row],[Events]]&gt;=6),"Gift","")</f>
        <v>Gift</v>
      </c>
      <c r="M10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05" s="15">
        <v>1</v>
      </c>
      <c r="O105" s="35">
        <f>IF(ClientDB[[#This Row],[Days]]=1,(ClientDB[[#This Row],[Days]]*$V$7),IF(ClientDB[[#This Row],[Days]]&gt;1,(ClientDB[[#This Row],[Days]]*$V$8),""))</f>
        <v>350</v>
      </c>
      <c r="P10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05" s="15" t="s">
        <v>901</v>
      </c>
      <c r="R105" s="15" t="str">
        <f>INDEX(Table4[[Regular]:[Special]],MATCH(ClientDB[[#Data],[Country Code]],Table4[[#Data],[Country]],0),MATCH(ClientDB[[#Data],[Meal]],Table4[[#Headers],[Regular]:[Special]],0))</f>
        <v>F</v>
      </c>
    </row>
    <row r="106" spans="1:18" x14ac:dyDescent="0.2">
      <c r="A106" s="10">
        <v>18104</v>
      </c>
      <c r="B106" t="s">
        <v>370</v>
      </c>
      <c r="C106" t="s">
        <v>371</v>
      </c>
      <c r="D106" s="18">
        <v>43753</v>
      </c>
      <c r="E106" s="34">
        <f>YEAR(ClientDB[[#This Row],[Start Date]])</f>
        <v>2019</v>
      </c>
      <c r="F106" t="s">
        <v>804</v>
      </c>
      <c r="G106" t="str">
        <f>VLOOKUP(ClientDB[[#This Row],[Org Code]],Table2[],2,0)</f>
        <v>Cyber Data Processing</v>
      </c>
      <c r="H106" s="10" t="s">
        <v>7</v>
      </c>
      <c r="I106" s="10" t="str">
        <f>_xlfn.XLOOKUP(ClientDB[[#This Row],[Country Code]],Table3[[#All],[Country Codes]],Table3[[#All],[Country]],1,TRUE)</f>
        <v>Iran</v>
      </c>
      <c r="J106" s="15">
        <v>10</v>
      </c>
      <c r="K106" s="15" t="str">
        <f>IF(ClientDB[[#This Row],[Start Date]]&gt;=$U$14,"New","")</f>
        <v/>
      </c>
      <c r="L106" s="15" t="str">
        <f>IF(OR(ClientDB[[#This Row],[Start Year]]&lt;2016,ClientDB[[#This Row],[Events]]&gt;=6),"Gift","")</f>
        <v>Gift</v>
      </c>
      <c r="M106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06" s="15">
        <v>1</v>
      </c>
      <c r="O106" s="35">
        <f>IF(ClientDB[[#This Row],[Days]]=1,(ClientDB[[#This Row],[Days]]*$V$7),IF(ClientDB[[#This Row],[Days]]&gt;1,(ClientDB[[#This Row],[Days]]*$V$8),""))</f>
        <v>350</v>
      </c>
      <c r="P10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106" s="15" t="s">
        <v>900</v>
      </c>
      <c r="R106" s="15" t="str">
        <f>INDEX(Table4[[Regular]:[Special]],MATCH(ClientDB[[#Data],[Country Code]],Table4[[#Data],[Country]],0),MATCH(ClientDB[[#Data],[Meal]],Table4[[#Headers],[Regular]:[Special]],0))</f>
        <v>A</v>
      </c>
    </row>
    <row r="107" spans="1:18" x14ac:dyDescent="0.2">
      <c r="A107" s="10">
        <v>18235</v>
      </c>
      <c r="B107" t="s">
        <v>23</v>
      </c>
      <c r="C107" t="s">
        <v>24</v>
      </c>
      <c r="D107" s="18">
        <v>43227</v>
      </c>
      <c r="E107" s="34">
        <f>YEAR(ClientDB[[#This Row],[Start Date]])</f>
        <v>2018</v>
      </c>
      <c r="F107" t="s">
        <v>837</v>
      </c>
      <c r="G107" t="str">
        <f>VLOOKUP(ClientDB[[#This Row],[Org Code]],Table2[],2,0)</f>
        <v>WWT</v>
      </c>
      <c r="H107" s="10" t="s">
        <v>26</v>
      </c>
      <c r="I107" s="10" t="str">
        <f>_xlfn.XLOOKUP(ClientDB[[#This Row],[Country Code]],Table3[[#All],[Country Codes]],Table3[[#All],[Country]],1,TRUE)</f>
        <v>Ukraine</v>
      </c>
      <c r="J107" s="15">
        <v>8</v>
      </c>
      <c r="K107" s="15" t="str">
        <f>IF(ClientDB[[#This Row],[Start Date]]&gt;=$U$14,"New","")</f>
        <v/>
      </c>
      <c r="L107" s="15" t="str">
        <f>IF(OR(ClientDB[[#This Row],[Start Year]]&lt;2016,ClientDB[[#This Row],[Events]]&gt;=6),"Gift","")</f>
        <v>Gift</v>
      </c>
      <c r="M10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07" s="15">
        <v>2</v>
      </c>
      <c r="O107" s="35">
        <f>IF(ClientDB[[#This Row],[Days]]=1,(ClientDB[[#This Row],[Days]]*$V$7),IF(ClientDB[[#This Row],[Days]]&gt;1,(ClientDB[[#This Row],[Days]]*$V$8),""))</f>
        <v>600</v>
      </c>
      <c r="P10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07" s="15" t="s">
        <v>901</v>
      </c>
      <c r="R107" s="15" t="str">
        <f>INDEX(Table4[[Regular]:[Special]],MATCH(ClientDB[[#Data],[Country Code]],Table4[[#Data],[Country]],0),MATCH(ClientDB[[#Data],[Meal]],Table4[[#Headers],[Regular]:[Special]],0))</f>
        <v>G</v>
      </c>
    </row>
    <row r="108" spans="1:18" x14ac:dyDescent="0.2">
      <c r="A108" s="10">
        <v>18253</v>
      </c>
      <c r="B108" t="s">
        <v>167</v>
      </c>
      <c r="C108" t="s">
        <v>751</v>
      </c>
      <c r="D108" s="18">
        <v>42338</v>
      </c>
      <c r="E108" s="34">
        <f>YEAR(ClientDB[[#This Row],[Start Date]])</f>
        <v>2015</v>
      </c>
      <c r="F108" t="s">
        <v>832</v>
      </c>
      <c r="G108" t="str">
        <f>VLOOKUP(ClientDB[[#This Row],[Org Code]],Table2[],2,0)</f>
        <v>TQ Processes</v>
      </c>
      <c r="H108" s="10" t="s">
        <v>97</v>
      </c>
      <c r="I108" s="10" t="str">
        <f>_xlfn.XLOOKUP(ClientDB[[#This Row],[Country Code]],Table3[[#All],[Country Codes]],Table3[[#All],[Country]],1,TRUE)</f>
        <v>Ireland</v>
      </c>
      <c r="J108" s="15">
        <v>11</v>
      </c>
      <c r="K108" s="15" t="str">
        <f>IF(ClientDB[[#This Row],[Start Date]]&gt;=$U$14,"New","")</f>
        <v/>
      </c>
      <c r="L108" s="15" t="str">
        <f>IF(OR(ClientDB[[#This Row],[Start Year]]&lt;2016,ClientDB[[#This Row],[Events]]&gt;=6),"Gift","")</f>
        <v>Gift</v>
      </c>
      <c r="M108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08" s="15">
        <v>2</v>
      </c>
      <c r="O108" s="35">
        <f>IF(ClientDB[[#This Row],[Days]]=1,(ClientDB[[#This Row],[Days]]*$V$7),IF(ClientDB[[#This Row],[Days]]&gt;1,(ClientDB[[#This Row],[Days]]*$V$8),""))</f>
        <v>600</v>
      </c>
      <c r="P10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08" s="15" t="s">
        <v>900</v>
      </c>
      <c r="R108" s="15" t="str">
        <f>INDEX(Table4[[Regular]:[Special]],MATCH(ClientDB[[#Data],[Country Code]],Table4[[#Data],[Country]],0),MATCH(ClientDB[[#Data],[Meal]],Table4[[#Headers],[Regular]:[Special]],0))</f>
        <v>A</v>
      </c>
    </row>
    <row r="109" spans="1:18" x14ac:dyDescent="0.2">
      <c r="A109" s="10">
        <v>18366</v>
      </c>
      <c r="B109" t="s">
        <v>229</v>
      </c>
      <c r="C109" t="s">
        <v>230</v>
      </c>
      <c r="D109" s="18">
        <v>42580</v>
      </c>
      <c r="E109" s="34">
        <f>YEAR(ClientDB[[#This Row],[Start Date]])</f>
        <v>2016</v>
      </c>
      <c r="F109" t="s">
        <v>839</v>
      </c>
      <c r="G109" t="str">
        <f>VLOOKUP(ClientDB[[#This Row],[Org Code]],Table2[],2,0)</f>
        <v>Zconnect, Inc</v>
      </c>
      <c r="H109" s="10" t="s">
        <v>26</v>
      </c>
      <c r="I109" s="10" t="str">
        <f>_xlfn.XLOOKUP(ClientDB[[#This Row],[Country Code]],Table3[[#All],[Country Codes]],Table3[[#All],[Country]],1,TRUE)</f>
        <v>Ukraine</v>
      </c>
      <c r="J109" s="15">
        <v>5</v>
      </c>
      <c r="K109" s="15" t="str">
        <f>IF(ClientDB[[#This Row],[Start Date]]&gt;=$U$14,"New","")</f>
        <v/>
      </c>
      <c r="L109" s="15" t="str">
        <f>IF(OR(ClientDB[[#This Row],[Start Year]]&lt;2016,ClientDB[[#This Row],[Events]]&gt;=6),"Gift","")</f>
        <v/>
      </c>
      <c r="M10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09" s="15">
        <v>3</v>
      </c>
      <c r="O109" s="35">
        <f>IF(ClientDB[[#This Row],[Days]]=1,(ClientDB[[#This Row],[Days]]*$V$7),IF(ClientDB[[#This Row],[Days]]&gt;1,(ClientDB[[#This Row],[Days]]*$V$8),""))</f>
        <v>900</v>
      </c>
      <c r="P10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09" s="15" t="s">
        <v>899</v>
      </c>
      <c r="R109" s="15" t="str">
        <f>INDEX(Table4[[Regular]:[Special]],MATCH(ClientDB[[#Data],[Country Code]],Table4[[#Data],[Country]],0),MATCH(ClientDB[[#Data],[Meal]],Table4[[#Headers],[Regular]:[Special]],0))</f>
        <v>B</v>
      </c>
    </row>
    <row r="110" spans="1:18" x14ac:dyDescent="0.2">
      <c r="A110" s="10">
        <v>18487</v>
      </c>
      <c r="B110" t="s">
        <v>323</v>
      </c>
      <c r="C110" t="s">
        <v>508</v>
      </c>
      <c r="D110" s="18">
        <v>42515</v>
      </c>
      <c r="E110" s="34">
        <f>YEAR(ClientDB[[#This Row],[Start Date]])</f>
        <v>2016</v>
      </c>
      <c r="F110" t="s">
        <v>796</v>
      </c>
      <c r="G110" t="str">
        <f>VLOOKUP(ClientDB[[#This Row],[Org Code]],Table2[],2,0)</f>
        <v>Ares</v>
      </c>
      <c r="H110" s="10" t="s">
        <v>46</v>
      </c>
      <c r="I110" s="10" t="str">
        <f>_xlfn.XLOOKUP(ClientDB[[#This Row],[Country Code]],Table3[[#All],[Country Codes]],Table3[[#All],[Country]],1,TRUE)</f>
        <v>Germany</v>
      </c>
      <c r="J110" s="15">
        <v>8</v>
      </c>
      <c r="K110" s="15" t="str">
        <f>IF(ClientDB[[#This Row],[Start Date]]&gt;=$U$14,"New","")</f>
        <v/>
      </c>
      <c r="L110" s="15" t="str">
        <f>IF(OR(ClientDB[[#This Row],[Start Year]]&lt;2016,ClientDB[[#This Row],[Events]]&gt;=6),"Gift","")</f>
        <v>Gift</v>
      </c>
      <c r="M11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10" s="15">
        <v>1</v>
      </c>
      <c r="O110" s="35">
        <f>IF(ClientDB[[#This Row],[Days]]=1,(ClientDB[[#This Row],[Days]]*$V$7),IF(ClientDB[[#This Row],[Days]]&gt;1,(ClientDB[[#This Row],[Days]]*$V$8),""))</f>
        <v>350</v>
      </c>
      <c r="P11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10" s="15" t="s">
        <v>901</v>
      </c>
      <c r="R110" s="15" t="str">
        <f>INDEX(Table4[[Regular]:[Special]],MATCH(ClientDB[[#Data],[Country Code]],Table4[[#Data],[Country]],0),MATCH(ClientDB[[#Data],[Meal]],Table4[[#Headers],[Regular]:[Special]],0))</f>
        <v>D</v>
      </c>
    </row>
    <row r="111" spans="1:18" x14ac:dyDescent="0.2">
      <c r="A111" s="10">
        <v>18489</v>
      </c>
      <c r="B111" t="s">
        <v>156</v>
      </c>
      <c r="C111" t="s">
        <v>157</v>
      </c>
      <c r="D111" s="18">
        <v>43486</v>
      </c>
      <c r="E111" s="34">
        <f>YEAR(ClientDB[[#This Row],[Start Date]])</f>
        <v>2019</v>
      </c>
      <c r="F111" t="s">
        <v>796</v>
      </c>
      <c r="G111" t="str">
        <f>VLOOKUP(ClientDB[[#This Row],[Org Code]],Table2[],2,0)</f>
        <v>Ares</v>
      </c>
      <c r="H111" s="10" t="s">
        <v>84</v>
      </c>
      <c r="I111" s="10" t="str">
        <f>_xlfn.XLOOKUP(ClientDB[[#This Row],[Country Code]],Table3[[#All],[Country Codes]],Table3[[#All],[Country]],1,TRUE)</f>
        <v>Norway</v>
      </c>
      <c r="J111" s="15">
        <v>6</v>
      </c>
      <c r="K111" s="15" t="str">
        <f>IF(ClientDB[[#This Row],[Start Date]]&gt;=$U$14,"New","")</f>
        <v/>
      </c>
      <c r="L111" s="15" t="str">
        <f>IF(OR(ClientDB[[#This Row],[Start Year]]&lt;2016,ClientDB[[#This Row],[Events]]&gt;=6),"Gift","")</f>
        <v>Gift</v>
      </c>
      <c r="M11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11" s="15">
        <v>2</v>
      </c>
      <c r="O111" s="35">
        <f>IF(ClientDB[[#This Row],[Days]]=1,(ClientDB[[#This Row],[Days]]*$V$7),IF(ClientDB[[#This Row],[Days]]&gt;1,(ClientDB[[#This Row],[Days]]*$V$8),""))</f>
        <v>600</v>
      </c>
      <c r="P11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11" s="15" t="s">
        <v>901</v>
      </c>
      <c r="R111" s="15" t="str">
        <f>INDEX(Table4[[Regular]:[Special]],MATCH(ClientDB[[#Data],[Country Code]],Table4[[#Data],[Country]],0),MATCH(ClientDB[[#Data],[Meal]],Table4[[#Headers],[Regular]:[Special]],0))</f>
        <v>F</v>
      </c>
    </row>
    <row r="112" spans="1:18" x14ac:dyDescent="0.2">
      <c r="A112" s="10">
        <v>18528</v>
      </c>
      <c r="B112" t="s">
        <v>742</v>
      </c>
      <c r="C112" t="s">
        <v>743</v>
      </c>
      <c r="D112" s="18">
        <v>43952</v>
      </c>
      <c r="E112" s="34">
        <f>YEAR(ClientDB[[#This Row],[Start Date]])</f>
        <v>2020</v>
      </c>
      <c r="F112" t="s">
        <v>821</v>
      </c>
      <c r="G112" t="str">
        <f>VLOOKUP(ClientDB[[#This Row],[Org Code]],Table2[],2,0)</f>
        <v>Parmis Technologies</v>
      </c>
      <c r="H112" s="10" t="s">
        <v>277</v>
      </c>
      <c r="I112" s="10" t="str">
        <f>_xlfn.XLOOKUP(ClientDB[[#This Row],[Country Code]],Table3[[#All],[Country Codes]],Table3[[#All],[Country]],1,TRUE)</f>
        <v>Saudi Arabia</v>
      </c>
      <c r="J112" s="15">
        <v>3</v>
      </c>
      <c r="K112" s="15" t="str">
        <f>IF(ClientDB[[#This Row],[Start Date]]&gt;=$U$14,"New","")</f>
        <v>New</v>
      </c>
      <c r="L112" s="15" t="str">
        <f>IF(OR(ClientDB[[#This Row],[Start Year]]&lt;2016,ClientDB[[#This Row],[Events]]&gt;=6),"Gift","")</f>
        <v/>
      </c>
      <c r="M11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12" s="15">
        <v>2</v>
      </c>
      <c r="O112" s="35">
        <f>IF(ClientDB[[#This Row],[Days]]=1,(ClientDB[[#This Row],[Days]]*$V$7),IF(ClientDB[[#This Row],[Days]]&gt;1,(ClientDB[[#This Row],[Days]]*$V$8),""))</f>
        <v>600</v>
      </c>
      <c r="P11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12" s="15" t="s">
        <v>900</v>
      </c>
      <c r="R112" s="15" t="str">
        <f>INDEX(Table4[[Regular]:[Special]],MATCH(ClientDB[[#Data],[Country Code]],Table4[[#Data],[Country]],0),MATCH(ClientDB[[#Data],[Meal]],Table4[[#Headers],[Regular]:[Special]],0))</f>
        <v>C</v>
      </c>
    </row>
    <row r="113" spans="1:18" x14ac:dyDescent="0.2">
      <c r="A113" s="10">
        <v>18536</v>
      </c>
      <c r="B113" t="s">
        <v>231</v>
      </c>
      <c r="C113" t="s">
        <v>232</v>
      </c>
      <c r="D113" s="18">
        <v>42602</v>
      </c>
      <c r="E113" s="34">
        <f>YEAR(ClientDB[[#This Row],[Start Date]])</f>
        <v>2016</v>
      </c>
      <c r="F113" t="s">
        <v>816</v>
      </c>
      <c r="G113" t="str">
        <f>VLOOKUP(ClientDB[[#This Row],[Org Code]],Table2[],2,0)</f>
        <v>IPI Bucharest</v>
      </c>
      <c r="H113" s="10" t="s">
        <v>54</v>
      </c>
      <c r="I113" s="10" t="str">
        <f>_xlfn.XLOOKUP(ClientDB[[#This Row],[Country Code]],Table3[[#All],[Country Codes]],Table3[[#All],[Country]],1,TRUE)</f>
        <v>Romania</v>
      </c>
      <c r="J113" s="15">
        <v>9</v>
      </c>
      <c r="K113" s="15" t="str">
        <f>IF(ClientDB[[#This Row],[Start Date]]&gt;=$U$14,"New","")</f>
        <v/>
      </c>
      <c r="L113" s="15" t="str">
        <f>IF(OR(ClientDB[[#This Row],[Start Year]]&lt;2016,ClientDB[[#This Row],[Events]]&gt;=6),"Gift","")</f>
        <v>Gift</v>
      </c>
      <c r="M11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13" s="15">
        <v>1</v>
      </c>
      <c r="O113" s="35">
        <f>IF(ClientDB[[#This Row],[Days]]=1,(ClientDB[[#This Row],[Days]]*$V$7),IF(ClientDB[[#This Row],[Days]]&gt;1,(ClientDB[[#This Row],[Days]]*$V$8),""))</f>
        <v>350</v>
      </c>
      <c r="P11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13" s="15" t="s">
        <v>901</v>
      </c>
      <c r="R113" s="15" t="str">
        <f>INDEX(Table4[[Regular]:[Special]],MATCH(ClientDB[[#Data],[Country Code]],Table4[[#Data],[Country]],0),MATCH(ClientDB[[#Data],[Meal]],Table4[[#Headers],[Regular]:[Special]],0))</f>
        <v>G</v>
      </c>
    </row>
    <row r="114" spans="1:18" x14ac:dyDescent="0.2">
      <c r="A114" s="10">
        <v>18610</v>
      </c>
      <c r="B114" t="s">
        <v>350</v>
      </c>
      <c r="C114" t="s">
        <v>766</v>
      </c>
      <c r="D114" s="18">
        <v>43784</v>
      </c>
      <c r="E114" s="34">
        <f>YEAR(ClientDB[[#This Row],[Start Date]])</f>
        <v>2019</v>
      </c>
      <c r="F114" t="s">
        <v>804</v>
      </c>
      <c r="G114" t="str">
        <f>VLOOKUP(ClientDB[[#This Row],[Org Code]],Table2[],2,0)</f>
        <v>Cyber Data Processing</v>
      </c>
      <c r="H114" s="10" t="s">
        <v>15</v>
      </c>
      <c r="I114" s="10" t="str">
        <f>_xlfn.XLOOKUP(ClientDB[[#This Row],[Country Code]],Table3[[#All],[Country Codes]],Table3[[#All],[Country]],1,TRUE)</f>
        <v>United Kingdom</v>
      </c>
      <c r="J114" s="15">
        <v>8</v>
      </c>
      <c r="K114" s="15" t="str">
        <f>IF(ClientDB[[#This Row],[Start Date]]&gt;=$U$14,"New","")</f>
        <v/>
      </c>
      <c r="L114" s="15" t="str">
        <f>IF(OR(ClientDB[[#This Row],[Start Year]]&lt;2016,ClientDB[[#This Row],[Events]]&gt;=6),"Gift","")</f>
        <v>Gift</v>
      </c>
      <c r="M11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14" s="15">
        <v>3</v>
      </c>
      <c r="O114" s="35">
        <f>IF(ClientDB[[#This Row],[Days]]=1,(ClientDB[[#This Row],[Days]]*$V$7),IF(ClientDB[[#This Row],[Days]]&gt;1,(ClientDB[[#This Row],[Days]]*$V$8),""))</f>
        <v>900</v>
      </c>
      <c r="P11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14" s="15" t="s">
        <v>899</v>
      </c>
      <c r="R114" s="15" t="str">
        <f>INDEX(Table4[[Regular]:[Special]],MATCH(ClientDB[[#Data],[Country Code]],Table4[[#Data],[Country]],0),MATCH(ClientDB[[#Data],[Meal]],Table4[[#Headers],[Regular]:[Special]],0))</f>
        <v>A</v>
      </c>
    </row>
    <row r="115" spans="1:18" x14ac:dyDescent="0.2">
      <c r="A115" s="10">
        <v>18895</v>
      </c>
      <c r="B115" t="s">
        <v>242</v>
      </c>
      <c r="C115" t="s">
        <v>243</v>
      </c>
      <c r="D115" s="18">
        <v>43188</v>
      </c>
      <c r="E115" s="34">
        <f>YEAR(ClientDB[[#This Row],[Start Date]])</f>
        <v>2018</v>
      </c>
      <c r="F115" t="s">
        <v>798</v>
      </c>
      <c r="G115" t="str">
        <f>VLOOKUP(ClientDB[[#This Row],[Org Code]],Table2[],2,0)</f>
        <v>Axell Group</v>
      </c>
      <c r="H115" s="10" t="s">
        <v>146</v>
      </c>
      <c r="I115" s="10" t="str">
        <f>_xlfn.XLOOKUP(ClientDB[[#This Row],[Country Code]],Table3[[#All],[Country Codes]],Table3[[#All],[Country]],1,TRUE)</f>
        <v>Russia</v>
      </c>
      <c r="J115" s="15">
        <v>12</v>
      </c>
      <c r="K115" s="15" t="str">
        <f>IF(ClientDB[[#This Row],[Start Date]]&gt;=$U$14,"New","")</f>
        <v/>
      </c>
      <c r="L115" s="15" t="str">
        <f>IF(OR(ClientDB[[#This Row],[Start Year]]&lt;2016,ClientDB[[#This Row],[Events]]&gt;=6),"Gift","")</f>
        <v>Gift</v>
      </c>
      <c r="M115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15" s="15">
        <v>3</v>
      </c>
      <c r="O115" s="35">
        <f>IF(ClientDB[[#This Row],[Days]]=1,(ClientDB[[#This Row],[Days]]*$V$7),IF(ClientDB[[#This Row],[Days]]&gt;1,(ClientDB[[#This Row],[Days]]*$V$8),""))</f>
        <v>900</v>
      </c>
      <c r="P11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15" s="15" t="s">
        <v>901</v>
      </c>
      <c r="R115" s="15" t="str">
        <f>INDEX(Table4[[Regular]:[Special]],MATCH(ClientDB[[#Data],[Country Code]],Table4[[#Data],[Country]],0),MATCH(ClientDB[[#Data],[Meal]],Table4[[#Headers],[Regular]:[Special]],0))</f>
        <v>G</v>
      </c>
    </row>
    <row r="116" spans="1:18" x14ac:dyDescent="0.2">
      <c r="A116" s="10">
        <v>19009</v>
      </c>
      <c r="B116" t="s">
        <v>768</v>
      </c>
      <c r="C116" t="s">
        <v>769</v>
      </c>
      <c r="D116" s="18">
        <v>43038</v>
      </c>
      <c r="E116" s="34">
        <f>YEAR(ClientDB[[#This Row],[Start Date]])</f>
        <v>2017</v>
      </c>
      <c r="F116" t="s">
        <v>824</v>
      </c>
      <c r="G116" t="str">
        <f>VLOOKUP(ClientDB[[#This Row],[Org Code]],Table2[],2,0)</f>
        <v>Pink Cloud Networks</v>
      </c>
      <c r="H116" s="10" t="s">
        <v>59</v>
      </c>
      <c r="I116" s="10" t="str">
        <f>_xlfn.XLOOKUP(ClientDB[[#This Row],[Country Code]],Table3[[#All],[Country Codes]],Table3[[#All],[Country]],1,TRUE)</f>
        <v>Netherlands</v>
      </c>
      <c r="J116" s="15">
        <v>3</v>
      </c>
      <c r="K116" s="15" t="str">
        <f>IF(ClientDB[[#This Row],[Start Date]]&gt;=$U$14,"New","")</f>
        <v/>
      </c>
      <c r="L116" s="15" t="str">
        <f>IF(OR(ClientDB[[#This Row],[Start Year]]&lt;2016,ClientDB[[#This Row],[Events]]&gt;=6),"Gift","")</f>
        <v/>
      </c>
      <c r="M11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16" s="15">
        <v>1</v>
      </c>
      <c r="O116" s="35">
        <f>IF(ClientDB[[#This Row],[Days]]=1,(ClientDB[[#This Row],[Days]]*$V$7),IF(ClientDB[[#This Row],[Days]]&gt;1,(ClientDB[[#This Row],[Days]]*$V$8),""))</f>
        <v>350</v>
      </c>
      <c r="P11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116" s="15" t="s">
        <v>901</v>
      </c>
      <c r="R116" s="15" t="str">
        <f>INDEX(Table4[[Regular]:[Special]],MATCH(ClientDB[[#Data],[Country Code]],Table4[[#Data],[Country]],0),MATCH(ClientDB[[#Data],[Meal]],Table4[[#Headers],[Regular]:[Special]],0))</f>
        <v>F</v>
      </c>
    </row>
    <row r="117" spans="1:18" x14ac:dyDescent="0.2">
      <c r="A117" s="10">
        <v>19381</v>
      </c>
      <c r="B117" t="s">
        <v>497</v>
      </c>
      <c r="C117" t="s">
        <v>498</v>
      </c>
      <c r="D117" s="18">
        <v>42915</v>
      </c>
      <c r="E117" s="34">
        <f>YEAR(ClientDB[[#This Row],[Start Date]])</f>
        <v>2017</v>
      </c>
      <c r="F117" t="s">
        <v>835</v>
      </c>
      <c r="G117" t="str">
        <f>VLOOKUP(ClientDB[[#This Row],[Org Code]],Table2[],2,0)</f>
        <v>West Telco</v>
      </c>
      <c r="H117" s="10" t="s">
        <v>46</v>
      </c>
      <c r="I117" s="10" t="str">
        <f>_xlfn.XLOOKUP(ClientDB[[#This Row],[Country Code]],Table3[[#All],[Country Codes]],Table3[[#All],[Country]],1,TRUE)</f>
        <v>Germany</v>
      </c>
      <c r="J117" s="15">
        <v>6</v>
      </c>
      <c r="K117" s="15" t="str">
        <f>IF(ClientDB[[#This Row],[Start Date]]&gt;=$U$14,"New","")</f>
        <v/>
      </c>
      <c r="L117" s="15" t="str">
        <f>IF(OR(ClientDB[[#This Row],[Start Year]]&lt;2016,ClientDB[[#This Row],[Events]]&gt;=6),"Gift","")</f>
        <v>Gift</v>
      </c>
      <c r="M11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17" s="15">
        <v>3</v>
      </c>
      <c r="O117" s="35">
        <f>IF(ClientDB[[#This Row],[Days]]=1,(ClientDB[[#This Row],[Days]]*$V$7),IF(ClientDB[[#This Row],[Days]]&gt;1,(ClientDB[[#This Row],[Days]]*$V$8),""))</f>
        <v>900</v>
      </c>
      <c r="P11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17" s="15" t="s">
        <v>899</v>
      </c>
      <c r="R117" s="15" t="str">
        <f>INDEX(Table4[[Regular]:[Special]],MATCH(ClientDB[[#Data],[Country Code]],Table4[[#Data],[Country]],0),MATCH(ClientDB[[#Data],[Meal]],Table4[[#Headers],[Regular]:[Special]],0))</f>
        <v>A</v>
      </c>
    </row>
    <row r="118" spans="1:18" x14ac:dyDescent="0.2">
      <c r="A118" s="10">
        <v>19467</v>
      </c>
      <c r="B118" t="s">
        <v>721</v>
      </c>
      <c r="C118" t="s">
        <v>722</v>
      </c>
      <c r="D118" s="18">
        <v>42388</v>
      </c>
      <c r="E118" s="34">
        <f>YEAR(ClientDB[[#This Row],[Start Date]])</f>
        <v>2016</v>
      </c>
      <c r="F118" t="s">
        <v>827</v>
      </c>
      <c r="G118" t="str">
        <f>VLOOKUP(ClientDB[[#This Row],[Org Code]],Table2[],2,0)</f>
        <v>Ripple Com</v>
      </c>
      <c r="H118" s="10" t="s">
        <v>15</v>
      </c>
      <c r="I118" s="10" t="str">
        <f>_xlfn.XLOOKUP(ClientDB[[#This Row],[Country Code]],Table3[[#All],[Country Codes]],Table3[[#All],[Country]],1,TRUE)</f>
        <v>United Kingdom</v>
      </c>
      <c r="J118" s="15">
        <v>13</v>
      </c>
      <c r="K118" s="15" t="str">
        <f>IF(ClientDB[[#This Row],[Start Date]]&gt;=$U$14,"New","")</f>
        <v/>
      </c>
      <c r="L118" s="15" t="str">
        <f>IF(OR(ClientDB[[#This Row],[Start Year]]&lt;2016,ClientDB[[#This Row],[Events]]&gt;=6),"Gift","")</f>
        <v>Gift</v>
      </c>
      <c r="M118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18" s="15">
        <v>1</v>
      </c>
      <c r="O118" s="35">
        <f>IF(ClientDB[[#This Row],[Days]]=1,(ClientDB[[#This Row],[Days]]*$V$7),IF(ClientDB[[#This Row],[Days]]&gt;1,(ClientDB[[#This Row],[Days]]*$V$8),""))</f>
        <v>350</v>
      </c>
      <c r="P11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118" s="15" t="s">
        <v>901</v>
      </c>
      <c r="R118" s="15" t="str">
        <f>INDEX(Table4[[Regular]:[Special]],MATCH(ClientDB[[#Data],[Country Code]],Table4[[#Data],[Country]],0),MATCH(ClientDB[[#Data],[Meal]],Table4[[#Headers],[Regular]:[Special]],0))</f>
        <v>E</v>
      </c>
    </row>
    <row r="119" spans="1:18" x14ac:dyDescent="0.2">
      <c r="A119" s="10">
        <v>19488</v>
      </c>
      <c r="B119" t="s">
        <v>81</v>
      </c>
      <c r="C119" t="s">
        <v>82</v>
      </c>
      <c r="D119" s="18">
        <v>42327</v>
      </c>
      <c r="E119" s="34">
        <f>YEAR(ClientDB[[#This Row],[Start Date]])</f>
        <v>2015</v>
      </c>
      <c r="F119" t="s">
        <v>828</v>
      </c>
      <c r="G119" t="str">
        <f>VLOOKUP(ClientDB[[#This Row],[Org Code]],Table2[],2,0)</f>
        <v>Shaw Construction</v>
      </c>
      <c r="H119" s="10" t="s">
        <v>84</v>
      </c>
      <c r="I119" s="10" t="str">
        <f>_xlfn.XLOOKUP(ClientDB[[#This Row],[Country Code]],Table3[[#All],[Country Codes]],Table3[[#All],[Country]],1,TRUE)</f>
        <v>Norway</v>
      </c>
      <c r="J119" s="15">
        <v>21</v>
      </c>
      <c r="K119" s="15" t="str">
        <f>IF(ClientDB[[#This Row],[Start Date]]&gt;=$U$14,"New","")</f>
        <v/>
      </c>
      <c r="L119" s="15" t="str">
        <f>IF(OR(ClientDB[[#This Row],[Start Year]]&lt;2016,ClientDB[[#This Row],[Events]]&gt;=6),"Gift","")</f>
        <v>Gift</v>
      </c>
      <c r="M119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119" s="15">
        <v>2</v>
      </c>
      <c r="O119" s="35">
        <f>IF(ClientDB[[#This Row],[Days]]=1,(ClientDB[[#This Row],[Days]]*$V$7),IF(ClientDB[[#This Row],[Days]]&gt;1,(ClientDB[[#This Row],[Days]]*$V$8),""))</f>
        <v>600</v>
      </c>
      <c r="P11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19" s="15" t="s">
        <v>901</v>
      </c>
      <c r="R119" s="15" t="str">
        <f>INDEX(Table4[[Regular]:[Special]],MATCH(ClientDB[[#Data],[Country Code]],Table4[[#Data],[Country]],0),MATCH(ClientDB[[#Data],[Meal]],Table4[[#Headers],[Regular]:[Special]],0))</f>
        <v>F</v>
      </c>
    </row>
    <row r="120" spans="1:18" x14ac:dyDescent="0.2">
      <c r="A120" s="10">
        <v>19639</v>
      </c>
      <c r="B120" t="s">
        <v>135</v>
      </c>
      <c r="C120" t="s">
        <v>577</v>
      </c>
      <c r="D120" s="18">
        <v>42786</v>
      </c>
      <c r="E120" s="34">
        <f>YEAR(ClientDB[[#This Row],[Start Date]])</f>
        <v>2017</v>
      </c>
      <c r="F120" t="s">
        <v>815</v>
      </c>
      <c r="G120" t="str">
        <f>VLOOKUP(ClientDB[[#This Row],[Org Code]],Table2[],2,0)</f>
        <v>Intelligence Systems</v>
      </c>
      <c r="H120" s="10" t="s">
        <v>578</v>
      </c>
      <c r="I120" s="10" t="str">
        <f>_xlfn.XLOOKUP(ClientDB[[#This Row],[Country Code]],Table3[[#All],[Country Codes]],Table3[[#All],[Country]],1,TRUE)</f>
        <v>Canada</v>
      </c>
      <c r="J120" s="15">
        <v>10</v>
      </c>
      <c r="K120" s="15" t="str">
        <f>IF(ClientDB[[#This Row],[Start Date]]&gt;=$U$14,"New","")</f>
        <v/>
      </c>
      <c r="L120" s="15" t="str">
        <f>IF(OR(ClientDB[[#This Row],[Start Year]]&lt;2016,ClientDB[[#This Row],[Events]]&gt;=6),"Gift","")</f>
        <v>Gift</v>
      </c>
      <c r="M120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20" s="15">
        <v>1</v>
      </c>
      <c r="O120" s="35">
        <f>IF(ClientDB[[#This Row],[Days]]=1,(ClientDB[[#This Row],[Days]]*$V$7),IF(ClientDB[[#This Row],[Days]]&gt;1,(ClientDB[[#This Row],[Days]]*$V$8),""))</f>
        <v>350</v>
      </c>
      <c r="P12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120" s="15" t="s">
        <v>902</v>
      </c>
      <c r="R120" s="15" t="str">
        <f>INDEX(Table4[[Regular]:[Special]],MATCH(ClientDB[[#Data],[Country Code]],Table4[[#Data],[Country]],0),MATCH(ClientDB[[#Data],[Meal]],Table4[[#Headers],[Regular]:[Special]],0))</f>
        <v>B</v>
      </c>
    </row>
    <row r="121" spans="1:18" x14ac:dyDescent="0.2">
      <c r="A121" s="10">
        <v>19766</v>
      </c>
      <c r="B121" t="s">
        <v>216</v>
      </c>
      <c r="C121" t="s">
        <v>217</v>
      </c>
      <c r="D121" s="18">
        <v>43445</v>
      </c>
      <c r="E121" s="34">
        <f>YEAR(ClientDB[[#This Row],[Start Date]])</f>
        <v>2018</v>
      </c>
      <c r="F121" t="s">
        <v>839</v>
      </c>
      <c r="G121" t="str">
        <f>VLOOKUP(ClientDB[[#This Row],[Org Code]],Table2[],2,0)</f>
        <v>Zconnect, Inc</v>
      </c>
      <c r="H121" s="10" t="s">
        <v>218</v>
      </c>
      <c r="I121" s="10" t="str">
        <f>_xlfn.XLOOKUP(ClientDB[[#This Row],[Country Code]],Table3[[#All],[Country Codes]],Table3[[#All],[Country]],1,TRUE)</f>
        <v>Estonia</v>
      </c>
      <c r="J121" s="15">
        <v>5</v>
      </c>
      <c r="K121" s="15" t="str">
        <f>IF(ClientDB[[#This Row],[Start Date]]&gt;=$U$14,"New","")</f>
        <v/>
      </c>
      <c r="L121" s="15" t="str">
        <f>IF(OR(ClientDB[[#This Row],[Start Year]]&lt;2016,ClientDB[[#This Row],[Events]]&gt;=6),"Gift","")</f>
        <v/>
      </c>
      <c r="M12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21" s="15">
        <v>3</v>
      </c>
      <c r="O121" s="35">
        <f>IF(ClientDB[[#This Row],[Days]]=1,(ClientDB[[#This Row],[Days]]*$V$7),IF(ClientDB[[#This Row],[Days]]&gt;1,(ClientDB[[#This Row],[Days]]*$V$8),""))</f>
        <v>900</v>
      </c>
      <c r="P12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21" s="15" t="s">
        <v>901</v>
      </c>
      <c r="R121" s="15" t="str">
        <f>INDEX(Table4[[Regular]:[Special]],MATCH(ClientDB[[#Data],[Country Code]],Table4[[#Data],[Country]],0),MATCH(ClientDB[[#Data],[Meal]],Table4[[#Headers],[Regular]:[Special]],0))</f>
        <v>D</v>
      </c>
    </row>
    <row r="122" spans="1:18" x14ac:dyDescent="0.2">
      <c r="A122" s="10">
        <v>20093</v>
      </c>
      <c r="B122" t="s">
        <v>557</v>
      </c>
      <c r="C122" t="s">
        <v>558</v>
      </c>
      <c r="D122" s="18">
        <v>42403</v>
      </c>
      <c r="E122" s="34">
        <f>YEAR(ClientDB[[#This Row],[Start Date]])</f>
        <v>2016</v>
      </c>
      <c r="F122" t="s">
        <v>827</v>
      </c>
      <c r="G122" t="str">
        <f>VLOOKUP(ClientDB[[#This Row],[Org Code]],Table2[],2,0)</f>
        <v>Ripple Com</v>
      </c>
      <c r="H122" s="10" t="s">
        <v>15</v>
      </c>
      <c r="I122" s="10" t="str">
        <f>_xlfn.XLOOKUP(ClientDB[[#This Row],[Country Code]],Table3[[#All],[Country Codes]],Table3[[#All],[Country]],1,TRUE)</f>
        <v>United Kingdom</v>
      </c>
      <c r="J122" s="15">
        <v>28</v>
      </c>
      <c r="K122" s="15" t="str">
        <f>IF(ClientDB[[#This Row],[Start Date]]&gt;=$U$14,"New","")</f>
        <v/>
      </c>
      <c r="L122" s="15" t="str">
        <f>IF(OR(ClientDB[[#This Row],[Start Year]]&lt;2016,ClientDB[[#This Row],[Events]]&gt;=6),"Gift","")</f>
        <v>Gift</v>
      </c>
      <c r="M122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122" s="15">
        <v>3</v>
      </c>
      <c r="O122" s="35">
        <f>IF(ClientDB[[#This Row],[Days]]=1,(ClientDB[[#This Row],[Days]]*$V$7),IF(ClientDB[[#This Row],[Days]]&gt;1,(ClientDB[[#This Row],[Days]]*$V$8),""))</f>
        <v>900</v>
      </c>
      <c r="P12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22" s="15" t="s">
        <v>899</v>
      </c>
      <c r="R122" s="15" t="str">
        <f>INDEX(Table4[[Regular]:[Special]],MATCH(ClientDB[[#Data],[Country Code]],Table4[[#Data],[Country]],0),MATCH(ClientDB[[#Data],[Meal]],Table4[[#Headers],[Regular]:[Special]],0))</f>
        <v>A</v>
      </c>
    </row>
    <row r="123" spans="1:18" x14ac:dyDescent="0.2">
      <c r="A123" s="10">
        <v>20210</v>
      </c>
      <c r="B123" t="s">
        <v>468</v>
      </c>
      <c r="C123" t="s">
        <v>469</v>
      </c>
      <c r="D123" s="18">
        <v>43467</v>
      </c>
      <c r="E123" s="34">
        <f>YEAR(ClientDB[[#This Row],[Start Date]])</f>
        <v>2019</v>
      </c>
      <c r="F123" t="s">
        <v>827</v>
      </c>
      <c r="G123" t="str">
        <f>VLOOKUP(ClientDB[[#This Row],[Org Code]],Table2[],2,0)</f>
        <v>Ripple Com</v>
      </c>
      <c r="H123" s="10" t="s">
        <v>34</v>
      </c>
      <c r="I123" s="10" t="str">
        <f>_xlfn.XLOOKUP(ClientDB[[#This Row],[Country Code]],Table3[[#All],[Country Codes]],Table3[[#All],[Country]],1,TRUE)</f>
        <v>United States</v>
      </c>
      <c r="J123" s="15">
        <v>13</v>
      </c>
      <c r="K123" s="15" t="str">
        <f>IF(ClientDB[[#This Row],[Start Date]]&gt;=$U$14,"New","")</f>
        <v/>
      </c>
      <c r="L123" s="15" t="str">
        <f>IF(OR(ClientDB[[#This Row],[Start Year]]&lt;2016,ClientDB[[#This Row],[Events]]&gt;=6),"Gift","")</f>
        <v>Gift</v>
      </c>
      <c r="M123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23" s="15">
        <v>3</v>
      </c>
      <c r="O123" s="35">
        <f>IF(ClientDB[[#This Row],[Days]]=1,(ClientDB[[#This Row],[Days]]*$V$7),IF(ClientDB[[#This Row],[Days]]&gt;1,(ClientDB[[#This Row],[Days]]*$V$8),""))</f>
        <v>900</v>
      </c>
      <c r="P12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23" s="15" t="s">
        <v>901</v>
      </c>
      <c r="R123" s="15" t="str">
        <f>INDEX(Table4[[Regular]:[Special]],MATCH(ClientDB[[#Data],[Country Code]],Table4[[#Data],[Country]],0),MATCH(ClientDB[[#Data],[Meal]],Table4[[#Headers],[Regular]:[Special]],0))</f>
        <v>G</v>
      </c>
    </row>
    <row r="124" spans="1:18" x14ac:dyDescent="0.2">
      <c r="A124" s="10">
        <v>20262</v>
      </c>
      <c r="B124" t="s">
        <v>253</v>
      </c>
      <c r="C124" t="s">
        <v>254</v>
      </c>
      <c r="D124" s="18">
        <v>42359</v>
      </c>
      <c r="E124" s="34">
        <f>YEAR(ClientDB[[#This Row],[Start Date]])</f>
        <v>2015</v>
      </c>
      <c r="F124" t="s">
        <v>827</v>
      </c>
      <c r="G124" t="str">
        <f>VLOOKUP(ClientDB[[#This Row],[Org Code]],Table2[],2,0)</f>
        <v>Ripple Com</v>
      </c>
      <c r="H124" s="10" t="s">
        <v>15</v>
      </c>
      <c r="I124" s="10" t="str">
        <f>_xlfn.XLOOKUP(ClientDB[[#This Row],[Country Code]],Table3[[#All],[Country Codes]],Table3[[#All],[Country]],1,TRUE)</f>
        <v>United Kingdom</v>
      </c>
      <c r="J124" s="15">
        <v>5</v>
      </c>
      <c r="K124" s="15" t="str">
        <f>IF(ClientDB[[#This Row],[Start Date]]&gt;=$U$14,"New","")</f>
        <v/>
      </c>
      <c r="L124" s="15" t="str">
        <f>IF(OR(ClientDB[[#This Row],[Start Year]]&lt;2016,ClientDB[[#This Row],[Events]]&gt;=6),"Gift","")</f>
        <v>Gift</v>
      </c>
      <c r="M12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24" s="15">
        <v>2</v>
      </c>
      <c r="O124" s="35">
        <f>IF(ClientDB[[#This Row],[Days]]=1,(ClientDB[[#This Row],[Days]]*$V$7),IF(ClientDB[[#This Row],[Days]]&gt;1,(ClientDB[[#This Row],[Days]]*$V$8),""))</f>
        <v>600</v>
      </c>
      <c r="P12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24" s="15" t="s">
        <v>900</v>
      </c>
      <c r="R124" s="15" t="str">
        <f>INDEX(Table4[[Regular]:[Special]],MATCH(ClientDB[[#Data],[Country Code]],Table4[[#Data],[Country]],0),MATCH(ClientDB[[#Data],[Meal]],Table4[[#Headers],[Regular]:[Special]],0))</f>
        <v>A</v>
      </c>
    </row>
    <row r="125" spans="1:18" x14ac:dyDescent="0.2">
      <c r="A125" s="10">
        <v>20326</v>
      </c>
      <c r="B125" t="s">
        <v>275</v>
      </c>
      <c r="C125" t="s">
        <v>276</v>
      </c>
      <c r="D125" s="18">
        <v>42859</v>
      </c>
      <c r="E125" s="34">
        <f>YEAR(ClientDB[[#This Row],[Start Date]])</f>
        <v>2017</v>
      </c>
      <c r="F125" t="s">
        <v>822</v>
      </c>
      <c r="G125" t="str">
        <f>VLOOKUP(ClientDB[[#This Row],[Org Code]],Table2[],2,0)</f>
        <v>PicSure</v>
      </c>
      <c r="H125" s="10" t="s">
        <v>277</v>
      </c>
      <c r="I125" s="10" t="str">
        <f>_xlfn.XLOOKUP(ClientDB[[#This Row],[Country Code]],Table3[[#All],[Country Codes]],Table3[[#All],[Country]],1,TRUE)</f>
        <v>Saudi Arabia</v>
      </c>
      <c r="J125" s="15">
        <v>9</v>
      </c>
      <c r="K125" s="15" t="str">
        <f>IF(ClientDB[[#This Row],[Start Date]]&gt;=$U$14,"New","")</f>
        <v/>
      </c>
      <c r="L125" s="15" t="str">
        <f>IF(OR(ClientDB[[#This Row],[Start Year]]&lt;2016,ClientDB[[#This Row],[Events]]&gt;=6),"Gift","")</f>
        <v>Gift</v>
      </c>
      <c r="M12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25" s="15">
        <v>1</v>
      </c>
      <c r="O125" s="35">
        <f>IF(ClientDB[[#This Row],[Days]]=1,(ClientDB[[#This Row],[Days]]*$V$7),IF(ClientDB[[#This Row],[Days]]&gt;1,(ClientDB[[#This Row],[Days]]*$V$8),""))</f>
        <v>350</v>
      </c>
      <c r="P12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25" s="15" t="s">
        <v>902</v>
      </c>
      <c r="R125" s="15" t="str">
        <f>INDEX(Table4[[Regular]:[Special]],MATCH(ClientDB[[#Data],[Country Code]],Table4[[#Data],[Country]],0),MATCH(ClientDB[[#Data],[Meal]],Table4[[#Headers],[Regular]:[Special]],0))</f>
        <v>C</v>
      </c>
    </row>
    <row r="126" spans="1:18" x14ac:dyDescent="0.2">
      <c r="A126" s="10">
        <v>20467</v>
      </c>
      <c r="B126" t="s">
        <v>296</v>
      </c>
      <c r="C126" t="s">
        <v>420</v>
      </c>
      <c r="D126" s="18">
        <v>42522</v>
      </c>
      <c r="E126" s="34">
        <f>YEAR(ClientDB[[#This Row],[Start Date]])</f>
        <v>2016</v>
      </c>
      <c r="F126" t="s">
        <v>811</v>
      </c>
      <c r="G126" t="str">
        <f>VLOOKUP(ClientDB[[#This Row],[Org Code]],Table2[],2,0)</f>
        <v>EYN</v>
      </c>
      <c r="H126" s="10" t="s">
        <v>363</v>
      </c>
      <c r="I126" s="10" t="str">
        <f>_xlfn.XLOOKUP(ClientDB[[#This Row],[Country Code]],Table3[[#All],[Country Codes]],Table3[[#All],[Country]],1,TRUE)</f>
        <v>Hong Kong</v>
      </c>
      <c r="J126" s="15">
        <v>2</v>
      </c>
      <c r="K126" s="15" t="str">
        <f>IF(ClientDB[[#This Row],[Start Date]]&gt;=$U$14,"New","")</f>
        <v/>
      </c>
      <c r="L126" s="15" t="str">
        <f>IF(OR(ClientDB[[#This Row],[Start Year]]&lt;2016,ClientDB[[#This Row],[Events]]&gt;=6),"Gift","")</f>
        <v/>
      </c>
      <c r="M12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26" s="15">
        <v>2</v>
      </c>
      <c r="O126" s="35">
        <f>IF(ClientDB[[#This Row],[Days]]=1,(ClientDB[[#This Row],[Days]]*$V$7),IF(ClientDB[[#This Row],[Days]]&gt;1,(ClientDB[[#This Row],[Days]]*$V$8),""))</f>
        <v>600</v>
      </c>
      <c r="P12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26" s="15" t="s">
        <v>902</v>
      </c>
      <c r="R126" s="15" t="str">
        <f>INDEX(Table4[[Regular]:[Special]],MATCH(ClientDB[[#Data],[Country Code]],Table4[[#Data],[Country]],0),MATCH(ClientDB[[#Data],[Meal]],Table4[[#Headers],[Regular]:[Special]],0))</f>
        <v>C</v>
      </c>
    </row>
    <row r="127" spans="1:18" x14ac:dyDescent="0.2">
      <c r="A127" s="10">
        <v>20546</v>
      </c>
      <c r="B127" t="s">
        <v>625</v>
      </c>
      <c r="C127" t="s">
        <v>626</v>
      </c>
      <c r="D127" s="18">
        <v>42499</v>
      </c>
      <c r="E127" s="34">
        <f>YEAR(ClientDB[[#This Row],[Start Date]])</f>
        <v>2016</v>
      </c>
      <c r="F127" t="s">
        <v>814</v>
      </c>
      <c r="G127" t="str">
        <f>VLOOKUP(ClientDB[[#This Row],[Org Code]],Table2[],2,0)</f>
        <v>ICANT</v>
      </c>
      <c r="H127" s="10" t="s">
        <v>7</v>
      </c>
      <c r="I127" s="10" t="str">
        <f>_xlfn.XLOOKUP(ClientDB[[#This Row],[Country Code]],Table3[[#All],[Country Codes]],Table3[[#All],[Country]],1,TRUE)</f>
        <v>Iran</v>
      </c>
      <c r="J127" s="15">
        <v>8</v>
      </c>
      <c r="K127" s="15" t="str">
        <f>IF(ClientDB[[#This Row],[Start Date]]&gt;=$U$14,"New","")</f>
        <v/>
      </c>
      <c r="L127" s="15" t="str">
        <f>IF(OR(ClientDB[[#This Row],[Start Year]]&lt;2016,ClientDB[[#This Row],[Events]]&gt;=6),"Gift","")</f>
        <v>Gift</v>
      </c>
      <c r="M12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27" s="15">
        <v>1</v>
      </c>
      <c r="O127" s="35">
        <f>IF(ClientDB[[#This Row],[Days]]=1,(ClientDB[[#This Row],[Days]]*$V$7),IF(ClientDB[[#This Row],[Days]]&gt;1,(ClientDB[[#This Row],[Days]]*$V$8),""))</f>
        <v>350</v>
      </c>
      <c r="P12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27" s="15" t="s">
        <v>899</v>
      </c>
      <c r="R127" s="15" t="str">
        <f>INDEX(Table4[[Regular]:[Special]],MATCH(ClientDB[[#Data],[Country Code]],Table4[[#Data],[Country]],0),MATCH(ClientDB[[#Data],[Meal]],Table4[[#Headers],[Regular]:[Special]],0))</f>
        <v>A</v>
      </c>
    </row>
    <row r="128" spans="1:18" x14ac:dyDescent="0.2">
      <c r="A128" s="10">
        <v>20580</v>
      </c>
      <c r="B128" t="s">
        <v>438</v>
      </c>
      <c r="C128" t="s">
        <v>439</v>
      </c>
      <c r="D128" s="18">
        <v>42761</v>
      </c>
      <c r="E128" s="34">
        <f>YEAR(ClientDB[[#This Row],[Start Date]])</f>
        <v>2017</v>
      </c>
      <c r="F128" t="s">
        <v>827</v>
      </c>
      <c r="G128" t="str">
        <f>VLOOKUP(ClientDB[[#This Row],[Org Code]],Table2[],2,0)</f>
        <v>Ripple Com</v>
      </c>
      <c r="H128" s="10" t="s">
        <v>15</v>
      </c>
      <c r="I128" s="10" t="str">
        <f>_xlfn.XLOOKUP(ClientDB[[#This Row],[Country Code]],Table3[[#All],[Country Codes]],Table3[[#All],[Country]],1,TRUE)</f>
        <v>United Kingdom</v>
      </c>
      <c r="J128" s="15">
        <v>12</v>
      </c>
      <c r="K128" s="15" t="str">
        <f>IF(ClientDB[[#This Row],[Start Date]]&gt;=$U$14,"New","")</f>
        <v/>
      </c>
      <c r="L128" s="15" t="str">
        <f>IF(OR(ClientDB[[#This Row],[Start Year]]&lt;2016,ClientDB[[#This Row],[Events]]&gt;=6),"Gift","")</f>
        <v>Gift</v>
      </c>
      <c r="M128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28" s="15">
        <v>2</v>
      </c>
      <c r="O128" s="35">
        <f>IF(ClientDB[[#This Row],[Days]]=1,(ClientDB[[#This Row],[Days]]*$V$7),IF(ClientDB[[#This Row],[Days]]&gt;1,(ClientDB[[#This Row],[Days]]*$V$8),""))</f>
        <v>600</v>
      </c>
      <c r="P12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28" s="15" t="s">
        <v>901</v>
      </c>
      <c r="R128" s="15" t="str">
        <f>INDEX(Table4[[Regular]:[Special]],MATCH(ClientDB[[#Data],[Country Code]],Table4[[#Data],[Country]],0),MATCH(ClientDB[[#Data],[Meal]],Table4[[#Headers],[Regular]:[Special]],0))</f>
        <v>E</v>
      </c>
    </row>
    <row r="129" spans="1:18" x14ac:dyDescent="0.2">
      <c r="A129" s="10">
        <v>20596</v>
      </c>
      <c r="B129" t="s">
        <v>641</v>
      </c>
      <c r="C129" t="s">
        <v>642</v>
      </c>
      <c r="D129" s="18">
        <v>42647</v>
      </c>
      <c r="E129" s="34">
        <f>YEAR(ClientDB[[#This Row],[Start Date]])</f>
        <v>2016</v>
      </c>
      <c r="F129" t="s">
        <v>815</v>
      </c>
      <c r="G129" t="str">
        <f>VLOOKUP(ClientDB[[#This Row],[Org Code]],Table2[],2,0)</f>
        <v>Intelligence Systems</v>
      </c>
      <c r="H129" s="10" t="s">
        <v>643</v>
      </c>
      <c r="I129" s="10" t="str">
        <f>_xlfn.XLOOKUP(ClientDB[[#This Row],[Country Code]],Table3[[#All],[Country Codes]],Table3[[#All],[Country]],1,TRUE)</f>
        <v>Turkey</v>
      </c>
      <c r="J129" s="15">
        <v>20</v>
      </c>
      <c r="K129" s="15" t="str">
        <f>IF(ClientDB[[#This Row],[Start Date]]&gt;=$U$14,"New","")</f>
        <v/>
      </c>
      <c r="L129" s="15" t="str">
        <f>IF(OR(ClientDB[[#This Row],[Start Year]]&lt;2016,ClientDB[[#This Row],[Events]]&gt;=6),"Gift","")</f>
        <v>Gift</v>
      </c>
      <c r="M129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129" s="15">
        <v>3</v>
      </c>
      <c r="O129" s="35">
        <f>IF(ClientDB[[#This Row],[Days]]=1,(ClientDB[[#This Row],[Days]]*$V$7),IF(ClientDB[[#This Row],[Days]]&gt;1,(ClientDB[[#This Row],[Days]]*$V$8),""))</f>
        <v>900</v>
      </c>
      <c r="P12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29" s="15" t="s">
        <v>899</v>
      </c>
      <c r="R129" s="15" t="str">
        <f>INDEX(Table4[[Regular]:[Special]],MATCH(ClientDB[[#Data],[Country Code]],Table4[[#Data],[Country]],0),MATCH(ClientDB[[#Data],[Meal]],Table4[[#Headers],[Regular]:[Special]],0))</f>
        <v>B</v>
      </c>
    </row>
    <row r="130" spans="1:18" x14ac:dyDescent="0.2">
      <c r="A130" s="10">
        <v>20616</v>
      </c>
      <c r="B130" t="s">
        <v>204</v>
      </c>
      <c r="C130" t="s">
        <v>205</v>
      </c>
      <c r="D130" s="18">
        <v>43375</v>
      </c>
      <c r="E130" s="34">
        <f>YEAR(ClientDB[[#This Row],[Start Date]])</f>
        <v>2018</v>
      </c>
      <c r="F130" t="s">
        <v>808</v>
      </c>
      <c r="G130" t="str">
        <f>VLOOKUP(ClientDB[[#This Row],[Org Code]],Table2[],2,0)</f>
        <v>Ebony Telecoms</v>
      </c>
      <c r="H130" s="10" t="s">
        <v>121</v>
      </c>
      <c r="I130" s="10" t="str">
        <f>_xlfn.XLOOKUP(ClientDB[[#This Row],[Country Code]],Table3[[#All],[Country Codes]],Table3[[#All],[Country]],1,TRUE)</f>
        <v>Portugal</v>
      </c>
      <c r="J130" s="15">
        <v>2</v>
      </c>
      <c r="K130" s="15" t="str">
        <f>IF(ClientDB[[#This Row],[Start Date]]&gt;=$U$14,"New","")</f>
        <v/>
      </c>
      <c r="L130" s="15" t="str">
        <f>IF(OR(ClientDB[[#This Row],[Start Year]]&lt;2016,ClientDB[[#This Row],[Events]]&gt;=6),"Gift","")</f>
        <v/>
      </c>
      <c r="M13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30" s="15">
        <v>1</v>
      </c>
      <c r="O130" s="35">
        <f>IF(ClientDB[[#This Row],[Days]]=1,(ClientDB[[#This Row],[Days]]*$V$7),IF(ClientDB[[#This Row],[Days]]&gt;1,(ClientDB[[#This Row],[Days]]*$V$8),""))</f>
        <v>350</v>
      </c>
      <c r="P13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130" s="15" t="s">
        <v>901</v>
      </c>
      <c r="R130" s="15" t="str">
        <f>INDEX(Table4[[Regular]:[Special]],MATCH(ClientDB[[#Data],[Country Code]],Table4[[#Data],[Country]],0),MATCH(ClientDB[[#Data],[Meal]],Table4[[#Headers],[Regular]:[Special]],0))</f>
        <v>G</v>
      </c>
    </row>
    <row r="131" spans="1:18" x14ac:dyDescent="0.2">
      <c r="A131" s="10">
        <v>20626</v>
      </c>
      <c r="B131" t="s">
        <v>636</v>
      </c>
      <c r="C131" t="s">
        <v>637</v>
      </c>
      <c r="D131" s="18">
        <v>42591</v>
      </c>
      <c r="E131" s="34">
        <f>YEAR(ClientDB[[#This Row],[Start Date]])</f>
        <v>2016</v>
      </c>
      <c r="F131" t="s">
        <v>809</v>
      </c>
      <c r="G131" t="str">
        <f>VLOOKUP(ClientDB[[#This Row],[Org Code]],Table2[],2,0)</f>
        <v>Epsilon Tech</v>
      </c>
      <c r="H131" s="10" t="s">
        <v>262</v>
      </c>
      <c r="I131" s="10" t="str">
        <f>_xlfn.XLOOKUP(ClientDB[[#This Row],[Country Code]],Table3[[#All],[Country Codes]],Table3[[#All],[Country]],1,TRUE)</f>
        <v>Poland</v>
      </c>
      <c r="J131" s="15">
        <v>7</v>
      </c>
      <c r="K131" s="15" t="str">
        <f>IF(ClientDB[[#This Row],[Start Date]]&gt;=$U$14,"New","")</f>
        <v/>
      </c>
      <c r="L131" s="15" t="str">
        <f>IF(OR(ClientDB[[#This Row],[Start Year]]&lt;2016,ClientDB[[#This Row],[Events]]&gt;=6),"Gift","")</f>
        <v>Gift</v>
      </c>
      <c r="M13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31" s="15">
        <v>1</v>
      </c>
      <c r="O131" s="35">
        <f>IF(ClientDB[[#This Row],[Days]]=1,(ClientDB[[#This Row],[Days]]*$V$7),IF(ClientDB[[#This Row],[Days]]&gt;1,(ClientDB[[#This Row],[Days]]*$V$8),""))</f>
        <v>350</v>
      </c>
      <c r="P13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31" s="15" t="s">
        <v>901</v>
      </c>
      <c r="R131" s="15" t="str">
        <f>INDEX(Table4[[Regular]:[Special]],MATCH(ClientDB[[#Data],[Country Code]],Table4[[#Data],[Country]],0),MATCH(ClientDB[[#Data],[Meal]],Table4[[#Headers],[Regular]:[Special]],0))</f>
        <v>F</v>
      </c>
    </row>
    <row r="132" spans="1:18" x14ac:dyDescent="0.2">
      <c r="A132" s="10">
        <v>20636</v>
      </c>
      <c r="B132" t="s">
        <v>172</v>
      </c>
      <c r="C132" t="s">
        <v>173</v>
      </c>
      <c r="D132" s="18">
        <v>42773</v>
      </c>
      <c r="E132" s="34">
        <f>YEAR(ClientDB[[#This Row],[Start Date]])</f>
        <v>2017</v>
      </c>
      <c r="F132" t="s">
        <v>831</v>
      </c>
      <c r="G132" t="str">
        <f>VLOOKUP(ClientDB[[#This Row],[Org Code]],Table2[],2,0)</f>
        <v>TatSan</v>
      </c>
      <c r="H132" s="10" t="s">
        <v>7</v>
      </c>
      <c r="I132" s="10" t="str">
        <f>_xlfn.XLOOKUP(ClientDB[[#This Row],[Country Code]],Table3[[#All],[Country Codes]],Table3[[#All],[Country]],1,TRUE)</f>
        <v>Iran</v>
      </c>
      <c r="J132" s="15">
        <v>1</v>
      </c>
      <c r="K132" s="15" t="str">
        <f>IF(ClientDB[[#This Row],[Start Date]]&gt;=$U$14,"New","")</f>
        <v/>
      </c>
      <c r="L132" s="15" t="str">
        <f>IF(OR(ClientDB[[#This Row],[Start Year]]&lt;2016,ClientDB[[#This Row],[Events]]&gt;=6),"Gift","")</f>
        <v/>
      </c>
      <c r="M13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32" s="15">
        <v>3</v>
      </c>
      <c r="O132" s="35">
        <f>IF(ClientDB[[#This Row],[Days]]=1,(ClientDB[[#This Row],[Days]]*$V$7),IF(ClientDB[[#This Row],[Days]]&gt;1,(ClientDB[[#This Row],[Days]]*$V$8),""))</f>
        <v>900</v>
      </c>
      <c r="P13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32" s="15" t="s">
        <v>901</v>
      </c>
      <c r="R132" s="15" t="str">
        <f>INDEX(Table4[[Regular]:[Special]],MATCH(ClientDB[[#Data],[Country Code]],Table4[[#Data],[Country]],0),MATCH(ClientDB[[#Data],[Meal]],Table4[[#Headers],[Regular]:[Special]],0))</f>
        <v>F</v>
      </c>
    </row>
    <row r="133" spans="1:18" x14ac:dyDescent="0.2">
      <c r="A133" s="10">
        <v>20752</v>
      </c>
      <c r="B133" t="s">
        <v>387</v>
      </c>
      <c r="C133" t="s">
        <v>388</v>
      </c>
      <c r="D133" s="18">
        <v>42204</v>
      </c>
      <c r="E133" s="34">
        <f>YEAR(ClientDB[[#This Row],[Start Date]])</f>
        <v>2015</v>
      </c>
      <c r="F133" t="s">
        <v>816</v>
      </c>
      <c r="G133" t="str">
        <f>VLOOKUP(ClientDB[[#This Row],[Org Code]],Table2[],2,0)</f>
        <v>IPI Bucharest</v>
      </c>
      <c r="H133" s="10" t="s">
        <v>59</v>
      </c>
      <c r="I133" s="10" t="str">
        <f>_xlfn.XLOOKUP(ClientDB[[#This Row],[Country Code]],Table3[[#All],[Country Codes]],Table3[[#All],[Country]],1,TRUE)</f>
        <v>Netherlands</v>
      </c>
      <c r="J133" s="15">
        <v>11</v>
      </c>
      <c r="K133" s="15" t="str">
        <f>IF(ClientDB[[#This Row],[Start Date]]&gt;=$U$14,"New","")</f>
        <v/>
      </c>
      <c r="L133" s="15" t="str">
        <f>IF(OR(ClientDB[[#This Row],[Start Year]]&lt;2016,ClientDB[[#This Row],[Events]]&gt;=6),"Gift","")</f>
        <v>Gift</v>
      </c>
      <c r="M133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33" s="15">
        <v>3</v>
      </c>
      <c r="O133" s="35">
        <f>IF(ClientDB[[#This Row],[Days]]=1,(ClientDB[[#This Row],[Days]]*$V$7),IF(ClientDB[[#This Row],[Days]]&gt;1,(ClientDB[[#This Row],[Days]]*$V$8),""))</f>
        <v>900</v>
      </c>
      <c r="P13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33" s="15" t="s">
        <v>899</v>
      </c>
      <c r="R133" s="15" t="str">
        <f>INDEX(Table4[[Regular]:[Special]],MATCH(ClientDB[[#Data],[Country Code]],Table4[[#Data],[Country]],0),MATCH(ClientDB[[#Data],[Meal]],Table4[[#Headers],[Regular]:[Special]],0))</f>
        <v>B</v>
      </c>
    </row>
    <row r="134" spans="1:18" x14ac:dyDescent="0.2">
      <c r="A134" s="10">
        <v>20767</v>
      </c>
      <c r="B134" t="s">
        <v>250</v>
      </c>
      <c r="C134" t="s">
        <v>251</v>
      </c>
      <c r="D134" s="18">
        <v>42395</v>
      </c>
      <c r="E134" s="34">
        <f>YEAR(ClientDB[[#This Row],[Start Date]])</f>
        <v>2016</v>
      </c>
      <c r="F134" t="s">
        <v>838</v>
      </c>
      <c r="G134" t="str">
        <f>VLOOKUP(ClientDB[[#This Row],[Org Code]],Table2[],2,0)</f>
        <v>xLAN Internet Exchange</v>
      </c>
      <c r="H134" s="10" t="s">
        <v>252</v>
      </c>
      <c r="I134" s="10" t="str">
        <f>_xlfn.XLOOKUP(ClientDB[[#This Row],[Country Code]],Table3[[#All],[Country Codes]],Table3[[#All],[Country]],1,TRUE)</f>
        <v>Palestinian Territories</v>
      </c>
      <c r="J134" s="15">
        <v>13</v>
      </c>
      <c r="K134" s="15" t="str">
        <f>IF(ClientDB[[#This Row],[Start Date]]&gt;=$U$14,"New","")</f>
        <v/>
      </c>
      <c r="L134" s="15" t="str">
        <f>IF(OR(ClientDB[[#This Row],[Start Year]]&lt;2016,ClientDB[[#This Row],[Events]]&gt;=6),"Gift","")</f>
        <v>Gift</v>
      </c>
      <c r="M134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34" s="15">
        <v>1</v>
      </c>
      <c r="O134" s="35">
        <f>IF(ClientDB[[#This Row],[Days]]=1,(ClientDB[[#This Row],[Days]]*$V$7),IF(ClientDB[[#This Row],[Days]]&gt;1,(ClientDB[[#This Row],[Days]]*$V$8),""))</f>
        <v>350</v>
      </c>
      <c r="P13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134" s="15" t="s">
        <v>899</v>
      </c>
      <c r="R134" s="15" t="str">
        <f>INDEX(Table4[[Regular]:[Special]],MATCH(ClientDB[[#Data],[Country Code]],Table4[[#Data],[Country]],0),MATCH(ClientDB[[#Data],[Meal]],Table4[[#Headers],[Regular]:[Special]],0))</f>
        <v>B</v>
      </c>
    </row>
    <row r="135" spans="1:18" x14ac:dyDescent="0.2">
      <c r="A135" s="10">
        <v>21000</v>
      </c>
      <c r="B135" t="s">
        <v>319</v>
      </c>
      <c r="C135" t="s">
        <v>320</v>
      </c>
      <c r="D135" s="18">
        <v>43762</v>
      </c>
      <c r="E135" s="34">
        <f>YEAR(ClientDB[[#This Row],[Start Date]])</f>
        <v>2019</v>
      </c>
      <c r="F135" t="s">
        <v>828</v>
      </c>
      <c r="G135" t="str">
        <f>VLOOKUP(ClientDB[[#This Row],[Org Code]],Table2[],2,0)</f>
        <v>Shaw Construction</v>
      </c>
      <c r="H135" s="10" t="s">
        <v>34</v>
      </c>
      <c r="I135" s="10" t="str">
        <f>_xlfn.XLOOKUP(ClientDB[[#This Row],[Country Code]],Table3[[#All],[Country Codes]],Table3[[#All],[Country]],1,TRUE)</f>
        <v>United States</v>
      </c>
      <c r="J135" s="15">
        <v>25</v>
      </c>
      <c r="K135" s="15" t="str">
        <f>IF(ClientDB[[#This Row],[Start Date]]&gt;=$U$14,"New","")</f>
        <v/>
      </c>
      <c r="L135" s="15" t="str">
        <f>IF(OR(ClientDB[[#This Row],[Start Year]]&lt;2016,ClientDB[[#This Row],[Events]]&gt;=6),"Gift","")</f>
        <v>Gift</v>
      </c>
      <c r="M135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135" s="15">
        <v>3</v>
      </c>
      <c r="O135" s="35">
        <f>IF(ClientDB[[#This Row],[Days]]=1,(ClientDB[[#This Row],[Days]]*$V$7),IF(ClientDB[[#This Row],[Days]]&gt;1,(ClientDB[[#This Row],[Days]]*$V$8),""))</f>
        <v>900</v>
      </c>
      <c r="P13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35" s="15" t="s">
        <v>900</v>
      </c>
      <c r="R135" s="15" t="str">
        <f>INDEX(Table4[[Regular]:[Special]],MATCH(ClientDB[[#Data],[Country Code]],Table4[[#Data],[Country]],0),MATCH(ClientDB[[#Data],[Meal]],Table4[[#Headers],[Regular]:[Special]],0))</f>
        <v>F</v>
      </c>
    </row>
    <row r="136" spans="1:18" x14ac:dyDescent="0.2">
      <c r="A136" s="10">
        <v>21037</v>
      </c>
      <c r="B136" t="s">
        <v>227</v>
      </c>
      <c r="C136" t="s">
        <v>228</v>
      </c>
      <c r="D136" s="18">
        <v>42768</v>
      </c>
      <c r="E136" s="34">
        <f>YEAR(ClientDB[[#This Row],[Start Date]])</f>
        <v>2017</v>
      </c>
      <c r="F136" t="s">
        <v>827</v>
      </c>
      <c r="G136" t="str">
        <f>VLOOKUP(ClientDB[[#This Row],[Org Code]],Table2[],2,0)</f>
        <v>Ripple Com</v>
      </c>
      <c r="H136" s="10" t="s">
        <v>26</v>
      </c>
      <c r="I136" s="10" t="str">
        <f>_xlfn.XLOOKUP(ClientDB[[#This Row],[Country Code]],Table3[[#All],[Country Codes]],Table3[[#All],[Country]],1,TRUE)</f>
        <v>Ukraine</v>
      </c>
      <c r="J136" s="15">
        <v>12</v>
      </c>
      <c r="K136" s="15" t="str">
        <f>IF(ClientDB[[#This Row],[Start Date]]&gt;=$U$14,"New","")</f>
        <v/>
      </c>
      <c r="L136" s="15" t="str">
        <f>IF(OR(ClientDB[[#This Row],[Start Year]]&lt;2016,ClientDB[[#This Row],[Events]]&gt;=6),"Gift","")</f>
        <v>Gift</v>
      </c>
      <c r="M136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36" s="15">
        <v>3</v>
      </c>
      <c r="O136" s="35">
        <f>IF(ClientDB[[#This Row],[Days]]=1,(ClientDB[[#This Row],[Days]]*$V$7),IF(ClientDB[[#This Row],[Days]]&gt;1,(ClientDB[[#This Row],[Days]]*$V$8),""))</f>
        <v>900</v>
      </c>
      <c r="P13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36" s="15" t="s">
        <v>902</v>
      </c>
      <c r="R136" s="15" t="str">
        <f>INDEX(Table4[[Regular]:[Special]],MATCH(ClientDB[[#Data],[Country Code]],Table4[[#Data],[Country]],0),MATCH(ClientDB[[#Data],[Meal]],Table4[[#Headers],[Regular]:[Special]],0))</f>
        <v>C</v>
      </c>
    </row>
    <row r="137" spans="1:18" x14ac:dyDescent="0.2">
      <c r="A137" s="10">
        <v>21129</v>
      </c>
      <c r="B137" t="s">
        <v>184</v>
      </c>
      <c r="C137" t="s">
        <v>185</v>
      </c>
      <c r="D137" s="18">
        <v>42501</v>
      </c>
      <c r="E137" s="34">
        <f>YEAR(ClientDB[[#This Row],[Start Date]])</f>
        <v>2016</v>
      </c>
      <c r="F137" t="s">
        <v>807</v>
      </c>
      <c r="G137" t="str">
        <f>VLOOKUP(ClientDB[[#This Row],[Org Code]],Table2[],2,0)</f>
        <v>Duet</v>
      </c>
      <c r="H137" s="10" t="s">
        <v>186</v>
      </c>
      <c r="I137" s="10" t="str">
        <f>_xlfn.XLOOKUP(ClientDB[[#This Row],[Country Code]],Table3[[#All],[Country Codes]],Table3[[#All],[Country]],1,TRUE)</f>
        <v>Slovenia</v>
      </c>
      <c r="J137" s="15">
        <v>7</v>
      </c>
      <c r="K137" s="15" t="str">
        <f>IF(ClientDB[[#This Row],[Start Date]]&gt;=$U$14,"New","")</f>
        <v/>
      </c>
      <c r="L137" s="15" t="str">
        <f>IF(OR(ClientDB[[#This Row],[Start Year]]&lt;2016,ClientDB[[#This Row],[Events]]&gt;=6),"Gift","")</f>
        <v>Gift</v>
      </c>
      <c r="M13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37" s="15">
        <v>1</v>
      </c>
      <c r="O137" s="35">
        <f>IF(ClientDB[[#This Row],[Days]]=1,(ClientDB[[#This Row],[Days]]*$V$7),IF(ClientDB[[#This Row],[Days]]&gt;1,(ClientDB[[#This Row],[Days]]*$V$8),""))</f>
        <v>350</v>
      </c>
      <c r="P13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37" s="15" t="s">
        <v>900</v>
      </c>
      <c r="R137" s="15" t="str">
        <f>INDEX(Table4[[Regular]:[Special]],MATCH(ClientDB[[#Data],[Country Code]],Table4[[#Data],[Country]],0),MATCH(ClientDB[[#Data],[Meal]],Table4[[#Headers],[Regular]:[Special]],0))</f>
        <v>C</v>
      </c>
    </row>
    <row r="138" spans="1:18" x14ac:dyDescent="0.2">
      <c r="A138" s="10">
        <v>21245</v>
      </c>
      <c r="B138" t="s">
        <v>303</v>
      </c>
      <c r="C138" t="s">
        <v>304</v>
      </c>
      <c r="D138" s="18">
        <v>43351</v>
      </c>
      <c r="E138" s="34">
        <f>YEAR(ClientDB[[#This Row],[Start Date]])</f>
        <v>2018</v>
      </c>
      <c r="F138" t="s">
        <v>834</v>
      </c>
      <c r="G138" t="str">
        <f>VLOOKUP(ClientDB[[#This Row],[Org Code]],Table2[],2,0)</f>
        <v>Verisize</v>
      </c>
      <c r="H138" s="10" t="s">
        <v>50</v>
      </c>
      <c r="I138" s="10" t="str">
        <f>_xlfn.XLOOKUP(ClientDB[[#This Row],[Country Code]],Table3[[#All],[Country Codes]],Table3[[#All],[Country]],1,TRUE)</f>
        <v>Finland</v>
      </c>
      <c r="J138" s="15">
        <v>8</v>
      </c>
      <c r="K138" s="15" t="str">
        <f>IF(ClientDB[[#This Row],[Start Date]]&gt;=$U$14,"New","")</f>
        <v/>
      </c>
      <c r="L138" s="15" t="str">
        <f>IF(OR(ClientDB[[#This Row],[Start Year]]&lt;2016,ClientDB[[#This Row],[Events]]&gt;=6),"Gift","")</f>
        <v>Gift</v>
      </c>
      <c r="M13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38" s="15">
        <v>3</v>
      </c>
      <c r="O138" s="35">
        <f>IF(ClientDB[[#This Row],[Days]]=1,(ClientDB[[#This Row],[Days]]*$V$7),IF(ClientDB[[#This Row],[Days]]&gt;1,(ClientDB[[#This Row],[Days]]*$V$8),""))</f>
        <v>900</v>
      </c>
      <c r="P13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38" s="15" t="s">
        <v>900</v>
      </c>
      <c r="R138" s="15" t="str">
        <f>INDEX(Table4[[Regular]:[Special]],MATCH(ClientDB[[#Data],[Country Code]],Table4[[#Data],[Country]],0),MATCH(ClientDB[[#Data],[Meal]],Table4[[#Headers],[Regular]:[Special]],0))</f>
        <v>A</v>
      </c>
    </row>
    <row r="139" spans="1:18" x14ac:dyDescent="0.2">
      <c r="A139" s="10">
        <v>21379</v>
      </c>
      <c r="B139" t="s">
        <v>214</v>
      </c>
      <c r="C139" t="s">
        <v>215</v>
      </c>
      <c r="D139" s="18">
        <v>43104</v>
      </c>
      <c r="E139" s="34">
        <f>YEAR(ClientDB[[#This Row],[Start Date]])</f>
        <v>2018</v>
      </c>
      <c r="F139" t="s">
        <v>827</v>
      </c>
      <c r="G139" t="str">
        <f>VLOOKUP(ClientDB[[#This Row],[Org Code]],Table2[],2,0)</f>
        <v>Ripple Com</v>
      </c>
      <c r="H139" s="10" t="s">
        <v>15</v>
      </c>
      <c r="I139" s="10" t="str">
        <f>_xlfn.XLOOKUP(ClientDB[[#This Row],[Country Code]],Table3[[#All],[Country Codes]],Table3[[#All],[Country]],1,TRUE)</f>
        <v>United Kingdom</v>
      </c>
      <c r="J139" s="15">
        <v>14</v>
      </c>
      <c r="K139" s="15" t="str">
        <f>IF(ClientDB[[#This Row],[Start Date]]&gt;=$U$14,"New","")</f>
        <v/>
      </c>
      <c r="L139" s="15" t="str">
        <f>IF(OR(ClientDB[[#This Row],[Start Year]]&lt;2016,ClientDB[[#This Row],[Events]]&gt;=6),"Gift","")</f>
        <v>Gift</v>
      </c>
      <c r="M139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39" s="15">
        <v>3</v>
      </c>
      <c r="O139" s="35">
        <f>IF(ClientDB[[#This Row],[Days]]=1,(ClientDB[[#This Row],[Days]]*$V$7),IF(ClientDB[[#This Row],[Days]]&gt;1,(ClientDB[[#This Row],[Days]]*$V$8),""))</f>
        <v>900</v>
      </c>
      <c r="P13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39" s="15" t="s">
        <v>901</v>
      </c>
      <c r="R139" s="15" t="str">
        <f>INDEX(Table4[[Regular]:[Special]],MATCH(ClientDB[[#Data],[Country Code]],Table4[[#Data],[Country]],0),MATCH(ClientDB[[#Data],[Meal]],Table4[[#Headers],[Regular]:[Special]],0))</f>
        <v>E</v>
      </c>
    </row>
    <row r="140" spans="1:18" x14ac:dyDescent="0.2">
      <c r="A140" s="10">
        <v>21397</v>
      </c>
      <c r="B140" t="s">
        <v>512</v>
      </c>
      <c r="C140" t="s">
        <v>513</v>
      </c>
      <c r="D140" s="18">
        <v>42931</v>
      </c>
      <c r="E140" s="34">
        <f>YEAR(ClientDB[[#This Row],[Start Date]])</f>
        <v>2017</v>
      </c>
      <c r="F140" t="s">
        <v>822</v>
      </c>
      <c r="G140" t="str">
        <f>VLOOKUP(ClientDB[[#This Row],[Org Code]],Table2[],2,0)</f>
        <v>PicSure</v>
      </c>
      <c r="H140" s="10" t="s">
        <v>143</v>
      </c>
      <c r="I140" s="10" t="str">
        <f>_xlfn.XLOOKUP(ClientDB[[#This Row],[Country Code]],Table3[[#All],[Country Codes]],Table3[[#All],[Country]],1,TRUE)</f>
        <v>Oman</v>
      </c>
      <c r="J140" s="15">
        <v>8</v>
      </c>
      <c r="K140" s="15" t="str">
        <f>IF(ClientDB[[#This Row],[Start Date]]&gt;=$U$14,"New","")</f>
        <v/>
      </c>
      <c r="L140" s="15" t="str">
        <f>IF(OR(ClientDB[[#This Row],[Start Year]]&lt;2016,ClientDB[[#This Row],[Events]]&gt;=6),"Gift","")</f>
        <v>Gift</v>
      </c>
      <c r="M14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40" s="15">
        <v>1</v>
      </c>
      <c r="O140" s="35">
        <f>IF(ClientDB[[#This Row],[Days]]=1,(ClientDB[[#This Row],[Days]]*$V$7),IF(ClientDB[[#This Row],[Days]]&gt;1,(ClientDB[[#This Row],[Days]]*$V$8),""))</f>
        <v>350</v>
      </c>
      <c r="P14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40" s="15" t="s">
        <v>902</v>
      </c>
      <c r="R140" s="15" t="str">
        <f>INDEX(Table4[[Regular]:[Special]],MATCH(ClientDB[[#Data],[Country Code]],Table4[[#Data],[Country]],0),MATCH(ClientDB[[#Data],[Meal]],Table4[[#Headers],[Regular]:[Special]],0))</f>
        <v>C</v>
      </c>
    </row>
    <row r="141" spans="1:18" x14ac:dyDescent="0.2">
      <c r="A141" s="10">
        <v>21652</v>
      </c>
      <c r="B141" t="s">
        <v>616</v>
      </c>
      <c r="C141" t="s">
        <v>709</v>
      </c>
      <c r="D141" s="18">
        <v>42805</v>
      </c>
      <c r="E141" s="34">
        <f>YEAR(ClientDB[[#This Row],[Start Date]])</f>
        <v>2017</v>
      </c>
      <c r="F141" t="s">
        <v>827</v>
      </c>
      <c r="G141" t="str">
        <f>VLOOKUP(ClientDB[[#This Row],[Org Code]],Table2[],2,0)</f>
        <v>Ripple Com</v>
      </c>
      <c r="H141" s="10" t="s">
        <v>7</v>
      </c>
      <c r="I141" s="10" t="str">
        <f>_xlfn.XLOOKUP(ClientDB[[#This Row],[Country Code]],Table3[[#All],[Country Codes]],Table3[[#All],[Country]],1,TRUE)</f>
        <v>Iran</v>
      </c>
      <c r="J141" s="15">
        <v>22</v>
      </c>
      <c r="K141" s="15" t="str">
        <f>IF(ClientDB[[#This Row],[Start Date]]&gt;=$U$14,"New","")</f>
        <v/>
      </c>
      <c r="L141" s="15" t="str">
        <f>IF(OR(ClientDB[[#This Row],[Start Year]]&lt;2016,ClientDB[[#This Row],[Events]]&gt;=6),"Gift","")</f>
        <v>Gift</v>
      </c>
      <c r="M141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141" s="15">
        <v>3</v>
      </c>
      <c r="O141" s="35">
        <f>IF(ClientDB[[#This Row],[Days]]=1,(ClientDB[[#This Row],[Days]]*$V$7),IF(ClientDB[[#This Row],[Days]]&gt;1,(ClientDB[[#This Row],[Days]]*$V$8),""))</f>
        <v>900</v>
      </c>
      <c r="P14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41" s="15" t="s">
        <v>900</v>
      </c>
      <c r="R141" s="15" t="str">
        <f>INDEX(Table4[[Regular]:[Special]],MATCH(ClientDB[[#Data],[Country Code]],Table4[[#Data],[Country]],0),MATCH(ClientDB[[#Data],[Meal]],Table4[[#Headers],[Regular]:[Special]],0))</f>
        <v>A</v>
      </c>
    </row>
    <row r="142" spans="1:18" x14ac:dyDescent="0.2">
      <c r="A142" s="10">
        <v>21701</v>
      </c>
      <c r="B142" t="s">
        <v>546</v>
      </c>
      <c r="C142" t="s">
        <v>547</v>
      </c>
      <c r="D142" s="18">
        <v>42650</v>
      </c>
      <c r="E142" s="34">
        <f>YEAR(ClientDB[[#This Row],[Start Date]])</f>
        <v>2016</v>
      </c>
      <c r="F142" t="s">
        <v>835</v>
      </c>
      <c r="G142" t="str">
        <f>VLOOKUP(ClientDB[[#This Row],[Org Code]],Table2[],2,0)</f>
        <v>West Telco</v>
      </c>
      <c r="H142" s="10" t="s">
        <v>274</v>
      </c>
      <c r="I142" s="10" t="str">
        <f>_xlfn.XLOOKUP(ClientDB[[#This Row],[Country Code]],Table3[[#All],[Country Codes]],Table3[[#All],[Country]],1,TRUE)</f>
        <v>Spain</v>
      </c>
      <c r="J142" s="15">
        <v>4</v>
      </c>
      <c r="K142" s="15" t="str">
        <f>IF(ClientDB[[#This Row],[Start Date]]&gt;=$U$14,"New","")</f>
        <v/>
      </c>
      <c r="L142" s="15" t="str">
        <f>IF(OR(ClientDB[[#This Row],[Start Year]]&lt;2016,ClientDB[[#This Row],[Events]]&gt;=6),"Gift","")</f>
        <v/>
      </c>
      <c r="M14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42" s="15">
        <v>1</v>
      </c>
      <c r="O142" s="35">
        <f>IF(ClientDB[[#This Row],[Days]]=1,(ClientDB[[#This Row],[Days]]*$V$7),IF(ClientDB[[#This Row],[Days]]&gt;1,(ClientDB[[#This Row],[Days]]*$V$8),""))</f>
        <v>350</v>
      </c>
      <c r="P14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142" s="15" t="s">
        <v>900</v>
      </c>
      <c r="R142" s="15" t="str">
        <f>INDEX(Table4[[Regular]:[Special]],MATCH(ClientDB[[#Data],[Country Code]],Table4[[#Data],[Country]],0),MATCH(ClientDB[[#Data],[Meal]],Table4[[#Headers],[Regular]:[Special]],0))</f>
        <v>A</v>
      </c>
    </row>
    <row r="143" spans="1:18" x14ac:dyDescent="0.2">
      <c r="A143" s="10">
        <v>21746</v>
      </c>
      <c r="B143" t="s">
        <v>520</v>
      </c>
      <c r="C143" t="s">
        <v>521</v>
      </c>
      <c r="D143" s="18">
        <v>42691</v>
      </c>
      <c r="E143" s="34">
        <f>YEAR(ClientDB[[#This Row],[Start Date]])</f>
        <v>2016</v>
      </c>
      <c r="F143" t="s">
        <v>837</v>
      </c>
      <c r="G143" t="str">
        <f>VLOOKUP(ClientDB[[#This Row],[Org Code]],Table2[],2,0)</f>
        <v>WWT</v>
      </c>
      <c r="H143" s="10" t="s">
        <v>15</v>
      </c>
      <c r="I143" s="10" t="str">
        <f>_xlfn.XLOOKUP(ClientDB[[#This Row],[Country Code]],Table3[[#All],[Country Codes]],Table3[[#All],[Country]],1,TRUE)</f>
        <v>United Kingdom</v>
      </c>
      <c r="J143" s="15">
        <v>15</v>
      </c>
      <c r="K143" s="15" t="str">
        <f>IF(ClientDB[[#This Row],[Start Date]]&gt;=$U$14,"New","")</f>
        <v/>
      </c>
      <c r="L143" s="15" t="str">
        <f>IF(OR(ClientDB[[#This Row],[Start Year]]&lt;2016,ClientDB[[#This Row],[Events]]&gt;=6),"Gift","")</f>
        <v>Gift</v>
      </c>
      <c r="M143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43" s="15">
        <v>2</v>
      </c>
      <c r="O143" s="35">
        <f>IF(ClientDB[[#This Row],[Days]]=1,(ClientDB[[#This Row],[Days]]*$V$7),IF(ClientDB[[#This Row],[Days]]&gt;1,(ClientDB[[#This Row],[Days]]*$V$8),""))</f>
        <v>600</v>
      </c>
      <c r="P14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43" s="15" t="s">
        <v>900</v>
      </c>
      <c r="R143" s="15" t="str">
        <f>INDEX(Table4[[Regular]:[Special]],MATCH(ClientDB[[#Data],[Country Code]],Table4[[#Data],[Country]],0),MATCH(ClientDB[[#Data],[Meal]],Table4[[#Headers],[Regular]:[Special]],0))</f>
        <v>A</v>
      </c>
    </row>
    <row r="144" spans="1:18" x14ac:dyDescent="0.2">
      <c r="A144" s="10">
        <v>21994</v>
      </c>
      <c r="B144" t="s">
        <v>161</v>
      </c>
      <c r="C144" t="s">
        <v>162</v>
      </c>
      <c r="D144" s="18">
        <v>42688</v>
      </c>
      <c r="E144" s="34">
        <f>YEAR(ClientDB[[#This Row],[Start Date]])</f>
        <v>2016</v>
      </c>
      <c r="F144" t="s">
        <v>809</v>
      </c>
      <c r="G144" t="str">
        <f>VLOOKUP(ClientDB[[#This Row],[Org Code]],Table2[],2,0)</f>
        <v>Epsilon Tech</v>
      </c>
      <c r="H144" s="10" t="s">
        <v>163</v>
      </c>
      <c r="I144" s="10" t="str">
        <f>_xlfn.XLOOKUP(ClientDB[[#This Row],[Country Code]],Table3[[#All],[Country Codes]],Table3[[#All],[Country]],1,TRUE)</f>
        <v>Jordan</v>
      </c>
      <c r="J144" s="15">
        <v>13</v>
      </c>
      <c r="K144" s="15" t="str">
        <f>IF(ClientDB[[#This Row],[Start Date]]&gt;=$U$14,"New","")</f>
        <v/>
      </c>
      <c r="L144" s="15" t="str">
        <f>IF(OR(ClientDB[[#This Row],[Start Year]]&lt;2016,ClientDB[[#This Row],[Events]]&gt;=6),"Gift","")</f>
        <v>Gift</v>
      </c>
      <c r="M144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44" s="15">
        <v>3</v>
      </c>
      <c r="O144" s="35">
        <f>IF(ClientDB[[#This Row],[Days]]=1,(ClientDB[[#This Row],[Days]]*$V$7),IF(ClientDB[[#This Row],[Days]]&gt;1,(ClientDB[[#This Row],[Days]]*$V$8),""))</f>
        <v>900</v>
      </c>
      <c r="P14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44" s="15" t="s">
        <v>901</v>
      </c>
      <c r="R144" s="15" t="str">
        <f>INDEX(Table4[[Regular]:[Special]],MATCH(ClientDB[[#Data],[Country Code]],Table4[[#Data],[Country]],0),MATCH(ClientDB[[#Data],[Meal]],Table4[[#Headers],[Regular]:[Special]],0))</f>
        <v>F</v>
      </c>
    </row>
    <row r="145" spans="1:18" x14ac:dyDescent="0.2">
      <c r="A145" s="10">
        <v>22054</v>
      </c>
      <c r="B145" t="s">
        <v>747</v>
      </c>
      <c r="C145" t="s">
        <v>748</v>
      </c>
      <c r="D145" s="18">
        <v>43586</v>
      </c>
      <c r="E145" s="34">
        <f>YEAR(ClientDB[[#This Row],[Start Date]])</f>
        <v>2019</v>
      </c>
      <c r="F145" t="s">
        <v>827</v>
      </c>
      <c r="G145" t="str">
        <f>VLOOKUP(ClientDB[[#This Row],[Org Code]],Table2[],2,0)</f>
        <v>Ripple Com</v>
      </c>
      <c r="H145" s="10" t="s">
        <v>15</v>
      </c>
      <c r="I145" s="10" t="str">
        <f>_xlfn.XLOOKUP(ClientDB[[#This Row],[Country Code]],Table3[[#All],[Country Codes]],Table3[[#All],[Country]],1,TRUE)</f>
        <v>United Kingdom</v>
      </c>
      <c r="J145" s="15">
        <v>3</v>
      </c>
      <c r="K145" s="15" t="str">
        <f>IF(ClientDB[[#This Row],[Start Date]]&gt;=$U$14,"New","")</f>
        <v/>
      </c>
      <c r="L145" s="15" t="str">
        <f>IF(OR(ClientDB[[#This Row],[Start Year]]&lt;2016,ClientDB[[#This Row],[Events]]&gt;=6),"Gift","")</f>
        <v/>
      </c>
      <c r="M14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45" s="15">
        <v>2</v>
      </c>
      <c r="O145" s="35">
        <f>IF(ClientDB[[#This Row],[Days]]=1,(ClientDB[[#This Row],[Days]]*$V$7),IF(ClientDB[[#This Row],[Days]]&gt;1,(ClientDB[[#This Row],[Days]]*$V$8),""))</f>
        <v>600</v>
      </c>
      <c r="P14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45" s="15" t="s">
        <v>901</v>
      </c>
      <c r="R145" s="15" t="str">
        <f>INDEX(Table4[[Regular]:[Special]],MATCH(ClientDB[[#Data],[Country Code]],Table4[[#Data],[Country]],0),MATCH(ClientDB[[#Data],[Meal]],Table4[[#Headers],[Regular]:[Special]],0))</f>
        <v>E</v>
      </c>
    </row>
    <row r="146" spans="1:18" x14ac:dyDescent="0.2">
      <c r="A146" s="10">
        <v>22216</v>
      </c>
      <c r="B146" t="s">
        <v>612</v>
      </c>
      <c r="C146" t="s">
        <v>613</v>
      </c>
      <c r="D146" s="18">
        <v>42876</v>
      </c>
      <c r="E146" s="34">
        <f>YEAR(ClientDB[[#This Row],[Start Date]])</f>
        <v>2017</v>
      </c>
      <c r="F146" t="s">
        <v>825</v>
      </c>
      <c r="G146" t="str">
        <f>VLOOKUP(ClientDB[[#This Row],[Org Code]],Table2[],2,0)</f>
        <v>Qinisar</v>
      </c>
      <c r="H146" s="10" t="s">
        <v>46</v>
      </c>
      <c r="I146" s="10" t="str">
        <f>_xlfn.XLOOKUP(ClientDB[[#This Row],[Country Code]],Table3[[#All],[Country Codes]],Table3[[#All],[Country]],1,TRUE)</f>
        <v>Germany</v>
      </c>
      <c r="J146" s="15">
        <v>24</v>
      </c>
      <c r="K146" s="15" t="str">
        <f>IF(ClientDB[[#This Row],[Start Date]]&gt;=$U$14,"New","")</f>
        <v/>
      </c>
      <c r="L146" s="15" t="str">
        <f>IF(OR(ClientDB[[#This Row],[Start Year]]&lt;2016,ClientDB[[#This Row],[Events]]&gt;=6),"Gift","")</f>
        <v>Gift</v>
      </c>
      <c r="M146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146" s="15">
        <v>3</v>
      </c>
      <c r="O146" s="35">
        <f>IF(ClientDB[[#This Row],[Days]]=1,(ClientDB[[#This Row],[Days]]*$V$7),IF(ClientDB[[#This Row],[Days]]&gt;1,(ClientDB[[#This Row],[Days]]*$V$8),""))</f>
        <v>900</v>
      </c>
      <c r="P14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46" s="15" t="s">
        <v>901</v>
      </c>
      <c r="R146" s="15" t="str">
        <f>INDEX(Table4[[Regular]:[Special]],MATCH(ClientDB[[#Data],[Country Code]],Table4[[#Data],[Country]],0),MATCH(ClientDB[[#Data],[Meal]],Table4[[#Headers],[Regular]:[Special]],0))</f>
        <v>D</v>
      </c>
    </row>
    <row r="147" spans="1:18" x14ac:dyDescent="0.2">
      <c r="A147" s="10">
        <v>22256</v>
      </c>
      <c r="B147" t="s">
        <v>561</v>
      </c>
      <c r="C147" t="s">
        <v>562</v>
      </c>
      <c r="D147" s="18">
        <v>43089</v>
      </c>
      <c r="E147" s="34">
        <f>YEAR(ClientDB[[#This Row],[Start Date]])</f>
        <v>2017</v>
      </c>
      <c r="F147" t="s">
        <v>827</v>
      </c>
      <c r="G147" t="str">
        <f>VLOOKUP(ClientDB[[#This Row],[Org Code]],Table2[],2,0)</f>
        <v>Ripple Com</v>
      </c>
      <c r="H147" s="10" t="s">
        <v>15</v>
      </c>
      <c r="I147" s="10" t="str">
        <f>_xlfn.XLOOKUP(ClientDB[[#This Row],[Country Code]],Table3[[#All],[Country Codes]],Table3[[#All],[Country]],1,TRUE)</f>
        <v>United Kingdom</v>
      </c>
      <c r="J147" s="15">
        <v>12</v>
      </c>
      <c r="K147" s="15" t="str">
        <f>IF(ClientDB[[#This Row],[Start Date]]&gt;=$U$14,"New","")</f>
        <v/>
      </c>
      <c r="L147" s="15" t="str">
        <f>IF(OR(ClientDB[[#This Row],[Start Year]]&lt;2016,ClientDB[[#This Row],[Events]]&gt;=6),"Gift","")</f>
        <v>Gift</v>
      </c>
      <c r="M147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47" s="15">
        <v>2</v>
      </c>
      <c r="O147" s="35">
        <f>IF(ClientDB[[#This Row],[Days]]=1,(ClientDB[[#This Row],[Days]]*$V$7),IF(ClientDB[[#This Row],[Days]]&gt;1,(ClientDB[[#This Row],[Days]]*$V$8),""))</f>
        <v>600</v>
      </c>
      <c r="P14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47" s="15" t="s">
        <v>902</v>
      </c>
      <c r="R147" s="15" t="str">
        <f>INDEX(Table4[[Regular]:[Special]],MATCH(ClientDB[[#Data],[Country Code]],Table4[[#Data],[Country]],0),MATCH(ClientDB[[#Data],[Meal]],Table4[[#Headers],[Regular]:[Special]],0))</f>
        <v>B</v>
      </c>
    </row>
    <row r="148" spans="1:18" x14ac:dyDescent="0.2">
      <c r="A148" s="10">
        <v>22270</v>
      </c>
      <c r="B148" t="s">
        <v>691</v>
      </c>
      <c r="C148" t="s">
        <v>692</v>
      </c>
      <c r="D148" s="18">
        <v>44034</v>
      </c>
      <c r="E148" s="34">
        <f>YEAR(ClientDB[[#This Row],[Start Date]])</f>
        <v>2020</v>
      </c>
      <c r="F148" t="s">
        <v>830</v>
      </c>
      <c r="G148" t="str">
        <f>VLOOKUP(ClientDB[[#This Row],[Org Code]],Table2[],2,0)</f>
        <v>Steps IT Training</v>
      </c>
      <c r="H148" s="10" t="s">
        <v>15</v>
      </c>
      <c r="I148" s="10" t="str">
        <f>_xlfn.XLOOKUP(ClientDB[[#This Row],[Country Code]],Table3[[#All],[Country Codes]],Table3[[#All],[Country]],1,TRUE)</f>
        <v>United Kingdom</v>
      </c>
      <c r="J148" s="15">
        <v>1</v>
      </c>
      <c r="K148" s="15" t="str">
        <f>IF(ClientDB[[#This Row],[Start Date]]&gt;=$U$14,"New","")</f>
        <v>New</v>
      </c>
      <c r="L148" s="15" t="str">
        <f>IF(OR(ClientDB[[#This Row],[Start Year]]&lt;2016,ClientDB[[#This Row],[Events]]&gt;=6),"Gift","")</f>
        <v/>
      </c>
      <c r="M14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48" s="15">
        <v>3</v>
      </c>
      <c r="O148" s="35">
        <f>IF(ClientDB[[#This Row],[Days]]=1,(ClientDB[[#This Row],[Days]]*$V$7),IF(ClientDB[[#This Row],[Days]]&gt;1,(ClientDB[[#This Row],[Days]]*$V$8),""))</f>
        <v>900</v>
      </c>
      <c r="P14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48" s="15" t="s">
        <v>900</v>
      </c>
      <c r="R148" s="15" t="str">
        <f>INDEX(Table4[[Regular]:[Special]],MATCH(ClientDB[[#Data],[Country Code]],Table4[[#Data],[Country]],0),MATCH(ClientDB[[#Data],[Meal]],Table4[[#Headers],[Regular]:[Special]],0))</f>
        <v>A</v>
      </c>
    </row>
    <row r="149" spans="1:18" x14ac:dyDescent="0.2">
      <c r="A149" s="10">
        <v>22329</v>
      </c>
      <c r="B149" t="s">
        <v>140</v>
      </c>
      <c r="C149" t="s">
        <v>141</v>
      </c>
      <c r="D149" s="18">
        <v>42637</v>
      </c>
      <c r="E149" s="34">
        <f>YEAR(ClientDB[[#This Row],[Start Date]])</f>
        <v>2016</v>
      </c>
      <c r="F149" t="s">
        <v>833</v>
      </c>
      <c r="G149" t="str">
        <f>VLOOKUP(ClientDB[[#This Row],[Org Code]],Table2[],2,0)</f>
        <v>UON</v>
      </c>
      <c r="H149" s="10" t="s">
        <v>143</v>
      </c>
      <c r="I149" s="10" t="str">
        <f>_xlfn.XLOOKUP(ClientDB[[#This Row],[Country Code]],Table3[[#All],[Country Codes]],Table3[[#All],[Country]],1,TRUE)</f>
        <v>Oman</v>
      </c>
      <c r="J149" s="15">
        <v>19</v>
      </c>
      <c r="K149" s="15" t="str">
        <f>IF(ClientDB[[#This Row],[Start Date]]&gt;=$U$14,"New","")</f>
        <v/>
      </c>
      <c r="L149" s="15" t="str">
        <f>IF(OR(ClientDB[[#This Row],[Start Year]]&lt;2016,ClientDB[[#This Row],[Events]]&gt;=6),"Gift","")</f>
        <v>Gift</v>
      </c>
      <c r="M149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49" s="15">
        <v>2</v>
      </c>
      <c r="O149" s="35">
        <f>IF(ClientDB[[#This Row],[Days]]=1,(ClientDB[[#This Row],[Days]]*$V$7),IF(ClientDB[[#This Row],[Days]]&gt;1,(ClientDB[[#This Row],[Days]]*$V$8),""))</f>
        <v>600</v>
      </c>
      <c r="P14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49" s="15" t="s">
        <v>901</v>
      </c>
      <c r="R149" s="15" t="str">
        <f>INDEX(Table4[[Regular]:[Special]],MATCH(ClientDB[[#Data],[Country Code]],Table4[[#Data],[Country]],0),MATCH(ClientDB[[#Data],[Meal]],Table4[[#Headers],[Regular]:[Special]],0))</f>
        <v>F</v>
      </c>
    </row>
    <row r="150" spans="1:18" x14ac:dyDescent="0.2">
      <c r="A150" s="10">
        <v>22347</v>
      </c>
      <c r="B150" t="s">
        <v>686</v>
      </c>
      <c r="C150" t="s">
        <v>687</v>
      </c>
      <c r="D150" s="18">
        <v>42359</v>
      </c>
      <c r="E150" s="34">
        <f>YEAR(ClientDB[[#This Row],[Start Date]])</f>
        <v>2015</v>
      </c>
      <c r="F150" t="s">
        <v>802</v>
      </c>
      <c r="G150" t="str">
        <f>VLOOKUP(ClientDB[[#This Row],[Org Code]],Table2[],2,0)</f>
        <v>Colot</v>
      </c>
      <c r="H150" s="10" t="s">
        <v>78</v>
      </c>
      <c r="I150" s="10" t="str">
        <f>_xlfn.XLOOKUP(ClientDB[[#This Row],[Country Code]],Table3[[#All],[Country Codes]],Table3[[#All],[Country]],1,TRUE)</f>
        <v>Sweden</v>
      </c>
      <c r="J150" s="15">
        <v>5</v>
      </c>
      <c r="K150" s="15" t="str">
        <f>IF(ClientDB[[#This Row],[Start Date]]&gt;=$U$14,"New","")</f>
        <v/>
      </c>
      <c r="L150" s="15" t="str">
        <f>IF(OR(ClientDB[[#This Row],[Start Year]]&lt;2016,ClientDB[[#This Row],[Events]]&gt;=6),"Gift","")</f>
        <v>Gift</v>
      </c>
      <c r="M15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50" s="15">
        <v>3</v>
      </c>
      <c r="O150" s="35">
        <f>IF(ClientDB[[#This Row],[Days]]=1,(ClientDB[[#This Row],[Days]]*$V$7),IF(ClientDB[[#This Row],[Days]]&gt;1,(ClientDB[[#This Row],[Days]]*$V$8),""))</f>
        <v>900</v>
      </c>
      <c r="P15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50" s="15" t="s">
        <v>901</v>
      </c>
      <c r="R150" s="15" t="str">
        <f>INDEX(Table4[[Regular]:[Special]],MATCH(ClientDB[[#Data],[Country Code]],Table4[[#Data],[Country]],0),MATCH(ClientDB[[#Data],[Meal]],Table4[[#Headers],[Regular]:[Special]],0))</f>
        <v>G</v>
      </c>
    </row>
    <row r="151" spans="1:18" x14ac:dyDescent="0.2">
      <c r="A151" s="10">
        <v>22368</v>
      </c>
      <c r="B151" t="s">
        <v>167</v>
      </c>
      <c r="C151" t="s">
        <v>168</v>
      </c>
      <c r="D151" s="18">
        <v>42758</v>
      </c>
      <c r="E151" s="34">
        <f>YEAR(ClientDB[[#This Row],[Start Date]])</f>
        <v>2017</v>
      </c>
      <c r="F151" t="s">
        <v>827</v>
      </c>
      <c r="G151" t="str">
        <f>VLOOKUP(ClientDB[[#This Row],[Org Code]],Table2[],2,0)</f>
        <v>Ripple Com</v>
      </c>
      <c r="H151" s="10" t="s">
        <v>15</v>
      </c>
      <c r="I151" s="10" t="str">
        <f>_xlfn.XLOOKUP(ClientDB[[#This Row],[Country Code]],Table3[[#All],[Country Codes]],Table3[[#All],[Country]],1,TRUE)</f>
        <v>United Kingdom</v>
      </c>
      <c r="J151" s="15">
        <v>2</v>
      </c>
      <c r="K151" s="15" t="str">
        <f>IF(ClientDB[[#This Row],[Start Date]]&gt;=$U$14,"New","")</f>
        <v/>
      </c>
      <c r="L151" s="15" t="str">
        <f>IF(OR(ClientDB[[#This Row],[Start Year]]&lt;2016,ClientDB[[#This Row],[Events]]&gt;=6),"Gift","")</f>
        <v/>
      </c>
      <c r="M15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51" s="15">
        <v>3</v>
      </c>
      <c r="O151" s="35">
        <f>IF(ClientDB[[#This Row],[Days]]=1,(ClientDB[[#This Row],[Days]]*$V$7),IF(ClientDB[[#This Row],[Days]]&gt;1,(ClientDB[[#This Row],[Days]]*$V$8),""))</f>
        <v>900</v>
      </c>
      <c r="P15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51" s="15" t="s">
        <v>901</v>
      </c>
      <c r="R151" s="15" t="str">
        <f>INDEX(Table4[[Regular]:[Special]],MATCH(ClientDB[[#Data],[Country Code]],Table4[[#Data],[Country]],0),MATCH(ClientDB[[#Data],[Meal]],Table4[[#Headers],[Regular]:[Special]],0))</f>
        <v>E</v>
      </c>
    </row>
    <row r="152" spans="1:18" x14ac:dyDescent="0.2">
      <c r="A152" s="10">
        <v>22459</v>
      </c>
      <c r="B152" t="s">
        <v>595</v>
      </c>
      <c r="C152" t="s">
        <v>596</v>
      </c>
      <c r="D152" s="18">
        <v>43415</v>
      </c>
      <c r="E152" s="34">
        <f>YEAR(ClientDB[[#This Row],[Start Date]])</f>
        <v>2018</v>
      </c>
      <c r="F152" t="s">
        <v>836</v>
      </c>
      <c r="G152" t="str">
        <f>VLOOKUP(ClientDB[[#This Row],[Org Code]],Table2[],2,0)</f>
        <v>Wiz Labs</v>
      </c>
      <c r="H152" s="10" t="s">
        <v>274</v>
      </c>
      <c r="I152" s="10" t="str">
        <f>_xlfn.XLOOKUP(ClientDB[[#This Row],[Country Code]],Table3[[#All],[Country Codes]],Table3[[#All],[Country]],1,TRUE)</f>
        <v>Spain</v>
      </c>
      <c r="J152" s="15">
        <v>4</v>
      </c>
      <c r="K152" s="15" t="str">
        <f>IF(ClientDB[[#This Row],[Start Date]]&gt;=$U$14,"New","")</f>
        <v/>
      </c>
      <c r="L152" s="15" t="str">
        <f>IF(OR(ClientDB[[#This Row],[Start Year]]&lt;2016,ClientDB[[#This Row],[Events]]&gt;=6),"Gift","")</f>
        <v/>
      </c>
      <c r="M15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52" s="15">
        <v>3</v>
      </c>
      <c r="O152" s="35">
        <f>IF(ClientDB[[#This Row],[Days]]=1,(ClientDB[[#This Row],[Days]]*$V$7),IF(ClientDB[[#This Row],[Days]]&gt;1,(ClientDB[[#This Row],[Days]]*$V$8),""))</f>
        <v>900</v>
      </c>
      <c r="P15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52" s="15" t="s">
        <v>901</v>
      </c>
      <c r="R152" s="15" t="str">
        <f>INDEX(Table4[[Regular]:[Special]],MATCH(ClientDB[[#Data],[Country Code]],Table4[[#Data],[Country]],0),MATCH(ClientDB[[#Data],[Meal]],Table4[[#Headers],[Regular]:[Special]],0))</f>
        <v>D</v>
      </c>
    </row>
    <row r="153" spans="1:18" x14ac:dyDescent="0.2">
      <c r="A153" s="10">
        <v>22475</v>
      </c>
      <c r="B153" t="s">
        <v>170</v>
      </c>
      <c r="C153" t="s">
        <v>171</v>
      </c>
      <c r="D153" s="18">
        <v>43485</v>
      </c>
      <c r="E153" s="34">
        <f>YEAR(ClientDB[[#This Row],[Start Date]])</f>
        <v>2019</v>
      </c>
      <c r="F153" t="s">
        <v>837</v>
      </c>
      <c r="G153" t="str">
        <f>VLOOKUP(ClientDB[[#This Row],[Org Code]],Table2[],2,0)</f>
        <v>WWT</v>
      </c>
      <c r="H153" s="10" t="s">
        <v>155</v>
      </c>
      <c r="I153" s="10" t="str">
        <f>_xlfn.XLOOKUP(ClientDB[[#This Row],[Country Code]],Table3[[#All],[Country Codes]],Table3[[#All],[Country]],1,TRUE)</f>
        <v>United Arab Emirates</v>
      </c>
      <c r="J153" s="15">
        <v>33</v>
      </c>
      <c r="K153" s="15" t="str">
        <f>IF(ClientDB[[#This Row],[Start Date]]&gt;=$U$14,"New","")</f>
        <v/>
      </c>
      <c r="L153" s="15" t="str">
        <f>IF(OR(ClientDB[[#This Row],[Start Year]]&lt;2016,ClientDB[[#This Row],[Events]]&gt;=6),"Gift","")</f>
        <v>Gift</v>
      </c>
      <c r="M153" s="15" t="str">
        <f>IF(AND(ClientDB[Events]&gt;0,ClientDB[Events]&lt;10),"Bronze",IF(AND(ClientDB[Events]&gt;9,ClientDB[Events]&lt;20),"Silver",IF(AND(ClientDB[Events]&gt;19,ClientDB[Events]&lt;30),"Gold",IF(ClientDB[Events]&gt;30,"Platinum",""))))</f>
        <v>Platinum</v>
      </c>
      <c r="N153" s="15">
        <v>2</v>
      </c>
      <c r="O153" s="35">
        <f>IF(ClientDB[[#This Row],[Days]]=1,(ClientDB[[#This Row],[Days]]*$V$7),IF(ClientDB[[#This Row],[Days]]&gt;1,(ClientDB[[#This Row],[Days]]*$V$8),""))</f>
        <v>600</v>
      </c>
      <c r="P15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53" s="15" t="s">
        <v>901</v>
      </c>
      <c r="R153" s="15" t="str">
        <f>INDEX(Table4[[Regular]:[Special]],MATCH(ClientDB[[#Data],[Country Code]],Table4[[#Data],[Country]],0),MATCH(ClientDB[[#Data],[Meal]],Table4[[#Headers],[Regular]:[Special]],0))</f>
        <v>D</v>
      </c>
    </row>
    <row r="154" spans="1:18" x14ac:dyDescent="0.2">
      <c r="A154" s="10">
        <v>22740</v>
      </c>
      <c r="B154" t="s">
        <v>135</v>
      </c>
      <c r="C154" t="s">
        <v>136</v>
      </c>
      <c r="D154" s="18">
        <v>43935</v>
      </c>
      <c r="E154" s="34">
        <f>YEAR(ClientDB[[#This Row],[Start Date]])</f>
        <v>2020</v>
      </c>
      <c r="F154" t="s">
        <v>819</v>
      </c>
      <c r="G154" t="str">
        <f>VLOOKUP(ClientDB[[#This Row],[Org Code]],Table2[],2,0)</f>
        <v>NetaAssist</v>
      </c>
      <c r="H154" s="10" t="s">
        <v>15</v>
      </c>
      <c r="I154" s="10" t="str">
        <f>_xlfn.XLOOKUP(ClientDB[[#This Row],[Country Code]],Table3[[#All],[Country Codes]],Table3[[#All],[Country]],1,TRUE)</f>
        <v>United Kingdom</v>
      </c>
      <c r="J154" s="15">
        <v>2</v>
      </c>
      <c r="K154" s="15" t="str">
        <f>IF(ClientDB[[#This Row],[Start Date]]&gt;=$U$14,"New","")</f>
        <v>New</v>
      </c>
      <c r="L154" s="15" t="str">
        <f>IF(OR(ClientDB[[#This Row],[Start Year]]&lt;2016,ClientDB[[#This Row],[Events]]&gt;=6),"Gift","")</f>
        <v/>
      </c>
      <c r="M15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54" s="15">
        <v>3</v>
      </c>
      <c r="O154" s="35">
        <f>IF(ClientDB[[#This Row],[Days]]=1,(ClientDB[[#This Row],[Days]]*$V$7),IF(ClientDB[[#This Row],[Days]]&gt;1,(ClientDB[[#This Row],[Days]]*$V$8),""))</f>
        <v>900</v>
      </c>
      <c r="P15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54" s="15" t="s">
        <v>899</v>
      </c>
      <c r="R154" s="15" t="str">
        <f>INDEX(Table4[[Regular]:[Special]],MATCH(ClientDB[[#Data],[Country Code]],Table4[[#Data],[Country]],0),MATCH(ClientDB[[#Data],[Meal]],Table4[[#Headers],[Regular]:[Special]],0))</f>
        <v>A</v>
      </c>
    </row>
    <row r="155" spans="1:18" x14ac:dyDescent="0.2">
      <c r="A155" s="10">
        <v>23011</v>
      </c>
      <c r="B155" t="s">
        <v>767</v>
      </c>
      <c r="C155" t="s">
        <v>411</v>
      </c>
      <c r="D155" s="18">
        <v>43085</v>
      </c>
      <c r="E155" s="34">
        <f>YEAR(ClientDB[[#This Row],[Start Date]])</f>
        <v>2017</v>
      </c>
      <c r="F155" t="s">
        <v>827</v>
      </c>
      <c r="G155" t="str">
        <f>VLOOKUP(ClientDB[[#This Row],[Org Code]],Table2[],2,0)</f>
        <v>Ripple Com</v>
      </c>
      <c r="H155" s="10" t="s">
        <v>15</v>
      </c>
      <c r="I155" s="10" t="str">
        <f>_xlfn.XLOOKUP(ClientDB[[#This Row],[Country Code]],Table3[[#All],[Country Codes]],Table3[[#All],[Country]],1,TRUE)</f>
        <v>United Kingdom</v>
      </c>
      <c r="J155" s="15">
        <v>8</v>
      </c>
      <c r="K155" s="15" t="str">
        <f>IF(ClientDB[[#This Row],[Start Date]]&gt;=$U$14,"New","")</f>
        <v/>
      </c>
      <c r="L155" s="15" t="str">
        <f>IF(OR(ClientDB[[#This Row],[Start Year]]&lt;2016,ClientDB[[#This Row],[Events]]&gt;=6),"Gift","")</f>
        <v>Gift</v>
      </c>
      <c r="M15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55" s="15">
        <v>2</v>
      </c>
      <c r="O155" s="35">
        <f>IF(ClientDB[[#This Row],[Days]]=1,(ClientDB[[#This Row],[Days]]*$V$7),IF(ClientDB[[#This Row],[Days]]&gt;1,(ClientDB[[#This Row],[Days]]*$V$8),""))</f>
        <v>600</v>
      </c>
      <c r="P15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55" s="15" t="s">
        <v>901</v>
      </c>
      <c r="R155" s="15" t="str">
        <f>INDEX(Table4[[Regular]:[Special]],MATCH(ClientDB[[#Data],[Country Code]],Table4[[#Data],[Country]],0),MATCH(ClientDB[[#Data],[Meal]],Table4[[#Headers],[Regular]:[Special]],0))</f>
        <v>E</v>
      </c>
    </row>
    <row r="156" spans="1:18" x14ac:dyDescent="0.2">
      <c r="A156" s="10">
        <v>23052</v>
      </c>
      <c r="B156" t="s">
        <v>730</v>
      </c>
      <c r="C156" t="s">
        <v>731</v>
      </c>
      <c r="D156" s="18">
        <v>43712</v>
      </c>
      <c r="E156" s="34">
        <f>YEAR(ClientDB[[#This Row],[Start Date]])</f>
        <v>2019</v>
      </c>
      <c r="F156" t="s">
        <v>819</v>
      </c>
      <c r="G156" t="str">
        <f>VLOOKUP(ClientDB[[#This Row],[Org Code]],Table2[],2,0)</f>
        <v>NetaAssist</v>
      </c>
      <c r="H156" s="10" t="s">
        <v>34</v>
      </c>
      <c r="I156" s="10" t="str">
        <f>_xlfn.XLOOKUP(ClientDB[[#This Row],[Country Code]],Table3[[#All],[Country Codes]],Table3[[#All],[Country]],1,TRUE)</f>
        <v>United States</v>
      </c>
      <c r="J156" s="15">
        <v>13</v>
      </c>
      <c r="K156" s="15" t="str">
        <f>IF(ClientDB[[#This Row],[Start Date]]&gt;=$U$14,"New","")</f>
        <v/>
      </c>
      <c r="L156" s="15" t="str">
        <f>IF(OR(ClientDB[[#This Row],[Start Year]]&lt;2016,ClientDB[[#This Row],[Events]]&gt;=6),"Gift","")</f>
        <v>Gift</v>
      </c>
      <c r="M156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56" s="15">
        <v>1</v>
      </c>
      <c r="O156" s="35">
        <f>IF(ClientDB[[#This Row],[Days]]=1,(ClientDB[[#This Row],[Days]]*$V$7),IF(ClientDB[[#This Row],[Days]]&gt;1,(ClientDB[[#This Row],[Days]]*$V$8),""))</f>
        <v>350</v>
      </c>
      <c r="P15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156" s="15" t="s">
        <v>901</v>
      </c>
      <c r="R156" s="15" t="str">
        <f>INDEX(Table4[[Regular]:[Special]],MATCH(ClientDB[[#Data],[Country Code]],Table4[[#Data],[Country]],0),MATCH(ClientDB[[#Data],[Meal]],Table4[[#Headers],[Regular]:[Special]],0))</f>
        <v>G</v>
      </c>
    </row>
    <row r="157" spans="1:18" x14ac:dyDescent="0.2">
      <c r="A157" s="10">
        <v>23238</v>
      </c>
      <c r="B157" t="s">
        <v>559</v>
      </c>
      <c r="C157" t="s">
        <v>560</v>
      </c>
      <c r="D157" s="18">
        <v>43963</v>
      </c>
      <c r="E157" s="34">
        <f>YEAR(ClientDB[[#This Row],[Start Date]])</f>
        <v>2020</v>
      </c>
      <c r="F157" t="s">
        <v>800</v>
      </c>
      <c r="G157" t="str">
        <f>VLOOKUP(ClientDB[[#This Row],[Org Code]],Table2[],2,0)</f>
        <v>Chirah Technologies</v>
      </c>
      <c r="H157" s="10" t="s">
        <v>155</v>
      </c>
      <c r="I157" s="10" t="str">
        <f>_xlfn.XLOOKUP(ClientDB[[#This Row],[Country Code]],Table3[[#All],[Country Codes]],Table3[[#All],[Country]],1,TRUE)</f>
        <v>United Arab Emirates</v>
      </c>
      <c r="J157" s="15">
        <v>3</v>
      </c>
      <c r="K157" s="15" t="str">
        <f>IF(ClientDB[[#This Row],[Start Date]]&gt;=$U$14,"New","")</f>
        <v>New</v>
      </c>
      <c r="L157" s="15" t="str">
        <f>IF(OR(ClientDB[[#This Row],[Start Year]]&lt;2016,ClientDB[[#This Row],[Events]]&gt;=6),"Gift","")</f>
        <v/>
      </c>
      <c r="M15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57" s="15">
        <v>1</v>
      </c>
      <c r="O157" s="35">
        <f>IF(ClientDB[[#This Row],[Days]]=1,(ClientDB[[#This Row],[Days]]*$V$7),IF(ClientDB[[#This Row],[Days]]&gt;1,(ClientDB[[#This Row],[Days]]*$V$8),""))</f>
        <v>350</v>
      </c>
      <c r="P15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157" s="15" t="s">
        <v>899</v>
      </c>
      <c r="R157" s="15" t="str">
        <f>INDEX(Table4[[Regular]:[Special]],MATCH(ClientDB[[#Data],[Country Code]],Table4[[#Data],[Country]],0),MATCH(ClientDB[[#Data],[Meal]],Table4[[#Headers],[Regular]:[Special]],0))</f>
        <v>A</v>
      </c>
    </row>
    <row r="158" spans="1:18" x14ac:dyDescent="0.2">
      <c r="A158" s="10">
        <v>23254</v>
      </c>
      <c r="B158" t="s">
        <v>424</v>
      </c>
      <c r="C158" t="s">
        <v>425</v>
      </c>
      <c r="D158" s="18">
        <v>43298</v>
      </c>
      <c r="E158" s="34">
        <f>YEAR(ClientDB[[#This Row],[Start Date]])</f>
        <v>2018</v>
      </c>
      <c r="F158" t="s">
        <v>827</v>
      </c>
      <c r="G158" t="str">
        <f>VLOOKUP(ClientDB[[#This Row],[Org Code]],Table2[],2,0)</f>
        <v>Ripple Com</v>
      </c>
      <c r="H158" s="10" t="s">
        <v>59</v>
      </c>
      <c r="I158" s="10" t="str">
        <f>_xlfn.XLOOKUP(ClientDB[[#This Row],[Country Code]],Table3[[#All],[Country Codes]],Table3[[#All],[Country]],1,TRUE)</f>
        <v>Netherlands</v>
      </c>
      <c r="J158" s="15">
        <v>7</v>
      </c>
      <c r="K158" s="15" t="str">
        <f>IF(ClientDB[[#This Row],[Start Date]]&gt;=$U$14,"New","")</f>
        <v/>
      </c>
      <c r="L158" s="15" t="str">
        <f>IF(OR(ClientDB[[#This Row],[Start Year]]&lt;2016,ClientDB[[#This Row],[Events]]&gt;=6),"Gift","")</f>
        <v>Gift</v>
      </c>
      <c r="M15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58" s="15">
        <v>1</v>
      </c>
      <c r="O158" s="35">
        <f>IF(ClientDB[[#This Row],[Days]]=1,(ClientDB[[#This Row],[Days]]*$V$7),IF(ClientDB[[#This Row],[Days]]&gt;1,(ClientDB[[#This Row],[Days]]*$V$8),""))</f>
        <v>350</v>
      </c>
      <c r="P15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58" s="15" t="s">
        <v>901</v>
      </c>
      <c r="R158" s="15" t="str">
        <f>INDEX(Table4[[Regular]:[Special]],MATCH(ClientDB[[#Data],[Country Code]],Table4[[#Data],[Country]],0),MATCH(ClientDB[[#Data],[Meal]],Table4[[#Headers],[Regular]:[Special]],0))</f>
        <v>F</v>
      </c>
    </row>
    <row r="159" spans="1:18" x14ac:dyDescent="0.2">
      <c r="A159" s="10">
        <v>23268</v>
      </c>
      <c r="B159" t="s">
        <v>115</v>
      </c>
      <c r="C159" t="s">
        <v>116</v>
      </c>
      <c r="D159" s="18">
        <v>42172</v>
      </c>
      <c r="E159" s="34">
        <f>YEAR(ClientDB[[#This Row],[Start Date]])</f>
        <v>2015</v>
      </c>
      <c r="F159" t="s">
        <v>810</v>
      </c>
      <c r="G159" t="str">
        <f>VLOOKUP(ClientDB[[#This Row],[Org Code]],Table2[],2,0)</f>
        <v>Euro-M</v>
      </c>
      <c r="H159" s="10" t="s">
        <v>15</v>
      </c>
      <c r="I159" s="10" t="str">
        <f>_xlfn.XLOOKUP(ClientDB[[#This Row],[Country Code]],Table3[[#All],[Country Codes]],Table3[[#All],[Country]],1,TRUE)</f>
        <v>United Kingdom</v>
      </c>
      <c r="J159" s="15">
        <v>14</v>
      </c>
      <c r="K159" s="15" t="str">
        <f>IF(ClientDB[[#This Row],[Start Date]]&gt;=$U$14,"New","")</f>
        <v/>
      </c>
      <c r="L159" s="15" t="str">
        <f>IF(OR(ClientDB[[#This Row],[Start Year]]&lt;2016,ClientDB[[#This Row],[Events]]&gt;=6),"Gift","")</f>
        <v>Gift</v>
      </c>
      <c r="M159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59" s="15">
        <v>1</v>
      </c>
      <c r="O159" s="35">
        <f>IF(ClientDB[[#This Row],[Days]]=1,(ClientDB[[#This Row],[Days]]*$V$7),IF(ClientDB[[#This Row],[Days]]&gt;1,(ClientDB[[#This Row],[Days]]*$V$8),""))</f>
        <v>350</v>
      </c>
      <c r="P15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159" s="15" t="s">
        <v>901</v>
      </c>
      <c r="R159" s="15" t="str">
        <f>INDEX(Table4[[Regular]:[Special]],MATCH(ClientDB[[#Data],[Country Code]],Table4[[#Data],[Country]],0),MATCH(ClientDB[[#Data],[Meal]],Table4[[#Headers],[Regular]:[Special]],0))</f>
        <v>E</v>
      </c>
    </row>
    <row r="160" spans="1:18" x14ac:dyDescent="0.2">
      <c r="A160" s="10">
        <v>23449</v>
      </c>
      <c r="B160" t="s">
        <v>703</v>
      </c>
      <c r="C160" t="s">
        <v>458</v>
      </c>
      <c r="D160" s="18">
        <v>43910</v>
      </c>
      <c r="E160" s="34">
        <f>YEAR(ClientDB[[#This Row],[Start Date]])</f>
        <v>2020</v>
      </c>
      <c r="F160" t="s">
        <v>827</v>
      </c>
      <c r="G160" t="str">
        <f>VLOOKUP(ClientDB[[#This Row],[Org Code]],Table2[],2,0)</f>
        <v>Ripple Com</v>
      </c>
      <c r="H160" s="10" t="s">
        <v>277</v>
      </c>
      <c r="I160" s="10" t="str">
        <f>_xlfn.XLOOKUP(ClientDB[[#This Row],[Country Code]],Table3[[#All],[Country Codes]],Table3[[#All],[Country]],1,TRUE)</f>
        <v>Saudi Arabia</v>
      </c>
      <c r="J160" s="15">
        <v>7</v>
      </c>
      <c r="K160" s="15" t="str">
        <f>IF(ClientDB[[#This Row],[Start Date]]&gt;=$U$14,"New","")</f>
        <v>New</v>
      </c>
      <c r="L160" s="15" t="str">
        <f>IF(OR(ClientDB[[#This Row],[Start Year]]&lt;2016,ClientDB[[#This Row],[Events]]&gt;=6),"Gift","")</f>
        <v>Gift</v>
      </c>
      <c r="M16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0" s="15">
        <v>2</v>
      </c>
      <c r="O160" s="35">
        <f>IF(ClientDB[[#This Row],[Days]]=1,(ClientDB[[#This Row],[Days]]*$V$7),IF(ClientDB[[#This Row],[Days]]&gt;1,(ClientDB[[#This Row],[Days]]*$V$8),""))</f>
        <v>600</v>
      </c>
      <c r="P16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60" s="15" t="s">
        <v>901</v>
      </c>
      <c r="R160" s="15" t="str">
        <f>INDEX(Table4[[Regular]:[Special]],MATCH(ClientDB[[#Data],[Country Code]],Table4[[#Data],[Country]],0),MATCH(ClientDB[[#Data],[Meal]],Table4[[#Headers],[Regular]:[Special]],0))</f>
        <v>G</v>
      </c>
    </row>
    <row r="161" spans="1:18" x14ac:dyDescent="0.2">
      <c r="A161" s="10">
        <v>23623</v>
      </c>
      <c r="B161" t="s">
        <v>263</v>
      </c>
      <c r="C161" t="s">
        <v>393</v>
      </c>
      <c r="D161" s="18">
        <v>43990</v>
      </c>
      <c r="E161" s="34">
        <f>YEAR(ClientDB[[#This Row],[Start Date]])</f>
        <v>2020</v>
      </c>
      <c r="F161" t="s">
        <v>818</v>
      </c>
      <c r="G161" t="str">
        <f>VLOOKUP(ClientDB[[#This Row],[Org Code]],Table2[],2,0)</f>
        <v>Mojbal</v>
      </c>
      <c r="H161" s="10" t="s">
        <v>46</v>
      </c>
      <c r="I161" s="10" t="str">
        <f>_xlfn.XLOOKUP(ClientDB[[#This Row],[Country Code]],Table3[[#All],[Country Codes]],Table3[[#All],[Country]],1,TRUE)</f>
        <v>Germany</v>
      </c>
      <c r="J161" s="15">
        <v>2</v>
      </c>
      <c r="K161" s="15" t="str">
        <f>IF(ClientDB[[#This Row],[Start Date]]&gt;=$U$14,"New","")</f>
        <v>New</v>
      </c>
      <c r="L161" s="15" t="str">
        <f>IF(OR(ClientDB[[#This Row],[Start Year]]&lt;2016,ClientDB[[#This Row],[Events]]&gt;=6),"Gift","")</f>
        <v/>
      </c>
      <c r="M16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1" s="15">
        <v>2</v>
      </c>
      <c r="O161" s="35">
        <f>IF(ClientDB[[#This Row],[Days]]=1,(ClientDB[[#This Row],[Days]]*$V$7),IF(ClientDB[[#This Row],[Days]]&gt;1,(ClientDB[[#This Row],[Days]]*$V$8),""))</f>
        <v>600</v>
      </c>
      <c r="P16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61" s="15" t="s">
        <v>899</v>
      </c>
      <c r="R161" s="15" t="str">
        <f>INDEX(Table4[[Regular]:[Special]],MATCH(ClientDB[[#Data],[Country Code]],Table4[[#Data],[Country]],0),MATCH(ClientDB[[#Data],[Meal]],Table4[[#Headers],[Regular]:[Special]],0))</f>
        <v>A</v>
      </c>
    </row>
    <row r="162" spans="1:18" x14ac:dyDescent="0.2">
      <c r="A162" s="10">
        <v>23689</v>
      </c>
      <c r="B162" t="s">
        <v>287</v>
      </c>
      <c r="C162" t="s">
        <v>288</v>
      </c>
      <c r="D162" s="18">
        <v>43920</v>
      </c>
      <c r="E162" s="34">
        <f>YEAR(ClientDB[[#This Row],[Start Date]])</f>
        <v>2020</v>
      </c>
      <c r="F162" t="s">
        <v>838</v>
      </c>
      <c r="G162" t="str">
        <f>VLOOKUP(ClientDB[[#This Row],[Org Code]],Table2[],2,0)</f>
        <v>xLAN Internet Exchange</v>
      </c>
      <c r="H162" s="10" t="s">
        <v>54</v>
      </c>
      <c r="I162" s="10" t="str">
        <f>_xlfn.XLOOKUP(ClientDB[[#This Row],[Country Code]],Table3[[#All],[Country Codes]],Table3[[#All],[Country]],1,TRUE)</f>
        <v>Romania</v>
      </c>
      <c r="J162" s="15">
        <v>2</v>
      </c>
      <c r="K162" s="15" t="str">
        <f>IF(ClientDB[[#This Row],[Start Date]]&gt;=$U$14,"New","")</f>
        <v>New</v>
      </c>
      <c r="L162" s="15" t="str">
        <f>IF(OR(ClientDB[[#This Row],[Start Year]]&lt;2016,ClientDB[[#This Row],[Events]]&gt;=6),"Gift","")</f>
        <v/>
      </c>
      <c r="M16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2" s="15">
        <v>2</v>
      </c>
      <c r="O162" s="35">
        <f>IF(ClientDB[[#This Row],[Days]]=1,(ClientDB[[#This Row],[Days]]*$V$7),IF(ClientDB[[#This Row],[Days]]&gt;1,(ClientDB[[#This Row],[Days]]*$V$8),""))</f>
        <v>600</v>
      </c>
      <c r="P16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62" s="15" t="s">
        <v>901</v>
      </c>
      <c r="R162" s="15" t="str">
        <f>INDEX(Table4[[Regular]:[Special]],MATCH(ClientDB[[#Data],[Country Code]],Table4[[#Data],[Country]],0),MATCH(ClientDB[[#Data],[Meal]],Table4[[#Headers],[Regular]:[Special]],0))</f>
        <v>G</v>
      </c>
    </row>
    <row r="163" spans="1:18" x14ac:dyDescent="0.2">
      <c r="A163" s="10">
        <v>23830</v>
      </c>
      <c r="B163" t="s">
        <v>355</v>
      </c>
      <c r="C163" t="s">
        <v>356</v>
      </c>
      <c r="D163" s="18">
        <v>43950</v>
      </c>
      <c r="E163" s="34">
        <f>YEAR(ClientDB[[#This Row],[Start Date]])</f>
        <v>2020</v>
      </c>
      <c r="F163" t="s">
        <v>825</v>
      </c>
      <c r="G163" t="str">
        <f>VLOOKUP(ClientDB[[#This Row],[Org Code]],Table2[],2,0)</f>
        <v>Qinisar</v>
      </c>
      <c r="H163" s="10" t="s">
        <v>26</v>
      </c>
      <c r="I163" s="10" t="str">
        <f>_xlfn.XLOOKUP(ClientDB[[#This Row],[Country Code]],Table3[[#All],[Country Codes]],Table3[[#All],[Country]],1,TRUE)</f>
        <v>Ukraine</v>
      </c>
      <c r="J163" s="15">
        <v>3</v>
      </c>
      <c r="K163" s="15" t="str">
        <f>IF(ClientDB[[#This Row],[Start Date]]&gt;=$U$14,"New","")</f>
        <v>New</v>
      </c>
      <c r="L163" s="15" t="str">
        <f>IF(OR(ClientDB[[#This Row],[Start Year]]&lt;2016,ClientDB[[#This Row],[Events]]&gt;=6),"Gift","")</f>
        <v/>
      </c>
      <c r="M16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3" s="15">
        <v>3</v>
      </c>
      <c r="O163" s="35">
        <f>IF(ClientDB[[#This Row],[Days]]=1,(ClientDB[[#This Row],[Days]]*$V$7),IF(ClientDB[[#This Row],[Days]]&gt;1,(ClientDB[[#This Row],[Days]]*$V$8),""))</f>
        <v>900</v>
      </c>
      <c r="P16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63" s="15" t="s">
        <v>901</v>
      </c>
      <c r="R163" s="15" t="str">
        <f>INDEX(Table4[[Regular]:[Special]],MATCH(ClientDB[[#Data],[Country Code]],Table4[[#Data],[Country]],0),MATCH(ClientDB[[#Data],[Meal]],Table4[[#Headers],[Regular]:[Special]],0))</f>
        <v>G</v>
      </c>
    </row>
    <row r="164" spans="1:18" x14ac:dyDescent="0.2">
      <c r="A164" s="10">
        <v>24004</v>
      </c>
      <c r="B164" t="s">
        <v>374</v>
      </c>
      <c r="C164" t="s">
        <v>375</v>
      </c>
      <c r="D164" s="18">
        <v>44061</v>
      </c>
      <c r="E164" s="34">
        <f>YEAR(ClientDB[[#This Row],[Start Date]])</f>
        <v>2020</v>
      </c>
      <c r="F164" t="s">
        <v>802</v>
      </c>
      <c r="G164" t="str">
        <f>VLOOKUP(ClientDB[[#This Row],[Org Code]],Table2[],2,0)</f>
        <v>Colot</v>
      </c>
      <c r="H164" s="10" t="s">
        <v>59</v>
      </c>
      <c r="I164" s="10" t="str">
        <f>_xlfn.XLOOKUP(ClientDB[[#This Row],[Country Code]],Table3[[#All],[Country Codes]],Table3[[#All],[Country]],1,TRUE)</f>
        <v>Netherlands</v>
      </c>
      <c r="J164" s="15">
        <v>1</v>
      </c>
      <c r="K164" s="15" t="str">
        <f>IF(ClientDB[[#This Row],[Start Date]]&gt;=$U$14,"New","")</f>
        <v>New</v>
      </c>
      <c r="L164" s="15" t="str">
        <f>IF(OR(ClientDB[[#This Row],[Start Year]]&lt;2016,ClientDB[[#This Row],[Events]]&gt;=6),"Gift","")</f>
        <v/>
      </c>
      <c r="M16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4" s="15">
        <v>2</v>
      </c>
      <c r="O164" s="35">
        <f>IF(ClientDB[[#This Row],[Days]]=1,(ClientDB[[#This Row],[Days]]*$V$7),IF(ClientDB[[#This Row],[Days]]&gt;1,(ClientDB[[#This Row],[Days]]*$V$8),""))</f>
        <v>600</v>
      </c>
      <c r="P16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64" s="15" t="s">
        <v>899</v>
      </c>
      <c r="R164" s="15" t="str">
        <f>INDEX(Table4[[Regular]:[Special]],MATCH(ClientDB[[#Data],[Country Code]],Table4[[#Data],[Country]],0),MATCH(ClientDB[[#Data],[Meal]],Table4[[#Headers],[Regular]:[Special]],0))</f>
        <v>B</v>
      </c>
    </row>
    <row r="165" spans="1:18" x14ac:dyDescent="0.2">
      <c r="A165" s="10">
        <v>24144</v>
      </c>
      <c r="B165" t="s">
        <v>740</v>
      </c>
      <c r="C165" t="s">
        <v>741</v>
      </c>
      <c r="D165" s="18">
        <v>43223</v>
      </c>
      <c r="E165" s="34">
        <f>YEAR(ClientDB[[#This Row],[Start Date]])</f>
        <v>2018</v>
      </c>
      <c r="F165" t="s">
        <v>808</v>
      </c>
      <c r="G165" t="str">
        <f>VLOOKUP(ClientDB[[#This Row],[Org Code]],Table2[],2,0)</f>
        <v>Ebony Telecoms</v>
      </c>
      <c r="H165" s="10" t="s">
        <v>121</v>
      </c>
      <c r="I165" s="10" t="str">
        <f>_xlfn.XLOOKUP(ClientDB[[#This Row],[Country Code]],Table3[[#All],[Country Codes]],Table3[[#All],[Country]],1,TRUE)</f>
        <v>Portugal</v>
      </c>
      <c r="J165" s="15">
        <v>6</v>
      </c>
      <c r="K165" s="15" t="str">
        <f>IF(ClientDB[[#This Row],[Start Date]]&gt;=$U$14,"New","")</f>
        <v/>
      </c>
      <c r="L165" s="15" t="str">
        <f>IF(OR(ClientDB[[#This Row],[Start Year]]&lt;2016,ClientDB[[#This Row],[Events]]&gt;=6),"Gift","")</f>
        <v>Gift</v>
      </c>
      <c r="M16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5" s="15">
        <v>2</v>
      </c>
      <c r="O165" s="35">
        <f>IF(ClientDB[[#This Row],[Days]]=1,(ClientDB[[#This Row],[Days]]*$V$7),IF(ClientDB[[#This Row],[Days]]&gt;1,(ClientDB[[#This Row],[Days]]*$V$8),""))</f>
        <v>600</v>
      </c>
      <c r="P16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65" s="15" t="s">
        <v>901</v>
      </c>
      <c r="R165" s="15" t="str">
        <f>INDEX(Table4[[Regular]:[Special]],MATCH(ClientDB[[#Data],[Country Code]],Table4[[#Data],[Country]],0),MATCH(ClientDB[[#Data],[Meal]],Table4[[#Headers],[Regular]:[Special]],0))</f>
        <v>G</v>
      </c>
    </row>
    <row r="166" spans="1:18" x14ac:dyDescent="0.2">
      <c r="A166" s="10">
        <v>24205</v>
      </c>
      <c r="B166" t="s">
        <v>246</v>
      </c>
      <c r="C166" t="s">
        <v>247</v>
      </c>
      <c r="D166" s="18">
        <v>43177</v>
      </c>
      <c r="E166" s="34">
        <f>YEAR(ClientDB[[#This Row],[Start Date]])</f>
        <v>2018</v>
      </c>
      <c r="F166" t="s">
        <v>800</v>
      </c>
      <c r="G166" t="str">
        <f>VLOOKUP(ClientDB[[#This Row],[Org Code]],Table2[],2,0)</f>
        <v>Chirah Technologies</v>
      </c>
      <c r="H166" s="10" t="s">
        <v>63</v>
      </c>
      <c r="I166" s="10" t="str">
        <f>_xlfn.XLOOKUP(ClientDB[[#This Row],[Country Code]],Table3[[#All],[Country Codes]],Table3[[#All],[Country]],1,TRUE)</f>
        <v>Armenia</v>
      </c>
      <c r="J166" s="15">
        <v>1</v>
      </c>
      <c r="K166" s="15" t="str">
        <f>IF(ClientDB[[#This Row],[Start Date]]&gt;=$U$14,"New","")</f>
        <v/>
      </c>
      <c r="L166" s="15" t="str">
        <f>IF(OR(ClientDB[[#This Row],[Start Year]]&lt;2016,ClientDB[[#This Row],[Events]]&gt;=6),"Gift","")</f>
        <v/>
      </c>
      <c r="M16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6" s="15">
        <v>2</v>
      </c>
      <c r="O166" s="35">
        <f>IF(ClientDB[[#This Row],[Days]]=1,(ClientDB[[#This Row],[Days]]*$V$7),IF(ClientDB[[#This Row],[Days]]&gt;1,(ClientDB[[#This Row],[Days]]*$V$8),""))</f>
        <v>600</v>
      </c>
      <c r="P16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66" s="15" t="s">
        <v>900</v>
      </c>
      <c r="R166" s="15" t="str">
        <f>INDEX(Table4[[Regular]:[Special]],MATCH(ClientDB[[#Data],[Country Code]],Table4[[#Data],[Country]],0),MATCH(ClientDB[[#Data],[Meal]],Table4[[#Headers],[Regular]:[Special]],0))</f>
        <v>A</v>
      </c>
    </row>
    <row r="167" spans="1:18" x14ac:dyDescent="0.2">
      <c r="A167" s="10">
        <v>24276</v>
      </c>
      <c r="B167" t="s">
        <v>436</v>
      </c>
      <c r="C167" t="s">
        <v>437</v>
      </c>
      <c r="D167" s="18">
        <v>43426</v>
      </c>
      <c r="E167" s="34">
        <f>YEAR(ClientDB[[#This Row],[Start Date]])</f>
        <v>2018</v>
      </c>
      <c r="F167" t="s">
        <v>836</v>
      </c>
      <c r="G167" t="str">
        <f>VLOOKUP(ClientDB[[#This Row],[Org Code]],Table2[],2,0)</f>
        <v>Wiz Labs</v>
      </c>
      <c r="H167" s="10" t="s">
        <v>59</v>
      </c>
      <c r="I167" s="10" t="str">
        <f>_xlfn.XLOOKUP(ClientDB[[#This Row],[Country Code]],Table3[[#All],[Country Codes]],Table3[[#All],[Country]],1,TRUE)</f>
        <v>Netherlands</v>
      </c>
      <c r="J167" s="15">
        <v>5</v>
      </c>
      <c r="K167" s="15" t="str">
        <f>IF(ClientDB[[#This Row],[Start Date]]&gt;=$U$14,"New","")</f>
        <v/>
      </c>
      <c r="L167" s="15" t="str">
        <f>IF(OR(ClientDB[[#This Row],[Start Year]]&lt;2016,ClientDB[[#This Row],[Events]]&gt;=6),"Gift","")</f>
        <v/>
      </c>
      <c r="M16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7" s="15">
        <v>2</v>
      </c>
      <c r="O167" s="35">
        <f>IF(ClientDB[[#This Row],[Days]]=1,(ClientDB[[#This Row],[Days]]*$V$7),IF(ClientDB[[#This Row],[Days]]&gt;1,(ClientDB[[#This Row],[Days]]*$V$8),""))</f>
        <v>600</v>
      </c>
      <c r="P16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67" s="15" t="s">
        <v>902</v>
      </c>
      <c r="R167" s="15" t="str">
        <f>INDEX(Table4[[Regular]:[Special]],MATCH(ClientDB[[#Data],[Country Code]],Table4[[#Data],[Country]],0),MATCH(ClientDB[[#Data],[Meal]],Table4[[#Headers],[Regular]:[Special]],0))</f>
        <v>C</v>
      </c>
    </row>
    <row r="168" spans="1:18" x14ac:dyDescent="0.2">
      <c r="A168" s="10">
        <v>24292</v>
      </c>
      <c r="B168" t="s">
        <v>715</v>
      </c>
      <c r="C168" t="s">
        <v>716</v>
      </c>
      <c r="D168" s="18">
        <v>42806</v>
      </c>
      <c r="E168" s="34">
        <f>YEAR(ClientDB[[#This Row],[Start Date]])</f>
        <v>2017</v>
      </c>
      <c r="F168" t="s">
        <v>810</v>
      </c>
      <c r="G168" t="str">
        <f>VLOOKUP(ClientDB[[#This Row],[Org Code]],Table2[],2,0)</f>
        <v>Euro-M</v>
      </c>
      <c r="H168" s="10" t="s">
        <v>7</v>
      </c>
      <c r="I168" s="10" t="str">
        <f>_xlfn.XLOOKUP(ClientDB[[#This Row],[Country Code]],Table3[[#All],[Country Codes]],Table3[[#All],[Country]],1,TRUE)</f>
        <v>Iran</v>
      </c>
      <c r="J168" s="15">
        <v>3</v>
      </c>
      <c r="K168" s="15" t="str">
        <f>IF(ClientDB[[#This Row],[Start Date]]&gt;=$U$14,"New","")</f>
        <v/>
      </c>
      <c r="L168" s="15" t="str">
        <f>IF(OR(ClientDB[[#This Row],[Start Year]]&lt;2016,ClientDB[[#This Row],[Events]]&gt;=6),"Gift","")</f>
        <v/>
      </c>
      <c r="M16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8" s="15">
        <v>3</v>
      </c>
      <c r="O168" s="35">
        <f>IF(ClientDB[[#This Row],[Days]]=1,(ClientDB[[#This Row],[Days]]*$V$7),IF(ClientDB[[#This Row],[Days]]&gt;1,(ClientDB[[#This Row],[Days]]*$V$8),""))</f>
        <v>900</v>
      </c>
      <c r="P16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68" s="15" t="s">
        <v>899</v>
      </c>
      <c r="R168" s="15" t="str">
        <f>INDEX(Table4[[Regular]:[Special]],MATCH(ClientDB[[#Data],[Country Code]],Table4[[#Data],[Country]],0),MATCH(ClientDB[[#Data],[Meal]],Table4[[#Headers],[Regular]:[Special]],0))</f>
        <v>A</v>
      </c>
    </row>
    <row r="169" spans="1:18" x14ac:dyDescent="0.2">
      <c r="A169" s="10">
        <v>24317</v>
      </c>
      <c r="B169" t="s">
        <v>397</v>
      </c>
      <c r="C169" t="s">
        <v>398</v>
      </c>
      <c r="D169" s="18">
        <v>42831</v>
      </c>
      <c r="E169" s="34">
        <f>YEAR(ClientDB[[#This Row],[Start Date]])</f>
        <v>2017</v>
      </c>
      <c r="F169" t="s">
        <v>816</v>
      </c>
      <c r="G169" t="str">
        <f>VLOOKUP(ClientDB[[#This Row],[Org Code]],Table2[],2,0)</f>
        <v>IPI Bucharest</v>
      </c>
      <c r="H169" s="10" t="s">
        <v>59</v>
      </c>
      <c r="I169" s="10" t="str">
        <f>_xlfn.XLOOKUP(ClientDB[[#This Row],[Country Code]],Table3[[#All],[Country Codes]],Table3[[#All],[Country]],1,TRUE)</f>
        <v>Netherlands</v>
      </c>
      <c r="J169" s="15">
        <v>6</v>
      </c>
      <c r="K169" s="15" t="str">
        <f>IF(ClientDB[[#This Row],[Start Date]]&gt;=$U$14,"New","")</f>
        <v/>
      </c>
      <c r="L169" s="15" t="str">
        <f>IF(OR(ClientDB[[#This Row],[Start Year]]&lt;2016,ClientDB[[#This Row],[Events]]&gt;=6),"Gift","")</f>
        <v>Gift</v>
      </c>
      <c r="M16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69" s="15">
        <v>1</v>
      </c>
      <c r="O169" s="35">
        <f>IF(ClientDB[[#This Row],[Days]]=1,(ClientDB[[#This Row],[Days]]*$V$7),IF(ClientDB[[#This Row],[Days]]&gt;1,(ClientDB[[#This Row],[Days]]*$V$8),""))</f>
        <v>350</v>
      </c>
      <c r="P16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69" s="15" t="s">
        <v>901</v>
      </c>
      <c r="R169" s="15" t="str">
        <f>INDEX(Table4[[Regular]:[Special]],MATCH(ClientDB[[#Data],[Country Code]],Table4[[#Data],[Country]],0),MATCH(ClientDB[[#Data],[Meal]],Table4[[#Headers],[Regular]:[Special]],0))</f>
        <v>F</v>
      </c>
    </row>
    <row r="170" spans="1:18" x14ac:dyDescent="0.2">
      <c r="A170" s="10">
        <v>24350</v>
      </c>
      <c r="B170" t="s">
        <v>394</v>
      </c>
      <c r="C170" t="s">
        <v>395</v>
      </c>
      <c r="D170" s="18">
        <v>43676</v>
      </c>
      <c r="E170" s="34">
        <f>YEAR(ClientDB[[#This Row],[Start Date]])</f>
        <v>2019</v>
      </c>
      <c r="F170" t="s">
        <v>798</v>
      </c>
      <c r="G170" t="str">
        <f>VLOOKUP(ClientDB[[#This Row],[Org Code]],Table2[],2,0)</f>
        <v>Axell Group</v>
      </c>
      <c r="H170" s="10" t="s">
        <v>396</v>
      </c>
      <c r="I170" s="10" t="str">
        <f>_xlfn.XLOOKUP(ClientDB[[#This Row],[Country Code]],Table3[[#All],[Country Codes]],Table3[[#All],[Country]],1,TRUE)</f>
        <v>Lithuania</v>
      </c>
      <c r="J170" s="15">
        <v>3</v>
      </c>
      <c r="K170" s="15" t="str">
        <f>IF(ClientDB[[#This Row],[Start Date]]&gt;=$U$14,"New","")</f>
        <v/>
      </c>
      <c r="L170" s="15" t="str">
        <f>IF(OR(ClientDB[[#This Row],[Start Year]]&lt;2016,ClientDB[[#This Row],[Events]]&gt;=6),"Gift","")</f>
        <v/>
      </c>
      <c r="M17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70" s="15">
        <v>3</v>
      </c>
      <c r="O170" s="35">
        <f>IF(ClientDB[[#This Row],[Days]]=1,(ClientDB[[#This Row],[Days]]*$V$7),IF(ClientDB[[#This Row],[Days]]&gt;1,(ClientDB[[#This Row],[Days]]*$V$8),""))</f>
        <v>900</v>
      </c>
      <c r="P17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70" s="15" t="s">
        <v>900</v>
      </c>
      <c r="R170" s="15" t="str">
        <f>INDEX(Table4[[Regular]:[Special]],MATCH(ClientDB[[#Data],[Country Code]],Table4[[#Data],[Country]],0),MATCH(ClientDB[[#Data],[Meal]],Table4[[#Headers],[Regular]:[Special]],0))</f>
        <v>C</v>
      </c>
    </row>
    <row r="171" spans="1:18" x14ac:dyDescent="0.2">
      <c r="A171" s="10">
        <v>24398</v>
      </c>
      <c r="B171" t="s">
        <v>725</v>
      </c>
      <c r="C171" t="s">
        <v>726</v>
      </c>
      <c r="D171" s="18">
        <v>42323</v>
      </c>
      <c r="E171" s="34">
        <f>YEAR(ClientDB[[#This Row],[Start Date]])</f>
        <v>2015</v>
      </c>
      <c r="F171" t="s">
        <v>818</v>
      </c>
      <c r="G171" t="str">
        <f>VLOOKUP(ClientDB[[#This Row],[Org Code]],Table2[],2,0)</f>
        <v>Mojbal</v>
      </c>
      <c r="H171" s="10" t="s">
        <v>7</v>
      </c>
      <c r="I171" s="10" t="str">
        <f>_xlfn.XLOOKUP(ClientDB[[#This Row],[Country Code]],Table3[[#All],[Country Codes]],Table3[[#All],[Country]],1,TRUE)</f>
        <v>Iran</v>
      </c>
      <c r="J171" s="15">
        <v>7</v>
      </c>
      <c r="K171" s="15" t="str">
        <f>IF(ClientDB[[#This Row],[Start Date]]&gt;=$U$14,"New","")</f>
        <v/>
      </c>
      <c r="L171" s="15" t="str">
        <f>IF(OR(ClientDB[[#This Row],[Start Year]]&lt;2016,ClientDB[[#This Row],[Events]]&gt;=6),"Gift","")</f>
        <v>Gift</v>
      </c>
      <c r="M17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71" s="15">
        <v>3</v>
      </c>
      <c r="O171" s="35">
        <f>IF(ClientDB[[#This Row],[Days]]=1,(ClientDB[[#This Row],[Days]]*$V$7),IF(ClientDB[[#This Row],[Days]]&gt;1,(ClientDB[[#This Row],[Days]]*$V$8),""))</f>
        <v>900</v>
      </c>
      <c r="P17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71" s="15" t="s">
        <v>901</v>
      </c>
      <c r="R171" s="15" t="str">
        <f>INDEX(Table4[[Regular]:[Special]],MATCH(ClientDB[[#Data],[Country Code]],Table4[[#Data],[Country]],0),MATCH(ClientDB[[#Data],[Meal]],Table4[[#Headers],[Regular]:[Special]],0))</f>
        <v>F</v>
      </c>
    </row>
    <row r="172" spans="1:18" x14ac:dyDescent="0.2">
      <c r="A172" s="10">
        <v>24600</v>
      </c>
      <c r="B172" t="s">
        <v>401</v>
      </c>
      <c r="C172" t="s">
        <v>402</v>
      </c>
      <c r="D172" s="18">
        <v>42831</v>
      </c>
      <c r="E172" s="34">
        <f>YEAR(ClientDB[[#This Row],[Start Date]])</f>
        <v>2017</v>
      </c>
      <c r="F172" t="s">
        <v>837</v>
      </c>
      <c r="G172" t="str">
        <f>VLOOKUP(ClientDB[[#This Row],[Org Code]],Table2[],2,0)</f>
        <v>WWT</v>
      </c>
      <c r="H172" s="10" t="s">
        <v>26</v>
      </c>
      <c r="I172" s="10" t="str">
        <f>_xlfn.XLOOKUP(ClientDB[[#This Row],[Country Code]],Table3[[#All],[Country Codes]],Table3[[#All],[Country]],1,TRUE)</f>
        <v>Ukraine</v>
      </c>
      <c r="J172" s="15">
        <v>3</v>
      </c>
      <c r="K172" s="15" t="str">
        <f>IF(ClientDB[[#This Row],[Start Date]]&gt;=$U$14,"New","")</f>
        <v/>
      </c>
      <c r="L172" s="15" t="str">
        <f>IF(OR(ClientDB[[#This Row],[Start Year]]&lt;2016,ClientDB[[#This Row],[Events]]&gt;=6),"Gift","")</f>
        <v/>
      </c>
      <c r="M17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72" s="15">
        <v>2</v>
      </c>
      <c r="O172" s="35">
        <f>IF(ClientDB[[#This Row],[Days]]=1,(ClientDB[[#This Row],[Days]]*$V$7),IF(ClientDB[[#This Row],[Days]]&gt;1,(ClientDB[[#This Row],[Days]]*$V$8),""))</f>
        <v>600</v>
      </c>
      <c r="P17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72" s="15" t="s">
        <v>900</v>
      </c>
      <c r="R172" s="15" t="str">
        <f>INDEX(Table4[[Regular]:[Special]],MATCH(ClientDB[[#Data],[Country Code]],Table4[[#Data],[Country]],0),MATCH(ClientDB[[#Data],[Meal]],Table4[[#Headers],[Regular]:[Special]],0))</f>
        <v>C</v>
      </c>
    </row>
    <row r="173" spans="1:18" x14ac:dyDescent="0.2">
      <c r="A173" s="10">
        <v>24841</v>
      </c>
      <c r="B173" t="s">
        <v>607</v>
      </c>
      <c r="C173" t="s">
        <v>608</v>
      </c>
      <c r="D173" s="18">
        <v>42415</v>
      </c>
      <c r="E173" s="34">
        <f>YEAR(ClientDB[[#This Row],[Start Date]])</f>
        <v>2016</v>
      </c>
      <c r="F173" t="s">
        <v>826</v>
      </c>
      <c r="G173" t="str">
        <f>VLOOKUP(ClientDB[[#This Row],[Org Code]],Table2[],2,0)</f>
        <v>Respira Networks</v>
      </c>
      <c r="H173" s="10" t="s">
        <v>311</v>
      </c>
      <c r="I173" s="10" t="str">
        <f>_xlfn.XLOOKUP(ClientDB[[#This Row],[Country Code]],Table3[[#All],[Country Codes]],Table3[[#All],[Country]],1,TRUE)</f>
        <v>France</v>
      </c>
      <c r="J173" s="15">
        <v>7</v>
      </c>
      <c r="K173" s="15" t="str">
        <f>IF(ClientDB[[#This Row],[Start Date]]&gt;=$U$14,"New","")</f>
        <v/>
      </c>
      <c r="L173" s="15" t="str">
        <f>IF(OR(ClientDB[[#This Row],[Start Year]]&lt;2016,ClientDB[[#This Row],[Events]]&gt;=6),"Gift","")</f>
        <v>Gift</v>
      </c>
      <c r="M17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73" s="15">
        <v>1</v>
      </c>
      <c r="O173" s="35">
        <f>IF(ClientDB[[#This Row],[Days]]=1,(ClientDB[[#This Row],[Days]]*$V$7),IF(ClientDB[[#This Row],[Days]]&gt;1,(ClientDB[[#This Row],[Days]]*$V$8),""))</f>
        <v>350</v>
      </c>
      <c r="P17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73" s="15" t="s">
        <v>900</v>
      </c>
      <c r="R173" s="15" t="str">
        <f>INDEX(Table4[[Regular]:[Special]],MATCH(ClientDB[[#Data],[Country Code]],Table4[[#Data],[Country]],0),MATCH(ClientDB[[#Data],[Meal]],Table4[[#Headers],[Regular]:[Special]],0))</f>
        <v>A</v>
      </c>
    </row>
    <row r="174" spans="1:18" x14ac:dyDescent="0.2">
      <c r="A174" s="10">
        <v>24884</v>
      </c>
      <c r="B174" t="s">
        <v>152</v>
      </c>
      <c r="C174" t="s">
        <v>153</v>
      </c>
      <c r="D174" s="18">
        <v>42703</v>
      </c>
      <c r="E174" s="34">
        <f>YEAR(ClientDB[[#This Row],[Start Date]])</f>
        <v>2016</v>
      </c>
      <c r="F174" t="s">
        <v>800</v>
      </c>
      <c r="G174" t="str">
        <f>VLOOKUP(ClientDB[[#This Row],[Org Code]],Table2[],2,0)</f>
        <v>Chirah Technologies</v>
      </c>
      <c r="H174" s="10" t="s">
        <v>155</v>
      </c>
      <c r="I174" s="10" t="str">
        <f>_xlfn.XLOOKUP(ClientDB[[#This Row],[Country Code]],Table3[[#All],[Country Codes]],Table3[[#All],[Country]],1,TRUE)</f>
        <v>United Arab Emirates</v>
      </c>
      <c r="J174" s="15">
        <v>15</v>
      </c>
      <c r="K174" s="15" t="str">
        <f>IF(ClientDB[[#This Row],[Start Date]]&gt;=$U$14,"New","")</f>
        <v/>
      </c>
      <c r="L174" s="15" t="str">
        <f>IF(OR(ClientDB[[#This Row],[Start Year]]&lt;2016,ClientDB[[#This Row],[Events]]&gt;=6),"Gift","")</f>
        <v>Gift</v>
      </c>
      <c r="M174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74" s="15">
        <v>1</v>
      </c>
      <c r="O174" s="35">
        <f>IF(ClientDB[[#This Row],[Days]]=1,(ClientDB[[#This Row],[Days]]*$V$7),IF(ClientDB[[#This Row],[Days]]&gt;1,(ClientDB[[#This Row],[Days]]*$V$8),""))</f>
        <v>350</v>
      </c>
      <c r="P17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174" s="15" t="s">
        <v>899</v>
      </c>
      <c r="R174" s="15" t="str">
        <f>INDEX(Table4[[Regular]:[Special]],MATCH(ClientDB[[#Data],[Country Code]],Table4[[#Data],[Country]],0),MATCH(ClientDB[[#Data],[Meal]],Table4[[#Headers],[Regular]:[Special]],0))</f>
        <v>A</v>
      </c>
    </row>
    <row r="175" spans="1:18" x14ac:dyDescent="0.2">
      <c r="A175" s="10">
        <v>24998</v>
      </c>
      <c r="B175" t="s">
        <v>566</v>
      </c>
      <c r="C175" t="s">
        <v>567</v>
      </c>
      <c r="D175" s="18">
        <v>43017</v>
      </c>
      <c r="E175" s="34">
        <f>YEAR(ClientDB[[#This Row],[Start Date]])</f>
        <v>2017</v>
      </c>
      <c r="F175" t="s">
        <v>808</v>
      </c>
      <c r="G175" t="str">
        <f>VLOOKUP(ClientDB[[#This Row],[Org Code]],Table2[],2,0)</f>
        <v>Ebony Telecoms</v>
      </c>
      <c r="H175" s="10" t="s">
        <v>121</v>
      </c>
      <c r="I175" s="10" t="str">
        <f>_xlfn.XLOOKUP(ClientDB[[#This Row],[Country Code]],Table3[[#All],[Country Codes]],Table3[[#All],[Country]],1,TRUE)</f>
        <v>Portugal</v>
      </c>
      <c r="J175" s="15">
        <v>6</v>
      </c>
      <c r="K175" s="15" t="str">
        <f>IF(ClientDB[[#This Row],[Start Date]]&gt;=$U$14,"New","")</f>
        <v/>
      </c>
      <c r="L175" s="15" t="str">
        <f>IF(OR(ClientDB[[#This Row],[Start Year]]&lt;2016,ClientDB[[#This Row],[Events]]&gt;=6),"Gift","")</f>
        <v>Gift</v>
      </c>
      <c r="M17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75" s="15">
        <v>1</v>
      </c>
      <c r="O175" s="35">
        <f>IF(ClientDB[[#This Row],[Days]]=1,(ClientDB[[#This Row],[Days]]*$V$7),IF(ClientDB[[#This Row],[Days]]&gt;1,(ClientDB[[#This Row],[Days]]*$V$8),""))</f>
        <v>350</v>
      </c>
      <c r="P17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75" s="15" t="s">
        <v>900</v>
      </c>
      <c r="R175" s="15" t="str">
        <f>INDEX(Table4[[Regular]:[Special]],MATCH(ClientDB[[#Data],[Country Code]],Table4[[#Data],[Country]],0),MATCH(ClientDB[[#Data],[Meal]],Table4[[#Headers],[Regular]:[Special]],0))</f>
        <v>C</v>
      </c>
    </row>
    <row r="176" spans="1:18" x14ac:dyDescent="0.2">
      <c r="A176" s="10">
        <v>25034</v>
      </c>
      <c r="B176" t="s">
        <v>389</v>
      </c>
      <c r="C176" t="s">
        <v>682</v>
      </c>
      <c r="D176" s="18">
        <v>42154</v>
      </c>
      <c r="E176" s="34">
        <f>YEAR(ClientDB[[#This Row],[Start Date]])</f>
        <v>2015</v>
      </c>
      <c r="F176" t="s">
        <v>811</v>
      </c>
      <c r="G176" t="str">
        <f>VLOOKUP(ClientDB[[#This Row],[Org Code]],Table2[],2,0)</f>
        <v>EYN</v>
      </c>
      <c r="H176" s="10" t="s">
        <v>15</v>
      </c>
      <c r="I176" s="10" t="str">
        <f>_xlfn.XLOOKUP(ClientDB[[#This Row],[Country Code]],Table3[[#All],[Country Codes]],Table3[[#All],[Country]],1,TRUE)</f>
        <v>United Kingdom</v>
      </c>
      <c r="J176" s="15">
        <v>3</v>
      </c>
      <c r="K176" s="15" t="str">
        <f>IF(ClientDB[[#This Row],[Start Date]]&gt;=$U$14,"New","")</f>
        <v/>
      </c>
      <c r="L176" s="15" t="str">
        <f>IF(OR(ClientDB[[#This Row],[Start Year]]&lt;2016,ClientDB[[#This Row],[Events]]&gt;=6),"Gift","")</f>
        <v>Gift</v>
      </c>
      <c r="M17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76" s="15">
        <v>3</v>
      </c>
      <c r="O176" s="35">
        <f>IF(ClientDB[[#This Row],[Days]]=1,(ClientDB[[#This Row],[Days]]*$V$7),IF(ClientDB[[#This Row],[Days]]&gt;1,(ClientDB[[#This Row],[Days]]*$V$8),""))</f>
        <v>900</v>
      </c>
      <c r="P17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76" s="15" t="s">
        <v>902</v>
      </c>
      <c r="R176" s="15" t="str">
        <f>INDEX(Table4[[Regular]:[Special]],MATCH(ClientDB[[#Data],[Country Code]],Table4[[#Data],[Country]],0),MATCH(ClientDB[[#Data],[Meal]],Table4[[#Headers],[Regular]:[Special]],0))</f>
        <v>B</v>
      </c>
    </row>
    <row r="177" spans="1:18" x14ac:dyDescent="0.2">
      <c r="A177" s="10">
        <v>25049</v>
      </c>
      <c r="B177" t="s">
        <v>572</v>
      </c>
      <c r="C177" t="s">
        <v>573</v>
      </c>
      <c r="D177" s="18">
        <v>42320</v>
      </c>
      <c r="E177" s="34">
        <f>YEAR(ClientDB[[#This Row],[Start Date]])</f>
        <v>2015</v>
      </c>
      <c r="F177" t="s">
        <v>821</v>
      </c>
      <c r="G177" t="str">
        <f>VLOOKUP(ClientDB[[#This Row],[Org Code]],Table2[],2,0)</f>
        <v>Parmis Technologies</v>
      </c>
      <c r="H177" s="10" t="s">
        <v>7</v>
      </c>
      <c r="I177" s="10" t="str">
        <f>_xlfn.XLOOKUP(ClientDB[[#This Row],[Country Code]],Table3[[#All],[Country Codes]],Table3[[#All],[Country]],1,TRUE)</f>
        <v>Iran</v>
      </c>
      <c r="J177" s="15">
        <v>9</v>
      </c>
      <c r="K177" s="15" t="str">
        <f>IF(ClientDB[[#This Row],[Start Date]]&gt;=$U$14,"New","")</f>
        <v/>
      </c>
      <c r="L177" s="15" t="str">
        <f>IF(OR(ClientDB[[#This Row],[Start Year]]&lt;2016,ClientDB[[#This Row],[Events]]&gt;=6),"Gift","")</f>
        <v>Gift</v>
      </c>
      <c r="M17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77" s="15">
        <v>3</v>
      </c>
      <c r="O177" s="35">
        <f>IF(ClientDB[[#This Row],[Days]]=1,(ClientDB[[#This Row],[Days]]*$V$7),IF(ClientDB[[#This Row],[Days]]&gt;1,(ClientDB[[#This Row],[Days]]*$V$8),""))</f>
        <v>900</v>
      </c>
      <c r="P17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77" s="15" t="s">
        <v>902</v>
      </c>
      <c r="R177" s="15" t="str">
        <f>INDEX(Table4[[Regular]:[Special]],MATCH(ClientDB[[#Data],[Country Code]],Table4[[#Data],[Country]],0),MATCH(ClientDB[[#Data],[Meal]],Table4[[#Headers],[Regular]:[Special]],0))</f>
        <v>C</v>
      </c>
    </row>
    <row r="178" spans="1:18" x14ac:dyDescent="0.2">
      <c r="A178" s="10">
        <v>25080</v>
      </c>
      <c r="B178" t="s">
        <v>382</v>
      </c>
      <c r="C178" t="s">
        <v>383</v>
      </c>
      <c r="D178" s="18">
        <v>43092</v>
      </c>
      <c r="E178" s="34">
        <f>YEAR(ClientDB[[#This Row],[Start Date]])</f>
        <v>2017</v>
      </c>
      <c r="F178" t="s">
        <v>833</v>
      </c>
      <c r="G178" t="str">
        <f>VLOOKUP(ClientDB[[#This Row],[Org Code]],Table2[],2,0)</f>
        <v>UON</v>
      </c>
      <c r="H178" s="10" t="s">
        <v>38</v>
      </c>
      <c r="I178" s="10" t="str">
        <f>_xlfn.XLOOKUP(ClientDB[[#This Row],[Country Code]],Table3[[#All],[Country Codes]],Table3[[#All],[Country]],1,TRUE)</f>
        <v>Czech Republic</v>
      </c>
      <c r="J178" s="15">
        <v>11</v>
      </c>
      <c r="K178" s="15" t="str">
        <f>IF(ClientDB[[#This Row],[Start Date]]&gt;=$U$14,"New","")</f>
        <v/>
      </c>
      <c r="L178" s="15" t="str">
        <f>IF(OR(ClientDB[[#This Row],[Start Year]]&lt;2016,ClientDB[[#This Row],[Events]]&gt;=6),"Gift","")</f>
        <v>Gift</v>
      </c>
      <c r="M178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78" s="15">
        <v>2</v>
      </c>
      <c r="O178" s="35">
        <f>IF(ClientDB[[#This Row],[Days]]=1,(ClientDB[[#This Row],[Days]]*$V$7),IF(ClientDB[[#This Row],[Days]]&gt;1,(ClientDB[[#This Row],[Days]]*$V$8),""))</f>
        <v>600</v>
      </c>
      <c r="P17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78" s="15" t="s">
        <v>899</v>
      </c>
      <c r="R178" s="15" t="str">
        <f>INDEX(Table4[[Regular]:[Special]],MATCH(ClientDB[[#Data],[Country Code]],Table4[[#Data],[Country]],0),MATCH(ClientDB[[#Data],[Meal]],Table4[[#Headers],[Regular]:[Special]],0))</f>
        <v>A</v>
      </c>
    </row>
    <row r="179" spans="1:18" x14ac:dyDescent="0.2">
      <c r="A179" s="10">
        <v>25295</v>
      </c>
      <c r="B179" t="s">
        <v>501</v>
      </c>
      <c r="C179" t="s">
        <v>681</v>
      </c>
      <c r="D179" s="18">
        <v>43955</v>
      </c>
      <c r="E179" s="34">
        <f>YEAR(ClientDB[[#This Row],[Start Date]])</f>
        <v>2020</v>
      </c>
      <c r="F179" t="s">
        <v>805</v>
      </c>
      <c r="G179" t="str">
        <f>VLOOKUP(ClientDB[[#This Row],[Org Code]],Table2[],2,0)</f>
        <v>Data Pro Sys</v>
      </c>
      <c r="H179" s="10" t="s">
        <v>46</v>
      </c>
      <c r="I179" s="10" t="str">
        <f>_xlfn.XLOOKUP(ClientDB[[#This Row],[Country Code]],Table3[[#All],[Country Codes]],Table3[[#All],[Country]],1,TRUE)</f>
        <v>Germany</v>
      </c>
      <c r="J179" s="15">
        <v>1</v>
      </c>
      <c r="K179" s="15" t="str">
        <f>IF(ClientDB[[#This Row],[Start Date]]&gt;=$U$14,"New","")</f>
        <v>New</v>
      </c>
      <c r="L179" s="15" t="str">
        <f>IF(OR(ClientDB[[#This Row],[Start Year]]&lt;2016,ClientDB[[#This Row],[Events]]&gt;=6),"Gift","")</f>
        <v/>
      </c>
      <c r="M17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79" s="15">
        <v>1</v>
      </c>
      <c r="O179" s="35">
        <f>IF(ClientDB[[#This Row],[Days]]=1,(ClientDB[[#This Row],[Days]]*$V$7),IF(ClientDB[[#This Row],[Days]]&gt;1,(ClientDB[[#This Row],[Days]]*$V$8),""))</f>
        <v>350</v>
      </c>
      <c r="P17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179" s="15" t="s">
        <v>901</v>
      </c>
      <c r="R179" s="15" t="str">
        <f>INDEX(Table4[[Regular]:[Special]],MATCH(ClientDB[[#Data],[Country Code]],Table4[[#Data],[Country]],0),MATCH(ClientDB[[#Data],[Meal]],Table4[[#Headers],[Regular]:[Special]],0))</f>
        <v>D</v>
      </c>
    </row>
    <row r="180" spans="1:18" x14ac:dyDescent="0.2">
      <c r="A180" s="10">
        <v>25310</v>
      </c>
      <c r="B180" t="s">
        <v>638</v>
      </c>
      <c r="C180" t="s">
        <v>639</v>
      </c>
      <c r="D180" s="18">
        <v>43809</v>
      </c>
      <c r="E180" s="34">
        <f>YEAR(ClientDB[[#This Row],[Start Date]])</f>
        <v>2019</v>
      </c>
      <c r="F180" t="s">
        <v>828</v>
      </c>
      <c r="G180" t="str">
        <f>VLOOKUP(ClientDB[[#This Row],[Org Code]],Table2[],2,0)</f>
        <v>Shaw Construction</v>
      </c>
      <c r="H180" s="10" t="s">
        <v>26</v>
      </c>
      <c r="I180" s="10" t="str">
        <f>_xlfn.XLOOKUP(ClientDB[[#This Row],[Country Code]],Table3[[#All],[Country Codes]],Table3[[#All],[Country]],1,TRUE)</f>
        <v>Ukraine</v>
      </c>
      <c r="J180" s="15">
        <v>7</v>
      </c>
      <c r="K180" s="15" t="str">
        <f>IF(ClientDB[[#This Row],[Start Date]]&gt;=$U$14,"New","")</f>
        <v/>
      </c>
      <c r="L180" s="15" t="str">
        <f>IF(OR(ClientDB[[#This Row],[Start Year]]&lt;2016,ClientDB[[#This Row],[Events]]&gt;=6),"Gift","")</f>
        <v>Gift</v>
      </c>
      <c r="M18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80" s="15">
        <v>3</v>
      </c>
      <c r="O180" s="35">
        <f>IF(ClientDB[[#This Row],[Days]]=1,(ClientDB[[#This Row],[Days]]*$V$7),IF(ClientDB[[#This Row],[Days]]&gt;1,(ClientDB[[#This Row],[Days]]*$V$8),""))</f>
        <v>900</v>
      </c>
      <c r="P18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80" s="15" t="s">
        <v>901</v>
      </c>
      <c r="R180" s="15" t="str">
        <f>INDEX(Table4[[Regular]:[Special]],MATCH(ClientDB[[#Data],[Country Code]],Table4[[#Data],[Country]],0),MATCH(ClientDB[[#Data],[Meal]],Table4[[#Headers],[Regular]:[Special]],0))</f>
        <v>G</v>
      </c>
    </row>
    <row r="181" spans="1:18" x14ac:dyDescent="0.2">
      <c r="A181" s="10">
        <v>25387</v>
      </c>
      <c r="B181" t="s">
        <v>332</v>
      </c>
      <c r="C181" t="s">
        <v>333</v>
      </c>
      <c r="D181" s="18">
        <v>43429</v>
      </c>
      <c r="E181" s="34">
        <f>YEAR(ClientDB[[#This Row],[Start Date]])</f>
        <v>2018</v>
      </c>
      <c r="F181" t="s">
        <v>827</v>
      </c>
      <c r="G181" t="str">
        <f>VLOOKUP(ClientDB[[#This Row],[Org Code]],Table2[],2,0)</f>
        <v>Ripple Com</v>
      </c>
      <c r="H181" s="10" t="s">
        <v>15</v>
      </c>
      <c r="I181" s="10" t="str">
        <f>_xlfn.XLOOKUP(ClientDB[[#This Row],[Country Code]],Table3[[#All],[Country Codes]],Table3[[#All],[Country]],1,TRUE)</f>
        <v>United Kingdom</v>
      </c>
      <c r="J181" s="15">
        <v>4</v>
      </c>
      <c r="K181" s="15" t="str">
        <f>IF(ClientDB[[#This Row],[Start Date]]&gt;=$U$14,"New","")</f>
        <v/>
      </c>
      <c r="L181" s="15" t="str">
        <f>IF(OR(ClientDB[[#This Row],[Start Year]]&lt;2016,ClientDB[[#This Row],[Events]]&gt;=6),"Gift","")</f>
        <v/>
      </c>
      <c r="M18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81" s="15">
        <v>2</v>
      </c>
      <c r="O181" s="35">
        <f>IF(ClientDB[[#This Row],[Days]]=1,(ClientDB[[#This Row],[Days]]*$V$7),IF(ClientDB[[#This Row],[Days]]&gt;1,(ClientDB[[#This Row],[Days]]*$V$8),""))</f>
        <v>600</v>
      </c>
      <c r="P18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81" s="15" t="s">
        <v>901</v>
      </c>
      <c r="R181" s="15" t="str">
        <f>INDEX(Table4[[Regular]:[Special]],MATCH(ClientDB[[#Data],[Country Code]],Table4[[#Data],[Country]],0),MATCH(ClientDB[[#Data],[Meal]],Table4[[#Headers],[Regular]:[Special]],0))</f>
        <v>E</v>
      </c>
    </row>
    <row r="182" spans="1:18" x14ac:dyDescent="0.2">
      <c r="A182" s="10">
        <v>25412</v>
      </c>
      <c r="B182" t="s">
        <v>289</v>
      </c>
      <c r="C182" t="s">
        <v>290</v>
      </c>
      <c r="D182" s="18">
        <v>43677</v>
      </c>
      <c r="E182" s="34">
        <f>YEAR(ClientDB[[#This Row],[Start Date]])</f>
        <v>2019</v>
      </c>
      <c r="F182" t="s">
        <v>814</v>
      </c>
      <c r="G182" t="str">
        <f>VLOOKUP(ClientDB[[#This Row],[Org Code]],Table2[],2,0)</f>
        <v>ICANT</v>
      </c>
      <c r="H182" s="10" t="s">
        <v>15</v>
      </c>
      <c r="I182" s="10" t="str">
        <f>_xlfn.XLOOKUP(ClientDB[[#This Row],[Country Code]],Table3[[#All],[Country Codes]],Table3[[#All],[Country]],1,TRUE)</f>
        <v>United Kingdom</v>
      </c>
      <c r="J182" s="15">
        <v>7</v>
      </c>
      <c r="K182" s="15" t="str">
        <f>IF(ClientDB[[#This Row],[Start Date]]&gt;=$U$14,"New","")</f>
        <v/>
      </c>
      <c r="L182" s="15" t="str">
        <f>IF(OR(ClientDB[[#This Row],[Start Year]]&lt;2016,ClientDB[[#This Row],[Events]]&gt;=6),"Gift","")</f>
        <v>Gift</v>
      </c>
      <c r="M18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82" s="15">
        <v>3</v>
      </c>
      <c r="O182" s="35">
        <f>IF(ClientDB[[#This Row],[Days]]=1,(ClientDB[[#This Row],[Days]]*$V$7),IF(ClientDB[[#This Row],[Days]]&gt;1,(ClientDB[[#This Row],[Days]]*$V$8),""))</f>
        <v>900</v>
      </c>
      <c r="P18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82" s="15" t="s">
        <v>899</v>
      </c>
      <c r="R182" s="15" t="str">
        <f>INDEX(Table4[[Regular]:[Special]],MATCH(ClientDB[[#Data],[Country Code]],Table4[[#Data],[Country]],0),MATCH(ClientDB[[#Data],[Meal]],Table4[[#Headers],[Regular]:[Special]],0))</f>
        <v>A</v>
      </c>
    </row>
    <row r="183" spans="1:18" x14ac:dyDescent="0.2">
      <c r="A183" s="10">
        <v>25440</v>
      </c>
      <c r="B183" t="s">
        <v>179</v>
      </c>
      <c r="C183" t="s">
        <v>180</v>
      </c>
      <c r="D183" s="18">
        <v>42418</v>
      </c>
      <c r="E183" s="34">
        <f>YEAR(ClientDB[[#This Row],[Start Date]])</f>
        <v>2016</v>
      </c>
      <c r="F183" t="s">
        <v>829</v>
      </c>
      <c r="G183" t="str">
        <f>VLOOKUP(ClientDB[[#This Row],[Org Code]],Table2[],2,0)</f>
        <v>StepAhead</v>
      </c>
      <c r="H183" s="10" t="s">
        <v>59</v>
      </c>
      <c r="I183" s="10" t="str">
        <f>_xlfn.XLOOKUP(ClientDB[[#This Row],[Country Code]],Table3[[#All],[Country Codes]],Table3[[#All],[Country]],1,TRUE)</f>
        <v>Netherlands</v>
      </c>
      <c r="J183" s="15">
        <v>5</v>
      </c>
      <c r="K183" s="15" t="str">
        <f>IF(ClientDB[[#This Row],[Start Date]]&gt;=$U$14,"New","")</f>
        <v/>
      </c>
      <c r="L183" s="15" t="str">
        <f>IF(OR(ClientDB[[#This Row],[Start Year]]&lt;2016,ClientDB[[#This Row],[Events]]&gt;=6),"Gift","")</f>
        <v/>
      </c>
      <c r="M18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83" s="15">
        <v>2</v>
      </c>
      <c r="O183" s="35">
        <f>IF(ClientDB[[#This Row],[Days]]=1,(ClientDB[[#This Row],[Days]]*$V$7),IF(ClientDB[[#This Row],[Days]]&gt;1,(ClientDB[[#This Row],[Days]]*$V$8),""))</f>
        <v>600</v>
      </c>
      <c r="P18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83" s="15" t="s">
        <v>902</v>
      </c>
      <c r="R183" s="15" t="str">
        <f>INDEX(Table4[[Regular]:[Special]],MATCH(ClientDB[[#Data],[Country Code]],Table4[[#Data],[Country]],0),MATCH(ClientDB[[#Data],[Meal]],Table4[[#Headers],[Regular]:[Special]],0))</f>
        <v>C</v>
      </c>
    </row>
    <row r="184" spans="1:18" x14ac:dyDescent="0.2">
      <c r="A184" s="10">
        <v>25549</v>
      </c>
      <c r="B184" t="s">
        <v>629</v>
      </c>
      <c r="C184" t="s">
        <v>630</v>
      </c>
      <c r="D184" s="18">
        <v>42394</v>
      </c>
      <c r="E184" s="34">
        <f>YEAR(ClientDB[[#This Row],[Start Date]])</f>
        <v>2016</v>
      </c>
      <c r="F184" t="s">
        <v>828</v>
      </c>
      <c r="G184" t="str">
        <f>VLOOKUP(ClientDB[[#This Row],[Org Code]],Table2[],2,0)</f>
        <v>Shaw Construction</v>
      </c>
      <c r="H184" s="10" t="s">
        <v>46</v>
      </c>
      <c r="I184" s="10" t="str">
        <f>_xlfn.XLOOKUP(ClientDB[[#This Row],[Country Code]],Table3[[#All],[Country Codes]],Table3[[#All],[Country]],1,TRUE)</f>
        <v>Germany</v>
      </c>
      <c r="J184" s="15">
        <v>8</v>
      </c>
      <c r="K184" s="15" t="str">
        <f>IF(ClientDB[[#This Row],[Start Date]]&gt;=$U$14,"New","")</f>
        <v/>
      </c>
      <c r="L184" s="15" t="str">
        <f>IF(OR(ClientDB[[#This Row],[Start Year]]&lt;2016,ClientDB[[#This Row],[Events]]&gt;=6),"Gift","")</f>
        <v>Gift</v>
      </c>
      <c r="M18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84" s="15">
        <v>3</v>
      </c>
      <c r="O184" s="35">
        <f>IF(ClientDB[[#This Row],[Days]]=1,(ClientDB[[#This Row],[Days]]*$V$7),IF(ClientDB[[#This Row],[Days]]&gt;1,(ClientDB[[#This Row],[Days]]*$V$8),""))</f>
        <v>900</v>
      </c>
      <c r="P18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184" s="15" t="s">
        <v>899</v>
      </c>
      <c r="R184" s="15" t="str">
        <f>INDEX(Table4[[Regular]:[Special]],MATCH(ClientDB[[#Data],[Country Code]],Table4[[#Data],[Country]],0),MATCH(ClientDB[[#Data],[Meal]],Table4[[#Headers],[Regular]:[Special]],0))</f>
        <v>A</v>
      </c>
    </row>
    <row r="185" spans="1:18" x14ac:dyDescent="0.2">
      <c r="A185" s="10">
        <v>25596</v>
      </c>
      <c r="B185" t="s">
        <v>248</v>
      </c>
      <c r="C185" t="s">
        <v>249</v>
      </c>
      <c r="D185" s="18">
        <v>43086</v>
      </c>
      <c r="E185" s="34">
        <f>YEAR(ClientDB[[#This Row],[Start Date]])</f>
        <v>2017</v>
      </c>
      <c r="F185" t="s">
        <v>816</v>
      </c>
      <c r="G185" t="str">
        <f>VLOOKUP(ClientDB[[#This Row],[Org Code]],Table2[],2,0)</f>
        <v>IPI Bucharest</v>
      </c>
      <c r="H185" s="10" t="s">
        <v>54</v>
      </c>
      <c r="I185" s="10" t="str">
        <f>_xlfn.XLOOKUP(ClientDB[[#This Row],[Country Code]],Table3[[#All],[Country Codes]],Table3[[#All],[Country]],1,TRUE)</f>
        <v>Romania</v>
      </c>
      <c r="J185" s="15">
        <v>2</v>
      </c>
      <c r="K185" s="15" t="str">
        <f>IF(ClientDB[[#This Row],[Start Date]]&gt;=$U$14,"New","")</f>
        <v/>
      </c>
      <c r="L185" s="15" t="str">
        <f>IF(OR(ClientDB[[#This Row],[Start Year]]&lt;2016,ClientDB[[#This Row],[Events]]&gt;=6),"Gift","")</f>
        <v/>
      </c>
      <c r="M18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85" s="15">
        <v>2</v>
      </c>
      <c r="O185" s="35">
        <f>IF(ClientDB[[#This Row],[Days]]=1,(ClientDB[[#This Row],[Days]]*$V$7),IF(ClientDB[[#This Row],[Days]]&gt;1,(ClientDB[[#This Row],[Days]]*$V$8),""))</f>
        <v>600</v>
      </c>
      <c r="P18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85" s="15" t="s">
        <v>901</v>
      </c>
      <c r="R185" s="15" t="str">
        <f>INDEX(Table4[[Regular]:[Special]],MATCH(ClientDB[[#Data],[Country Code]],Table4[[#Data],[Country]],0),MATCH(ClientDB[[#Data],[Meal]],Table4[[#Headers],[Regular]:[Special]],0))</f>
        <v>G</v>
      </c>
    </row>
    <row r="186" spans="1:18" x14ac:dyDescent="0.2">
      <c r="A186" s="10">
        <v>25632</v>
      </c>
      <c r="B186" t="s">
        <v>568</v>
      </c>
      <c r="C186" t="s">
        <v>569</v>
      </c>
      <c r="D186" s="18">
        <v>43628</v>
      </c>
      <c r="E186" s="34">
        <f>YEAR(ClientDB[[#This Row],[Start Date]])</f>
        <v>2019</v>
      </c>
      <c r="F186" t="s">
        <v>811</v>
      </c>
      <c r="G186" t="str">
        <f>VLOOKUP(ClientDB[[#This Row],[Org Code]],Table2[],2,0)</f>
        <v>EYN</v>
      </c>
      <c r="H186" s="10" t="s">
        <v>15</v>
      </c>
      <c r="I186" s="10" t="str">
        <f>_xlfn.XLOOKUP(ClientDB[[#This Row],[Country Code]],Table3[[#All],[Country Codes]],Table3[[#All],[Country]],1,TRUE)</f>
        <v>United Kingdom</v>
      </c>
      <c r="J186" s="15">
        <v>3</v>
      </c>
      <c r="K186" s="15" t="str">
        <f>IF(ClientDB[[#This Row],[Start Date]]&gt;=$U$14,"New","")</f>
        <v/>
      </c>
      <c r="L186" s="15" t="str">
        <f>IF(OR(ClientDB[[#This Row],[Start Year]]&lt;2016,ClientDB[[#This Row],[Events]]&gt;=6),"Gift","")</f>
        <v/>
      </c>
      <c r="M18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86" s="15">
        <v>2</v>
      </c>
      <c r="O186" s="35">
        <f>IF(ClientDB[[#This Row],[Days]]=1,(ClientDB[[#This Row],[Days]]*$V$7),IF(ClientDB[[#This Row],[Days]]&gt;1,(ClientDB[[#This Row],[Days]]*$V$8),""))</f>
        <v>600</v>
      </c>
      <c r="P18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86" s="15" t="s">
        <v>902</v>
      </c>
      <c r="R186" s="15" t="str">
        <f>INDEX(Table4[[Regular]:[Special]],MATCH(ClientDB[[#Data],[Country Code]],Table4[[#Data],[Country]],0),MATCH(ClientDB[[#Data],[Meal]],Table4[[#Headers],[Regular]:[Special]],0))</f>
        <v>B</v>
      </c>
    </row>
    <row r="187" spans="1:18" x14ac:dyDescent="0.2">
      <c r="A187" s="10">
        <v>25709</v>
      </c>
      <c r="B187" t="s">
        <v>283</v>
      </c>
      <c r="C187" t="s">
        <v>284</v>
      </c>
      <c r="D187" s="18">
        <v>42860</v>
      </c>
      <c r="E187" s="34">
        <f>YEAR(ClientDB[[#This Row],[Start Date]])</f>
        <v>2017</v>
      </c>
      <c r="F187" t="s">
        <v>827</v>
      </c>
      <c r="G187" t="str">
        <f>VLOOKUP(ClientDB[[#This Row],[Org Code]],Table2[],2,0)</f>
        <v>Ripple Com</v>
      </c>
      <c r="H187" s="10" t="s">
        <v>15</v>
      </c>
      <c r="I187" s="10" t="str">
        <f>_xlfn.XLOOKUP(ClientDB[[#This Row],[Country Code]],Table3[[#All],[Country Codes]],Table3[[#All],[Country]],1,TRUE)</f>
        <v>United Kingdom</v>
      </c>
      <c r="J187" s="15">
        <v>7</v>
      </c>
      <c r="K187" s="15" t="str">
        <f>IF(ClientDB[[#This Row],[Start Date]]&gt;=$U$14,"New","")</f>
        <v/>
      </c>
      <c r="L187" s="15" t="str">
        <f>IF(OR(ClientDB[[#This Row],[Start Year]]&lt;2016,ClientDB[[#This Row],[Events]]&gt;=6),"Gift","")</f>
        <v>Gift</v>
      </c>
      <c r="M18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87" s="15">
        <v>1</v>
      </c>
      <c r="O187" s="35">
        <f>IF(ClientDB[[#This Row],[Days]]=1,(ClientDB[[#This Row],[Days]]*$V$7),IF(ClientDB[[#This Row],[Days]]&gt;1,(ClientDB[[#This Row],[Days]]*$V$8),""))</f>
        <v>350</v>
      </c>
      <c r="P18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87" s="15" t="s">
        <v>901</v>
      </c>
      <c r="R187" s="15" t="str">
        <f>INDEX(Table4[[Regular]:[Special]],MATCH(ClientDB[[#Data],[Country Code]],Table4[[#Data],[Country]],0),MATCH(ClientDB[[#Data],[Meal]],Table4[[#Headers],[Regular]:[Special]],0))</f>
        <v>E</v>
      </c>
    </row>
    <row r="188" spans="1:18" x14ac:dyDescent="0.2">
      <c r="A188" s="10">
        <v>25731</v>
      </c>
      <c r="B188" t="s">
        <v>27</v>
      </c>
      <c r="C188" t="s">
        <v>28</v>
      </c>
      <c r="D188" s="18">
        <v>42634</v>
      </c>
      <c r="E188" s="34">
        <f>YEAR(ClientDB[[#This Row],[Start Date]])</f>
        <v>2016</v>
      </c>
      <c r="F188" t="s">
        <v>807</v>
      </c>
      <c r="G188" t="str">
        <f>VLOOKUP(ClientDB[[#This Row],[Org Code]],Table2[],2,0)</f>
        <v>Duet</v>
      </c>
      <c r="H188" s="10" t="s">
        <v>30</v>
      </c>
      <c r="I188" s="10" t="str">
        <f>_xlfn.XLOOKUP(ClientDB[[#This Row],[Country Code]],Table3[[#All],[Country Codes]],Table3[[#All],[Country]],1,TRUE)</f>
        <v>Bahrain</v>
      </c>
      <c r="J188" s="15">
        <v>6</v>
      </c>
      <c r="K188" s="15" t="str">
        <f>IF(ClientDB[[#This Row],[Start Date]]&gt;=$U$14,"New","")</f>
        <v/>
      </c>
      <c r="L188" s="15" t="str">
        <f>IF(OR(ClientDB[[#This Row],[Start Year]]&lt;2016,ClientDB[[#This Row],[Events]]&gt;=6),"Gift","")</f>
        <v>Gift</v>
      </c>
      <c r="M18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88" s="15">
        <v>2</v>
      </c>
      <c r="O188" s="35">
        <f>IF(ClientDB[[#This Row],[Days]]=1,(ClientDB[[#This Row],[Days]]*$V$7),IF(ClientDB[[#This Row],[Days]]&gt;1,(ClientDB[[#This Row],[Days]]*$V$8),""))</f>
        <v>600</v>
      </c>
      <c r="P18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88" s="15" t="s">
        <v>901</v>
      </c>
      <c r="R188" s="15" t="str">
        <f>INDEX(Table4[[Regular]:[Special]],MATCH(ClientDB[[#Data],[Country Code]],Table4[[#Data],[Country]],0),MATCH(ClientDB[[#Data],[Meal]],Table4[[#Headers],[Regular]:[Special]],0))</f>
        <v>D</v>
      </c>
    </row>
    <row r="189" spans="1:18" x14ac:dyDescent="0.2">
      <c r="A189" s="10">
        <v>25911</v>
      </c>
      <c r="B189" t="s">
        <v>554</v>
      </c>
      <c r="C189" t="s">
        <v>555</v>
      </c>
      <c r="D189" s="18">
        <v>43392</v>
      </c>
      <c r="E189" s="34">
        <f>YEAR(ClientDB[[#This Row],[Start Date]])</f>
        <v>2018</v>
      </c>
      <c r="F189" t="s">
        <v>822</v>
      </c>
      <c r="G189" t="str">
        <f>VLOOKUP(ClientDB[[#This Row],[Org Code]],Table2[],2,0)</f>
        <v>PicSure</v>
      </c>
      <c r="H189" s="10" t="s">
        <v>15</v>
      </c>
      <c r="I189" s="10" t="str">
        <f>_xlfn.XLOOKUP(ClientDB[[#This Row],[Country Code]],Table3[[#All],[Country Codes]],Table3[[#All],[Country]],1,TRUE)</f>
        <v>United Kingdom</v>
      </c>
      <c r="J189" s="15">
        <v>10</v>
      </c>
      <c r="K189" s="15" t="str">
        <f>IF(ClientDB[[#This Row],[Start Date]]&gt;=$U$14,"New","")</f>
        <v/>
      </c>
      <c r="L189" s="15" t="str">
        <f>IF(OR(ClientDB[[#This Row],[Start Year]]&lt;2016,ClientDB[[#This Row],[Events]]&gt;=6),"Gift","")</f>
        <v>Gift</v>
      </c>
      <c r="M189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89" s="15">
        <v>3</v>
      </c>
      <c r="O189" s="35">
        <f>IF(ClientDB[[#This Row],[Days]]=1,(ClientDB[[#This Row],[Days]]*$V$7),IF(ClientDB[[#This Row],[Days]]&gt;1,(ClientDB[[#This Row],[Days]]*$V$8),""))</f>
        <v>900</v>
      </c>
      <c r="P18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189" s="15" t="s">
        <v>899</v>
      </c>
      <c r="R189" s="15" t="str">
        <f>INDEX(Table4[[Regular]:[Special]],MATCH(ClientDB[[#Data],[Country Code]],Table4[[#Data],[Country]],0),MATCH(ClientDB[[#Data],[Meal]],Table4[[#Headers],[Regular]:[Special]],0))</f>
        <v>A</v>
      </c>
    </row>
    <row r="190" spans="1:18" x14ac:dyDescent="0.2">
      <c r="A190" s="10">
        <v>25957</v>
      </c>
      <c r="B190" t="s">
        <v>240</v>
      </c>
      <c r="C190" t="s">
        <v>241</v>
      </c>
      <c r="D190" s="18">
        <v>43711</v>
      </c>
      <c r="E190" s="34">
        <f>YEAR(ClientDB[[#This Row],[Start Date]])</f>
        <v>2019</v>
      </c>
      <c r="F190" t="s">
        <v>827</v>
      </c>
      <c r="G190" t="str">
        <f>VLOOKUP(ClientDB[[#This Row],[Org Code]],Table2[],2,0)</f>
        <v>Ripple Com</v>
      </c>
      <c r="H190" s="10" t="s">
        <v>15</v>
      </c>
      <c r="I190" s="10" t="str">
        <f>_xlfn.XLOOKUP(ClientDB[[#This Row],[Country Code]],Table3[[#All],[Country Codes]],Table3[[#All],[Country]],1,TRUE)</f>
        <v>United Kingdom</v>
      </c>
      <c r="J190" s="15">
        <v>2</v>
      </c>
      <c r="K190" s="15" t="str">
        <f>IF(ClientDB[[#This Row],[Start Date]]&gt;=$U$14,"New","")</f>
        <v/>
      </c>
      <c r="L190" s="15" t="str">
        <f>IF(OR(ClientDB[[#This Row],[Start Year]]&lt;2016,ClientDB[[#This Row],[Events]]&gt;=6),"Gift","")</f>
        <v/>
      </c>
      <c r="M19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90" s="15">
        <v>3</v>
      </c>
      <c r="O190" s="35">
        <f>IF(ClientDB[[#This Row],[Days]]=1,(ClientDB[[#This Row],[Days]]*$V$7),IF(ClientDB[[#This Row],[Days]]&gt;1,(ClientDB[[#This Row],[Days]]*$V$8),""))</f>
        <v>900</v>
      </c>
      <c r="P19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90" s="15" t="s">
        <v>900</v>
      </c>
      <c r="R190" s="15" t="str">
        <f>INDEX(Table4[[Regular]:[Special]],MATCH(ClientDB[[#Data],[Country Code]],Table4[[#Data],[Country]],0),MATCH(ClientDB[[#Data],[Meal]],Table4[[#Headers],[Regular]:[Special]],0))</f>
        <v>A</v>
      </c>
    </row>
    <row r="191" spans="1:18" x14ac:dyDescent="0.2">
      <c r="A191" s="10">
        <v>26058</v>
      </c>
      <c r="B191" t="s">
        <v>507</v>
      </c>
      <c r="C191" t="s">
        <v>190</v>
      </c>
      <c r="D191" s="18">
        <v>42322</v>
      </c>
      <c r="E191" s="34">
        <f>YEAR(ClientDB[[#This Row],[Start Date]])</f>
        <v>2015</v>
      </c>
      <c r="F191" t="s">
        <v>835</v>
      </c>
      <c r="G191" t="str">
        <f>VLOOKUP(ClientDB[[#This Row],[Org Code]],Table2[],2,0)</f>
        <v>West Telco</v>
      </c>
      <c r="H191" s="10" t="s">
        <v>155</v>
      </c>
      <c r="I191" s="10" t="str">
        <f>_xlfn.XLOOKUP(ClientDB[[#This Row],[Country Code]],Table3[[#All],[Country Codes]],Table3[[#All],[Country]],1,TRUE)</f>
        <v>United Arab Emirates</v>
      </c>
      <c r="J191" s="15">
        <v>3</v>
      </c>
      <c r="K191" s="15" t="str">
        <f>IF(ClientDB[[#This Row],[Start Date]]&gt;=$U$14,"New","")</f>
        <v/>
      </c>
      <c r="L191" s="15" t="str">
        <f>IF(OR(ClientDB[[#This Row],[Start Year]]&lt;2016,ClientDB[[#This Row],[Events]]&gt;=6),"Gift","")</f>
        <v>Gift</v>
      </c>
      <c r="M19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91" s="15">
        <v>3</v>
      </c>
      <c r="O191" s="35">
        <f>IF(ClientDB[[#This Row],[Days]]=1,(ClientDB[[#This Row],[Days]]*$V$7),IF(ClientDB[[#This Row],[Days]]&gt;1,(ClientDB[[#This Row],[Days]]*$V$8),""))</f>
        <v>900</v>
      </c>
      <c r="P19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191" s="15" t="s">
        <v>899</v>
      </c>
      <c r="R191" s="15" t="str">
        <f>INDEX(Table4[[Regular]:[Special]],MATCH(ClientDB[[#Data],[Country Code]],Table4[[#Data],[Country]],0),MATCH(ClientDB[[#Data],[Meal]],Table4[[#Headers],[Regular]:[Special]],0))</f>
        <v>A</v>
      </c>
    </row>
    <row r="192" spans="1:18" x14ac:dyDescent="0.2">
      <c r="A192" s="10">
        <v>26180</v>
      </c>
      <c r="B192" t="s">
        <v>579</v>
      </c>
      <c r="C192" t="s">
        <v>580</v>
      </c>
      <c r="D192" s="18">
        <v>42577</v>
      </c>
      <c r="E192" s="34">
        <f>YEAR(ClientDB[[#This Row],[Start Date]])</f>
        <v>2016</v>
      </c>
      <c r="F192" t="s">
        <v>800</v>
      </c>
      <c r="G192" t="str">
        <f>VLOOKUP(ClientDB[[#This Row],[Org Code]],Table2[],2,0)</f>
        <v>Chirah Technologies</v>
      </c>
      <c r="H192" s="10" t="s">
        <v>15</v>
      </c>
      <c r="I192" s="10" t="str">
        <f>_xlfn.XLOOKUP(ClientDB[[#This Row],[Country Code]],Table3[[#All],[Country Codes]],Table3[[#All],[Country]],1,TRUE)</f>
        <v>United Kingdom</v>
      </c>
      <c r="J192" s="15">
        <v>5</v>
      </c>
      <c r="K192" s="15" t="str">
        <f>IF(ClientDB[[#This Row],[Start Date]]&gt;=$U$14,"New","")</f>
        <v/>
      </c>
      <c r="L192" s="15" t="str">
        <f>IF(OR(ClientDB[[#This Row],[Start Year]]&lt;2016,ClientDB[[#This Row],[Events]]&gt;=6),"Gift","")</f>
        <v/>
      </c>
      <c r="M19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92" s="15">
        <v>2</v>
      </c>
      <c r="O192" s="35">
        <f>IF(ClientDB[[#This Row],[Days]]=1,(ClientDB[[#This Row],[Days]]*$V$7),IF(ClientDB[[#This Row],[Days]]&gt;1,(ClientDB[[#This Row],[Days]]*$V$8),""))</f>
        <v>600</v>
      </c>
      <c r="P19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92" s="15" t="s">
        <v>901</v>
      </c>
      <c r="R192" s="15" t="str">
        <f>INDEX(Table4[[Regular]:[Special]],MATCH(ClientDB[[#Data],[Country Code]],Table4[[#Data],[Country]],0),MATCH(ClientDB[[#Data],[Meal]],Table4[[#Headers],[Regular]:[Special]],0))</f>
        <v>E</v>
      </c>
    </row>
    <row r="193" spans="1:18" x14ac:dyDescent="0.2">
      <c r="A193" s="10">
        <v>26212</v>
      </c>
      <c r="B193" t="s">
        <v>464</v>
      </c>
      <c r="C193" t="s">
        <v>465</v>
      </c>
      <c r="D193" s="18">
        <v>43661</v>
      </c>
      <c r="E193" s="34">
        <f>YEAR(ClientDB[[#This Row],[Start Date]])</f>
        <v>2019</v>
      </c>
      <c r="F193" t="s">
        <v>832</v>
      </c>
      <c r="G193" t="str">
        <f>VLOOKUP(ClientDB[[#This Row],[Org Code]],Table2[],2,0)</f>
        <v>TQ Processes</v>
      </c>
      <c r="H193" s="10" t="s">
        <v>97</v>
      </c>
      <c r="I193" s="10" t="str">
        <f>_xlfn.XLOOKUP(ClientDB[[#This Row],[Country Code]],Table3[[#All],[Country Codes]],Table3[[#All],[Country]],1,TRUE)</f>
        <v>Ireland</v>
      </c>
      <c r="J193" s="15">
        <v>2</v>
      </c>
      <c r="K193" s="15" t="str">
        <f>IF(ClientDB[[#This Row],[Start Date]]&gt;=$U$14,"New","")</f>
        <v/>
      </c>
      <c r="L193" s="15" t="str">
        <f>IF(OR(ClientDB[[#This Row],[Start Year]]&lt;2016,ClientDB[[#This Row],[Events]]&gt;=6),"Gift","")</f>
        <v/>
      </c>
      <c r="M19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93" s="15">
        <v>2</v>
      </c>
      <c r="O193" s="35">
        <f>IF(ClientDB[[#This Row],[Days]]=1,(ClientDB[[#This Row],[Days]]*$V$7),IF(ClientDB[[#This Row],[Days]]&gt;1,(ClientDB[[#This Row],[Days]]*$V$8),""))</f>
        <v>600</v>
      </c>
      <c r="P19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193" s="15" t="s">
        <v>902</v>
      </c>
      <c r="R193" s="15" t="str">
        <f>INDEX(Table4[[Regular]:[Special]],MATCH(ClientDB[[#Data],[Country Code]],Table4[[#Data],[Country]],0),MATCH(ClientDB[[#Data],[Meal]],Table4[[#Headers],[Regular]:[Special]],0))</f>
        <v>C</v>
      </c>
    </row>
    <row r="194" spans="1:18" x14ac:dyDescent="0.2">
      <c r="A194" s="10">
        <v>26256</v>
      </c>
      <c r="B194" t="s">
        <v>244</v>
      </c>
      <c r="C194" t="s">
        <v>405</v>
      </c>
      <c r="D194" s="18">
        <v>42100</v>
      </c>
      <c r="E194" s="34">
        <f>YEAR(ClientDB[[#This Row],[Start Date]])</f>
        <v>2015</v>
      </c>
      <c r="F194" t="s">
        <v>824</v>
      </c>
      <c r="G194" t="str">
        <f>VLOOKUP(ClientDB[[#This Row],[Org Code]],Table2[],2,0)</f>
        <v>Pink Cloud Networks</v>
      </c>
      <c r="H194" s="10" t="s">
        <v>63</v>
      </c>
      <c r="I194" s="10" t="str">
        <f>_xlfn.XLOOKUP(ClientDB[[#This Row],[Country Code]],Table3[[#All],[Country Codes]],Table3[[#All],[Country]],1,TRUE)</f>
        <v>Armenia</v>
      </c>
      <c r="J194" s="15">
        <v>11</v>
      </c>
      <c r="K194" s="15" t="str">
        <f>IF(ClientDB[[#This Row],[Start Date]]&gt;=$U$14,"New","")</f>
        <v/>
      </c>
      <c r="L194" s="15" t="str">
        <f>IF(OR(ClientDB[[#This Row],[Start Year]]&lt;2016,ClientDB[[#This Row],[Events]]&gt;=6),"Gift","")</f>
        <v>Gift</v>
      </c>
      <c r="M194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194" s="15">
        <v>2</v>
      </c>
      <c r="O194" s="35">
        <f>IF(ClientDB[[#This Row],[Days]]=1,(ClientDB[[#This Row],[Days]]*$V$7),IF(ClientDB[[#This Row],[Days]]&gt;1,(ClientDB[[#This Row],[Days]]*$V$8),""))</f>
        <v>600</v>
      </c>
      <c r="P19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194" s="15" t="s">
        <v>901</v>
      </c>
      <c r="R194" s="15" t="str">
        <f>INDEX(Table4[[Regular]:[Special]],MATCH(ClientDB[[#Data],[Country Code]],Table4[[#Data],[Country]],0),MATCH(ClientDB[[#Data],[Meal]],Table4[[#Headers],[Regular]:[Special]],0))</f>
        <v>D</v>
      </c>
    </row>
    <row r="195" spans="1:18" x14ac:dyDescent="0.2">
      <c r="A195" s="10">
        <v>26273</v>
      </c>
      <c r="B195" t="s">
        <v>147</v>
      </c>
      <c r="C195" t="s">
        <v>674</v>
      </c>
      <c r="D195" s="18">
        <v>42500</v>
      </c>
      <c r="E195" s="34">
        <f>YEAR(ClientDB[[#This Row],[Start Date]])</f>
        <v>2016</v>
      </c>
      <c r="F195" t="s">
        <v>827</v>
      </c>
      <c r="G195" t="str">
        <f>VLOOKUP(ClientDB[[#This Row],[Org Code]],Table2[],2,0)</f>
        <v>Ripple Com</v>
      </c>
      <c r="H195" s="10" t="s">
        <v>15</v>
      </c>
      <c r="I195" s="10" t="str">
        <f>_xlfn.XLOOKUP(ClientDB[[#This Row],[Country Code]],Table3[[#All],[Country Codes]],Table3[[#All],[Country]],1,TRUE)</f>
        <v>United Kingdom</v>
      </c>
      <c r="J195" s="15">
        <v>1</v>
      </c>
      <c r="K195" s="15" t="str">
        <f>IF(ClientDB[[#This Row],[Start Date]]&gt;=$U$14,"New","")</f>
        <v/>
      </c>
      <c r="L195" s="15" t="str">
        <f>IF(OR(ClientDB[[#This Row],[Start Year]]&lt;2016,ClientDB[[#This Row],[Events]]&gt;=6),"Gift","")</f>
        <v/>
      </c>
      <c r="M19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95" s="15">
        <v>1</v>
      </c>
      <c r="O195" s="35">
        <f>IF(ClientDB[[#This Row],[Days]]=1,(ClientDB[[#This Row],[Days]]*$V$7),IF(ClientDB[[#This Row],[Days]]&gt;1,(ClientDB[[#This Row],[Days]]*$V$8),""))</f>
        <v>350</v>
      </c>
      <c r="P19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195" s="15" t="s">
        <v>900</v>
      </c>
      <c r="R195" s="15" t="str">
        <f>INDEX(Table4[[Regular]:[Special]],MATCH(ClientDB[[#Data],[Country Code]],Table4[[#Data],[Country]],0),MATCH(ClientDB[[#Data],[Meal]],Table4[[#Headers],[Regular]:[Special]],0))</f>
        <v>A</v>
      </c>
    </row>
    <row r="196" spans="1:18" x14ac:dyDescent="0.2">
      <c r="A196" s="10">
        <v>26370</v>
      </c>
      <c r="B196" t="s">
        <v>489</v>
      </c>
      <c r="C196" t="s">
        <v>490</v>
      </c>
      <c r="D196" s="18">
        <v>43842</v>
      </c>
      <c r="E196" s="34">
        <f>YEAR(ClientDB[[#This Row],[Start Date]])</f>
        <v>2020</v>
      </c>
      <c r="F196" t="s">
        <v>805</v>
      </c>
      <c r="G196" t="str">
        <f>VLOOKUP(ClientDB[[#This Row],[Org Code]],Table2[],2,0)</f>
        <v>Data Pro Sys</v>
      </c>
      <c r="H196" s="10" t="s">
        <v>124</v>
      </c>
      <c r="I196" s="10" t="str">
        <f>_xlfn.XLOOKUP(ClientDB[[#This Row],[Country Code]],Table3[[#All],[Country Codes]],Table3[[#All],[Country]],1,TRUE)</f>
        <v>Lebanon</v>
      </c>
      <c r="J196" s="15">
        <v>1</v>
      </c>
      <c r="K196" s="15" t="str">
        <f>IF(ClientDB[[#This Row],[Start Date]]&gt;=$U$14,"New","")</f>
        <v>New</v>
      </c>
      <c r="L196" s="15" t="str">
        <f>IF(OR(ClientDB[[#This Row],[Start Year]]&lt;2016,ClientDB[[#This Row],[Events]]&gt;=6),"Gift","")</f>
        <v/>
      </c>
      <c r="M19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96" s="15">
        <v>1</v>
      </c>
      <c r="O196" s="35">
        <f>IF(ClientDB[[#This Row],[Days]]=1,(ClientDB[[#This Row],[Days]]*$V$7),IF(ClientDB[[#This Row],[Days]]&gt;1,(ClientDB[[#This Row],[Days]]*$V$8),""))</f>
        <v>350</v>
      </c>
      <c r="P19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196" s="15" t="s">
        <v>901</v>
      </c>
      <c r="R196" s="15" t="str">
        <f>INDEX(Table4[[Regular]:[Special]],MATCH(ClientDB[[#Data],[Country Code]],Table4[[#Data],[Country]],0),MATCH(ClientDB[[#Data],[Meal]],Table4[[#Headers],[Regular]:[Special]],0))</f>
        <v>F</v>
      </c>
    </row>
    <row r="197" spans="1:18" x14ac:dyDescent="0.2">
      <c r="A197" s="10">
        <v>26383</v>
      </c>
      <c r="B197" t="s">
        <v>468</v>
      </c>
      <c r="C197" t="s">
        <v>624</v>
      </c>
      <c r="D197" s="18">
        <v>42976</v>
      </c>
      <c r="E197" s="34">
        <f>YEAR(ClientDB[[#This Row],[Start Date]])</f>
        <v>2017</v>
      </c>
      <c r="F197" t="s">
        <v>832</v>
      </c>
      <c r="G197" t="str">
        <f>VLOOKUP(ClientDB[[#This Row],[Org Code]],Table2[],2,0)</f>
        <v>TQ Processes</v>
      </c>
      <c r="H197" s="10" t="s">
        <v>59</v>
      </c>
      <c r="I197" s="10" t="str">
        <f>_xlfn.XLOOKUP(ClientDB[[#This Row],[Country Code]],Table3[[#All],[Country Codes]],Table3[[#All],[Country]],1,TRUE)</f>
        <v>Netherlands</v>
      </c>
      <c r="J197" s="15">
        <v>9</v>
      </c>
      <c r="K197" s="15" t="str">
        <f>IF(ClientDB[[#This Row],[Start Date]]&gt;=$U$14,"New","")</f>
        <v/>
      </c>
      <c r="L197" s="15" t="str">
        <f>IF(OR(ClientDB[[#This Row],[Start Year]]&lt;2016,ClientDB[[#This Row],[Events]]&gt;=6),"Gift","")</f>
        <v>Gift</v>
      </c>
      <c r="M19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97" s="15">
        <v>2</v>
      </c>
      <c r="O197" s="35">
        <f>IF(ClientDB[[#This Row],[Days]]=1,(ClientDB[[#This Row],[Days]]*$V$7),IF(ClientDB[[#This Row],[Days]]&gt;1,(ClientDB[[#This Row],[Days]]*$V$8),""))</f>
        <v>600</v>
      </c>
      <c r="P19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97" s="15" t="s">
        <v>900</v>
      </c>
      <c r="R197" s="15" t="str">
        <f>INDEX(Table4[[Regular]:[Special]],MATCH(ClientDB[[#Data],[Country Code]],Table4[[#Data],[Country]],0),MATCH(ClientDB[[#Data],[Meal]],Table4[[#Headers],[Regular]:[Special]],0))</f>
        <v>C</v>
      </c>
    </row>
    <row r="198" spans="1:18" x14ac:dyDescent="0.2">
      <c r="A198" s="10">
        <v>26457</v>
      </c>
      <c r="B198" t="s">
        <v>727</v>
      </c>
      <c r="C198" t="s">
        <v>728</v>
      </c>
      <c r="D198" s="18">
        <v>42736</v>
      </c>
      <c r="E198" s="34">
        <f>YEAR(ClientDB[[#This Row],[Start Date]])</f>
        <v>2017</v>
      </c>
      <c r="F198" t="s">
        <v>827</v>
      </c>
      <c r="G198" t="str">
        <f>VLOOKUP(ClientDB[[#This Row],[Org Code]],Table2[],2,0)</f>
        <v>Ripple Com</v>
      </c>
      <c r="H198" s="10" t="s">
        <v>15</v>
      </c>
      <c r="I198" s="10" t="str">
        <f>_xlfn.XLOOKUP(ClientDB[[#This Row],[Country Code]],Table3[[#All],[Country Codes]],Table3[[#All],[Country]],1,TRUE)</f>
        <v>United Kingdom</v>
      </c>
      <c r="J198" s="15">
        <v>6</v>
      </c>
      <c r="K198" s="15" t="str">
        <f>IF(ClientDB[[#This Row],[Start Date]]&gt;=$U$14,"New","")</f>
        <v/>
      </c>
      <c r="L198" s="15" t="str">
        <f>IF(OR(ClientDB[[#This Row],[Start Year]]&lt;2016,ClientDB[[#This Row],[Events]]&gt;=6),"Gift","")</f>
        <v>Gift</v>
      </c>
      <c r="M19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98" s="15">
        <v>1</v>
      </c>
      <c r="O198" s="35">
        <f>IF(ClientDB[[#This Row],[Days]]=1,(ClientDB[[#This Row],[Days]]*$V$7),IF(ClientDB[[#This Row],[Days]]&gt;1,(ClientDB[[#This Row],[Days]]*$V$8),""))</f>
        <v>350</v>
      </c>
      <c r="P19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198" s="15" t="s">
        <v>899</v>
      </c>
      <c r="R198" s="15" t="str">
        <f>INDEX(Table4[[Regular]:[Special]],MATCH(ClientDB[[#Data],[Country Code]],Table4[[#Data],[Country]],0),MATCH(ClientDB[[#Data],[Meal]],Table4[[#Headers],[Regular]:[Special]],0))</f>
        <v>A</v>
      </c>
    </row>
    <row r="199" spans="1:18" x14ac:dyDescent="0.2">
      <c r="A199" s="10">
        <v>26525</v>
      </c>
      <c r="B199" t="s">
        <v>118</v>
      </c>
      <c r="C199" t="s">
        <v>119</v>
      </c>
      <c r="D199" s="18">
        <v>42955</v>
      </c>
      <c r="E199" s="34">
        <f>YEAR(ClientDB[[#This Row],[Start Date]])</f>
        <v>2017</v>
      </c>
      <c r="F199" t="s">
        <v>808</v>
      </c>
      <c r="G199" t="str">
        <f>VLOOKUP(ClientDB[[#This Row],[Org Code]],Table2[],2,0)</f>
        <v>Ebony Telecoms</v>
      </c>
      <c r="H199" s="10" t="s">
        <v>121</v>
      </c>
      <c r="I199" s="10" t="str">
        <f>_xlfn.XLOOKUP(ClientDB[[#This Row],[Country Code]],Table3[[#All],[Country Codes]],Table3[[#All],[Country]],1,TRUE)</f>
        <v>Portugal</v>
      </c>
      <c r="J199" s="15">
        <v>5</v>
      </c>
      <c r="K199" s="15" t="str">
        <f>IF(ClientDB[[#This Row],[Start Date]]&gt;=$U$14,"New","")</f>
        <v/>
      </c>
      <c r="L199" s="15" t="str">
        <f>IF(OR(ClientDB[[#This Row],[Start Year]]&lt;2016,ClientDB[[#This Row],[Events]]&gt;=6),"Gift","")</f>
        <v/>
      </c>
      <c r="M19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199" s="15">
        <v>2</v>
      </c>
      <c r="O199" s="35">
        <f>IF(ClientDB[[#This Row],[Days]]=1,(ClientDB[[#This Row],[Days]]*$V$7),IF(ClientDB[[#This Row],[Days]]&gt;1,(ClientDB[[#This Row],[Days]]*$V$8),""))</f>
        <v>600</v>
      </c>
      <c r="P19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199" s="15" t="s">
        <v>900</v>
      </c>
      <c r="R199" s="15" t="str">
        <f>INDEX(Table4[[Regular]:[Special]],MATCH(ClientDB[[#Data],[Country Code]],Table4[[#Data],[Country]],0),MATCH(ClientDB[[#Data],[Meal]],Table4[[#Headers],[Regular]:[Special]],0))</f>
        <v>C</v>
      </c>
    </row>
    <row r="200" spans="1:18" x14ac:dyDescent="0.2">
      <c r="A200" s="10">
        <v>26529</v>
      </c>
      <c r="B200" t="s">
        <v>631</v>
      </c>
      <c r="C200" t="s">
        <v>632</v>
      </c>
      <c r="D200" s="18">
        <v>42671</v>
      </c>
      <c r="E200" s="34">
        <f>YEAR(ClientDB[[#This Row],[Start Date]])</f>
        <v>2016</v>
      </c>
      <c r="F200" t="s">
        <v>812</v>
      </c>
      <c r="G200" t="str">
        <f>VLOOKUP(ClientDB[[#This Row],[Org Code]],Table2[],2,0)</f>
        <v>Fzig Fibre</v>
      </c>
      <c r="H200" s="10" t="s">
        <v>175</v>
      </c>
      <c r="I200" s="10" t="str">
        <f>_xlfn.XLOOKUP(ClientDB[[#This Row],[Country Code]],Table3[[#All],[Country Codes]],Table3[[#All],[Country]],1,TRUE)</f>
        <v>Australia</v>
      </c>
      <c r="J200" s="15">
        <v>11</v>
      </c>
      <c r="K200" s="15" t="str">
        <f>IF(ClientDB[[#This Row],[Start Date]]&gt;=$U$14,"New","")</f>
        <v/>
      </c>
      <c r="L200" s="15" t="str">
        <f>IF(OR(ClientDB[[#This Row],[Start Year]]&lt;2016,ClientDB[[#This Row],[Events]]&gt;=6),"Gift","")</f>
        <v>Gift</v>
      </c>
      <c r="M200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00" s="15">
        <v>2</v>
      </c>
      <c r="O200" s="35">
        <f>IF(ClientDB[[#This Row],[Days]]=1,(ClientDB[[#This Row],[Days]]*$V$7),IF(ClientDB[[#This Row],[Days]]&gt;1,(ClientDB[[#This Row],[Days]]*$V$8),""))</f>
        <v>600</v>
      </c>
      <c r="P20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200" s="15" t="s">
        <v>900</v>
      </c>
      <c r="R200" s="15" t="str">
        <f>INDEX(Table4[[Regular]:[Special]],MATCH(ClientDB[[#Data],[Country Code]],Table4[[#Data],[Country]],0),MATCH(ClientDB[[#Data],[Meal]],Table4[[#Headers],[Regular]:[Special]],0))</f>
        <v>A</v>
      </c>
    </row>
    <row r="201" spans="1:18" x14ac:dyDescent="0.2">
      <c r="A201" s="10">
        <v>26537</v>
      </c>
      <c r="B201" t="s">
        <v>346</v>
      </c>
      <c r="C201" t="s">
        <v>347</v>
      </c>
      <c r="D201" s="18">
        <v>43449</v>
      </c>
      <c r="E201" s="34">
        <f>YEAR(ClientDB[[#This Row],[Start Date]])</f>
        <v>2018</v>
      </c>
      <c r="F201" t="s">
        <v>801</v>
      </c>
      <c r="G201" t="str">
        <f>VLOOKUP(ClientDB[[#This Row],[Org Code]],Table2[],2,0)</f>
        <v>Collings University</v>
      </c>
      <c r="H201" s="10" t="s">
        <v>59</v>
      </c>
      <c r="I201" s="10" t="str">
        <f>_xlfn.XLOOKUP(ClientDB[[#This Row],[Country Code]],Table3[[#All],[Country Codes]],Table3[[#All],[Country]],1,TRUE)</f>
        <v>Netherlands</v>
      </c>
      <c r="J201" s="15">
        <v>8</v>
      </c>
      <c r="K201" s="15" t="str">
        <f>IF(ClientDB[[#This Row],[Start Date]]&gt;=$U$14,"New","")</f>
        <v/>
      </c>
      <c r="L201" s="15" t="str">
        <f>IF(OR(ClientDB[[#This Row],[Start Year]]&lt;2016,ClientDB[[#This Row],[Events]]&gt;=6),"Gift","")</f>
        <v>Gift</v>
      </c>
      <c r="M20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01" s="15">
        <v>2</v>
      </c>
      <c r="O201" s="35">
        <f>IF(ClientDB[[#This Row],[Days]]=1,(ClientDB[[#This Row],[Days]]*$V$7),IF(ClientDB[[#This Row],[Days]]&gt;1,(ClientDB[[#This Row],[Days]]*$V$8),""))</f>
        <v>600</v>
      </c>
      <c r="P20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201" s="15" t="s">
        <v>899</v>
      </c>
      <c r="R201" s="15" t="str">
        <f>INDEX(Table4[[Regular]:[Special]],MATCH(ClientDB[[#Data],[Country Code]],Table4[[#Data],[Country]],0),MATCH(ClientDB[[#Data],[Meal]],Table4[[#Headers],[Regular]:[Special]],0))</f>
        <v>B</v>
      </c>
    </row>
    <row r="202" spans="1:18" x14ac:dyDescent="0.2">
      <c r="A202" s="10">
        <v>26762</v>
      </c>
      <c r="B202" t="s">
        <v>223</v>
      </c>
      <c r="C202" t="s">
        <v>224</v>
      </c>
      <c r="D202" s="18">
        <v>42496</v>
      </c>
      <c r="E202" s="34">
        <f>YEAR(ClientDB[[#This Row],[Start Date]])</f>
        <v>2016</v>
      </c>
      <c r="F202" t="s">
        <v>839</v>
      </c>
      <c r="G202" t="str">
        <f>VLOOKUP(ClientDB[[#This Row],[Org Code]],Table2[],2,0)</f>
        <v>Zconnect, Inc</v>
      </c>
      <c r="H202" s="10" t="s">
        <v>54</v>
      </c>
      <c r="I202" s="10" t="str">
        <f>_xlfn.XLOOKUP(ClientDB[[#This Row],[Country Code]],Table3[[#All],[Country Codes]],Table3[[#All],[Country]],1,TRUE)</f>
        <v>Romania</v>
      </c>
      <c r="J202" s="15">
        <v>2</v>
      </c>
      <c r="K202" s="15" t="str">
        <f>IF(ClientDB[[#This Row],[Start Date]]&gt;=$U$14,"New","")</f>
        <v/>
      </c>
      <c r="L202" s="15" t="str">
        <f>IF(OR(ClientDB[[#This Row],[Start Year]]&lt;2016,ClientDB[[#This Row],[Events]]&gt;=6),"Gift","")</f>
        <v/>
      </c>
      <c r="M20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02" s="15">
        <v>3</v>
      </c>
      <c r="O202" s="35">
        <f>IF(ClientDB[[#This Row],[Days]]=1,(ClientDB[[#This Row],[Days]]*$V$7),IF(ClientDB[[#This Row],[Days]]&gt;1,(ClientDB[[#This Row],[Days]]*$V$8),""))</f>
        <v>900</v>
      </c>
      <c r="P20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02" s="15" t="s">
        <v>901</v>
      </c>
      <c r="R202" s="15" t="str">
        <f>INDEX(Table4[[Regular]:[Special]],MATCH(ClientDB[[#Data],[Country Code]],Table4[[#Data],[Country]],0),MATCH(ClientDB[[#Data],[Meal]],Table4[[#Headers],[Regular]:[Special]],0))</f>
        <v>G</v>
      </c>
    </row>
    <row r="203" spans="1:18" x14ac:dyDescent="0.2">
      <c r="A203" s="10">
        <v>26794</v>
      </c>
      <c r="B203" t="s">
        <v>359</v>
      </c>
      <c r="C203" t="s">
        <v>744</v>
      </c>
      <c r="D203" s="18">
        <v>42812</v>
      </c>
      <c r="E203" s="34">
        <f>YEAR(ClientDB[[#This Row],[Start Date]])</f>
        <v>2017</v>
      </c>
      <c r="F203" t="s">
        <v>815</v>
      </c>
      <c r="G203" t="str">
        <f>VLOOKUP(ClientDB[[#This Row],[Org Code]],Table2[],2,0)</f>
        <v>Intelligence Systems</v>
      </c>
      <c r="H203" s="10" t="s">
        <v>34</v>
      </c>
      <c r="I203" s="10" t="str">
        <f>_xlfn.XLOOKUP(ClientDB[[#This Row],[Country Code]],Table3[[#All],[Country Codes]],Table3[[#All],[Country]],1,TRUE)</f>
        <v>United States</v>
      </c>
      <c r="J203" s="15">
        <v>7</v>
      </c>
      <c r="K203" s="15" t="str">
        <f>IF(ClientDB[[#This Row],[Start Date]]&gt;=$U$14,"New","")</f>
        <v/>
      </c>
      <c r="L203" s="15" t="str">
        <f>IF(OR(ClientDB[[#This Row],[Start Year]]&lt;2016,ClientDB[[#This Row],[Events]]&gt;=6),"Gift","")</f>
        <v>Gift</v>
      </c>
      <c r="M20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03" s="15">
        <v>3</v>
      </c>
      <c r="O203" s="35">
        <f>IF(ClientDB[[#This Row],[Days]]=1,(ClientDB[[#This Row],[Days]]*$V$7),IF(ClientDB[[#This Row],[Days]]&gt;1,(ClientDB[[#This Row],[Days]]*$V$8),""))</f>
        <v>900</v>
      </c>
      <c r="P20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03" s="15" t="s">
        <v>901</v>
      </c>
      <c r="R203" s="15" t="str">
        <f>INDEX(Table4[[Regular]:[Special]],MATCH(ClientDB[[#Data],[Country Code]],Table4[[#Data],[Country]],0),MATCH(ClientDB[[#Data],[Meal]],Table4[[#Headers],[Regular]:[Special]],0))</f>
        <v>G</v>
      </c>
    </row>
    <row r="204" spans="1:18" x14ac:dyDescent="0.2">
      <c r="A204" s="10">
        <v>26873</v>
      </c>
      <c r="B204" t="s">
        <v>51</v>
      </c>
      <c r="C204" t="s">
        <v>52</v>
      </c>
      <c r="D204" s="18">
        <v>43946</v>
      </c>
      <c r="E204" s="34">
        <f>YEAR(ClientDB[[#This Row],[Start Date]])</f>
        <v>2020</v>
      </c>
      <c r="F204" t="s">
        <v>836</v>
      </c>
      <c r="G204" t="str">
        <f>VLOOKUP(ClientDB[[#This Row],[Org Code]],Table2[],2,0)</f>
        <v>Wiz Labs</v>
      </c>
      <c r="H204" s="10" t="s">
        <v>54</v>
      </c>
      <c r="I204" s="10" t="str">
        <f>_xlfn.XLOOKUP(ClientDB[[#This Row],[Country Code]],Table3[[#All],[Country Codes]],Table3[[#All],[Country]],1,TRUE)</f>
        <v>Romania</v>
      </c>
      <c r="J204" s="15">
        <v>10</v>
      </c>
      <c r="K204" s="15" t="str">
        <f>IF(ClientDB[[#This Row],[Start Date]]&gt;=$U$14,"New","")</f>
        <v>New</v>
      </c>
      <c r="L204" s="15" t="str">
        <f>IF(OR(ClientDB[[#This Row],[Start Year]]&lt;2016,ClientDB[[#This Row],[Events]]&gt;=6),"Gift","")</f>
        <v>Gift</v>
      </c>
      <c r="M204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04" s="15">
        <v>1</v>
      </c>
      <c r="O204" s="35">
        <f>IF(ClientDB[[#This Row],[Days]]=1,(ClientDB[[#This Row],[Days]]*$V$7),IF(ClientDB[[#This Row],[Days]]&gt;1,(ClientDB[[#This Row],[Days]]*$V$8),""))</f>
        <v>350</v>
      </c>
      <c r="P20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204" s="15" t="s">
        <v>902</v>
      </c>
      <c r="R204" s="15" t="str">
        <f>INDEX(Table4[[Regular]:[Special]],MATCH(ClientDB[[#Data],[Country Code]],Table4[[#Data],[Country]],0),MATCH(ClientDB[[#Data],[Meal]],Table4[[#Headers],[Regular]:[Special]],0))</f>
        <v>C</v>
      </c>
    </row>
    <row r="205" spans="1:18" x14ac:dyDescent="0.2">
      <c r="A205" s="10">
        <v>26887</v>
      </c>
      <c r="B205" t="s">
        <v>147</v>
      </c>
      <c r="C205" t="s">
        <v>314</v>
      </c>
      <c r="D205" s="18">
        <v>42909</v>
      </c>
      <c r="E205" s="34">
        <f>YEAR(ClientDB[[#This Row],[Start Date]])</f>
        <v>2017</v>
      </c>
      <c r="F205" t="s">
        <v>827</v>
      </c>
      <c r="G205" t="str">
        <f>VLOOKUP(ClientDB[[#This Row],[Org Code]],Table2[],2,0)</f>
        <v>Ripple Com</v>
      </c>
      <c r="H205" s="10" t="s">
        <v>15</v>
      </c>
      <c r="I205" s="10" t="str">
        <f>_xlfn.XLOOKUP(ClientDB[[#This Row],[Country Code]],Table3[[#All],[Country Codes]],Table3[[#All],[Country]],1,TRUE)</f>
        <v>United Kingdom</v>
      </c>
      <c r="J205" s="15">
        <v>12</v>
      </c>
      <c r="K205" s="15" t="str">
        <f>IF(ClientDB[[#This Row],[Start Date]]&gt;=$U$14,"New","")</f>
        <v/>
      </c>
      <c r="L205" s="15" t="str">
        <f>IF(OR(ClientDB[[#This Row],[Start Year]]&lt;2016,ClientDB[[#This Row],[Events]]&gt;=6),"Gift","")</f>
        <v>Gift</v>
      </c>
      <c r="M205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05" s="15">
        <v>2</v>
      </c>
      <c r="O205" s="35">
        <f>IF(ClientDB[[#This Row],[Days]]=1,(ClientDB[[#This Row],[Days]]*$V$7),IF(ClientDB[[#This Row],[Days]]&gt;1,(ClientDB[[#This Row],[Days]]*$V$8),""))</f>
        <v>600</v>
      </c>
      <c r="P20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205" s="15" t="s">
        <v>901</v>
      </c>
      <c r="R205" s="15" t="str">
        <f>INDEX(Table4[[Regular]:[Special]],MATCH(ClientDB[[#Data],[Country Code]],Table4[[#Data],[Country]],0),MATCH(ClientDB[[#Data],[Meal]],Table4[[#Headers],[Regular]:[Special]],0))</f>
        <v>E</v>
      </c>
    </row>
    <row r="206" spans="1:18" x14ac:dyDescent="0.2">
      <c r="A206" s="10">
        <v>26888</v>
      </c>
      <c r="B206" t="s">
        <v>47</v>
      </c>
      <c r="C206" t="s">
        <v>48</v>
      </c>
      <c r="D206" s="18">
        <v>42143</v>
      </c>
      <c r="E206" s="34">
        <f>YEAR(ClientDB[[#This Row],[Start Date]])</f>
        <v>2015</v>
      </c>
      <c r="F206" t="s">
        <v>840</v>
      </c>
      <c r="G206" t="str">
        <f>VLOOKUP(ClientDB[[#This Row],[Org Code]],Table2[],2,0)</f>
        <v>Zim Sales</v>
      </c>
      <c r="H206" s="10" t="s">
        <v>50</v>
      </c>
      <c r="I206" s="10" t="str">
        <f>_xlfn.XLOOKUP(ClientDB[[#This Row],[Country Code]],Table3[[#All],[Country Codes]],Table3[[#All],[Country]],1,TRUE)</f>
        <v>Finland</v>
      </c>
      <c r="J206" s="15">
        <v>1</v>
      </c>
      <c r="K206" s="15" t="str">
        <f>IF(ClientDB[[#This Row],[Start Date]]&gt;=$U$14,"New","")</f>
        <v/>
      </c>
      <c r="L206" s="15" t="str">
        <f>IF(OR(ClientDB[[#This Row],[Start Year]]&lt;2016,ClientDB[[#This Row],[Events]]&gt;=6),"Gift","")</f>
        <v>Gift</v>
      </c>
      <c r="M20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06" s="15">
        <v>1</v>
      </c>
      <c r="O206" s="35">
        <f>IF(ClientDB[[#This Row],[Days]]=1,(ClientDB[[#This Row],[Days]]*$V$7),IF(ClientDB[[#This Row],[Days]]&gt;1,(ClientDB[[#This Row],[Days]]*$V$8),""))</f>
        <v>350</v>
      </c>
      <c r="P20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06" s="15" t="s">
        <v>901</v>
      </c>
      <c r="R206" s="15" t="str">
        <f>INDEX(Table4[[Regular]:[Special]],MATCH(ClientDB[[#Data],[Country Code]],Table4[[#Data],[Country]],0),MATCH(ClientDB[[#Data],[Meal]],Table4[[#Headers],[Regular]:[Special]],0))</f>
        <v>D</v>
      </c>
    </row>
    <row r="207" spans="1:18" x14ac:dyDescent="0.2">
      <c r="A207" s="10">
        <v>26949</v>
      </c>
      <c r="B207" t="s">
        <v>242</v>
      </c>
      <c r="C207" t="s">
        <v>729</v>
      </c>
      <c r="D207" s="18">
        <v>43741</v>
      </c>
      <c r="E207" s="34">
        <f>YEAR(ClientDB[[#This Row],[Start Date]])</f>
        <v>2019</v>
      </c>
      <c r="F207" t="s">
        <v>799</v>
      </c>
      <c r="G207" t="str">
        <f>VLOOKUP(ClientDB[[#This Row],[Org Code]],Table2[],2,0)</f>
        <v>ByteSize</v>
      </c>
      <c r="H207" s="10" t="s">
        <v>26</v>
      </c>
      <c r="I207" s="10" t="str">
        <f>_xlfn.XLOOKUP(ClientDB[[#This Row],[Country Code]],Table3[[#All],[Country Codes]],Table3[[#All],[Country]],1,TRUE)</f>
        <v>Ukraine</v>
      </c>
      <c r="J207" s="15">
        <v>2</v>
      </c>
      <c r="K207" s="15" t="str">
        <f>IF(ClientDB[[#This Row],[Start Date]]&gt;=$U$14,"New","")</f>
        <v/>
      </c>
      <c r="L207" s="15" t="str">
        <f>IF(OR(ClientDB[[#This Row],[Start Year]]&lt;2016,ClientDB[[#This Row],[Events]]&gt;=6),"Gift","")</f>
        <v/>
      </c>
      <c r="M20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07" s="15">
        <v>3</v>
      </c>
      <c r="O207" s="35">
        <f>IF(ClientDB[[#This Row],[Days]]=1,(ClientDB[[#This Row],[Days]]*$V$7),IF(ClientDB[[#This Row],[Days]]&gt;1,(ClientDB[[#This Row],[Days]]*$V$8),""))</f>
        <v>900</v>
      </c>
      <c r="P20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07" s="15" t="s">
        <v>901</v>
      </c>
      <c r="R207" s="15" t="str">
        <f>INDEX(Table4[[Regular]:[Special]],MATCH(ClientDB[[#Data],[Country Code]],Table4[[#Data],[Country]],0),MATCH(ClientDB[[#Data],[Meal]],Table4[[#Headers],[Regular]:[Special]],0))</f>
        <v>G</v>
      </c>
    </row>
    <row r="208" spans="1:18" x14ac:dyDescent="0.2">
      <c r="A208" s="10">
        <v>27034</v>
      </c>
      <c r="B208" t="s">
        <v>422</v>
      </c>
      <c r="C208" t="s">
        <v>423</v>
      </c>
      <c r="D208" s="18">
        <v>42427</v>
      </c>
      <c r="E208" s="34">
        <f>YEAR(ClientDB[[#This Row],[Start Date]])</f>
        <v>2016</v>
      </c>
      <c r="F208" t="s">
        <v>827</v>
      </c>
      <c r="G208" t="str">
        <f>VLOOKUP(ClientDB[[#This Row],[Org Code]],Table2[],2,0)</f>
        <v>Ripple Com</v>
      </c>
      <c r="H208" s="10" t="s">
        <v>15</v>
      </c>
      <c r="I208" s="10" t="str">
        <f>_xlfn.XLOOKUP(ClientDB[[#This Row],[Country Code]],Table3[[#All],[Country Codes]],Table3[[#All],[Country]],1,TRUE)</f>
        <v>United Kingdom</v>
      </c>
      <c r="J208" s="15">
        <v>8</v>
      </c>
      <c r="K208" s="15" t="str">
        <f>IF(ClientDB[[#This Row],[Start Date]]&gt;=$U$14,"New","")</f>
        <v/>
      </c>
      <c r="L208" s="15" t="str">
        <f>IF(OR(ClientDB[[#This Row],[Start Year]]&lt;2016,ClientDB[[#This Row],[Events]]&gt;=6),"Gift","")</f>
        <v>Gift</v>
      </c>
      <c r="M20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08" s="15">
        <v>1</v>
      </c>
      <c r="O208" s="35">
        <f>IF(ClientDB[[#This Row],[Days]]=1,(ClientDB[[#This Row],[Days]]*$V$7),IF(ClientDB[[#This Row],[Days]]&gt;1,(ClientDB[[#This Row],[Days]]*$V$8),""))</f>
        <v>350</v>
      </c>
      <c r="P20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208" s="15" t="s">
        <v>899</v>
      </c>
      <c r="R208" s="15" t="str">
        <f>INDEX(Table4[[Regular]:[Special]],MATCH(ClientDB[[#Data],[Country Code]],Table4[[#Data],[Country]],0),MATCH(ClientDB[[#Data],[Meal]],Table4[[#Headers],[Regular]:[Special]],0))</f>
        <v>A</v>
      </c>
    </row>
    <row r="209" spans="1:18" x14ac:dyDescent="0.2">
      <c r="A209" s="10">
        <v>27232</v>
      </c>
      <c r="B209" t="s">
        <v>452</v>
      </c>
      <c r="C209" t="s">
        <v>453</v>
      </c>
      <c r="D209" s="18">
        <v>43721</v>
      </c>
      <c r="E209" s="34">
        <f>YEAR(ClientDB[[#This Row],[Start Date]])</f>
        <v>2019</v>
      </c>
      <c r="F209" t="s">
        <v>833</v>
      </c>
      <c r="G209" t="str">
        <f>VLOOKUP(ClientDB[[#This Row],[Org Code]],Table2[],2,0)</f>
        <v>UON</v>
      </c>
      <c r="H209" s="10" t="s">
        <v>34</v>
      </c>
      <c r="I209" s="10" t="str">
        <f>_xlfn.XLOOKUP(ClientDB[[#This Row],[Country Code]],Table3[[#All],[Country Codes]],Table3[[#All],[Country]],1,TRUE)</f>
        <v>United States</v>
      </c>
      <c r="J209" s="15">
        <v>1</v>
      </c>
      <c r="K209" s="15" t="str">
        <f>IF(ClientDB[[#This Row],[Start Date]]&gt;=$U$14,"New","")</f>
        <v/>
      </c>
      <c r="L209" s="15" t="str">
        <f>IF(OR(ClientDB[[#This Row],[Start Year]]&lt;2016,ClientDB[[#This Row],[Events]]&gt;=6),"Gift","")</f>
        <v/>
      </c>
      <c r="M20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09" s="15">
        <v>1</v>
      </c>
      <c r="O209" s="35">
        <f>IF(ClientDB[[#This Row],[Days]]=1,(ClientDB[[#This Row],[Days]]*$V$7),IF(ClientDB[[#This Row],[Days]]&gt;1,(ClientDB[[#This Row],[Days]]*$V$8),""))</f>
        <v>350</v>
      </c>
      <c r="P20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09" s="15" t="s">
        <v>899</v>
      </c>
      <c r="R209" s="15" t="str">
        <f>INDEX(Table4[[Regular]:[Special]],MATCH(ClientDB[[#Data],[Country Code]],Table4[[#Data],[Country]],0),MATCH(ClientDB[[#Data],[Meal]],Table4[[#Headers],[Regular]:[Special]],0))</f>
        <v>F</v>
      </c>
    </row>
    <row r="210" spans="1:18" x14ac:dyDescent="0.2">
      <c r="A210" s="10">
        <v>27293</v>
      </c>
      <c r="B210" t="s">
        <v>483</v>
      </c>
      <c r="C210" t="s">
        <v>484</v>
      </c>
      <c r="D210" s="18">
        <v>42364</v>
      </c>
      <c r="E210" s="34">
        <f>YEAR(ClientDB[[#This Row],[Start Date]])</f>
        <v>2015</v>
      </c>
      <c r="F210" t="s">
        <v>833</v>
      </c>
      <c r="G210" t="str">
        <f>VLOOKUP(ClientDB[[#This Row],[Org Code]],Table2[],2,0)</f>
        <v>UON</v>
      </c>
      <c r="H210" s="10" t="s">
        <v>34</v>
      </c>
      <c r="I210" s="10" t="str">
        <f>_xlfn.XLOOKUP(ClientDB[[#This Row],[Country Code]],Table3[[#All],[Country Codes]],Table3[[#All],[Country]],1,TRUE)</f>
        <v>United States</v>
      </c>
      <c r="J210" s="15">
        <v>6</v>
      </c>
      <c r="K210" s="15" t="str">
        <f>IF(ClientDB[[#This Row],[Start Date]]&gt;=$U$14,"New","")</f>
        <v/>
      </c>
      <c r="L210" s="15" t="str">
        <f>IF(OR(ClientDB[[#This Row],[Start Year]]&lt;2016,ClientDB[[#This Row],[Events]]&gt;=6),"Gift","")</f>
        <v>Gift</v>
      </c>
      <c r="M21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0" s="15">
        <v>1</v>
      </c>
      <c r="O210" s="35">
        <f>IF(ClientDB[[#This Row],[Days]]=1,(ClientDB[[#This Row],[Days]]*$V$7),IF(ClientDB[[#This Row],[Days]]&gt;1,(ClientDB[[#This Row],[Days]]*$V$8),""))</f>
        <v>350</v>
      </c>
      <c r="P21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210" s="15" t="s">
        <v>902</v>
      </c>
      <c r="R210" s="15" t="str">
        <f>INDEX(Table4[[Regular]:[Special]],MATCH(ClientDB[[#Data],[Country Code]],Table4[[#Data],[Country]],0),MATCH(ClientDB[[#Data],[Meal]],Table4[[#Headers],[Regular]:[Special]],0))</f>
        <v>F</v>
      </c>
    </row>
    <row r="211" spans="1:18" x14ac:dyDescent="0.2">
      <c r="A211" s="10">
        <v>27300</v>
      </c>
      <c r="B211" t="s">
        <v>756</v>
      </c>
      <c r="C211" t="s">
        <v>757</v>
      </c>
      <c r="D211" s="18">
        <v>42960</v>
      </c>
      <c r="E211" s="34">
        <f>YEAR(ClientDB[[#This Row],[Start Date]])</f>
        <v>2017</v>
      </c>
      <c r="F211" t="s">
        <v>827</v>
      </c>
      <c r="G211" t="str">
        <f>VLOOKUP(ClientDB[[#This Row],[Org Code]],Table2[],2,0)</f>
        <v>Ripple Com</v>
      </c>
      <c r="H211" s="10" t="s">
        <v>15</v>
      </c>
      <c r="I211" s="10" t="str">
        <f>_xlfn.XLOOKUP(ClientDB[[#This Row],[Country Code]],Table3[[#All],[Country Codes]],Table3[[#All],[Country]],1,TRUE)</f>
        <v>United Kingdom</v>
      </c>
      <c r="J211" s="15">
        <v>1</v>
      </c>
      <c r="K211" s="15" t="str">
        <f>IF(ClientDB[[#This Row],[Start Date]]&gt;=$U$14,"New","")</f>
        <v/>
      </c>
      <c r="L211" s="15" t="str">
        <f>IF(OR(ClientDB[[#This Row],[Start Year]]&lt;2016,ClientDB[[#This Row],[Events]]&gt;=6),"Gift","")</f>
        <v/>
      </c>
      <c r="M21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1" s="15">
        <v>1</v>
      </c>
      <c r="O211" s="35">
        <f>IF(ClientDB[[#This Row],[Days]]=1,(ClientDB[[#This Row],[Days]]*$V$7),IF(ClientDB[[#This Row],[Days]]&gt;1,(ClientDB[[#This Row],[Days]]*$V$8),""))</f>
        <v>350</v>
      </c>
      <c r="P21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11" s="15" t="s">
        <v>902</v>
      </c>
      <c r="R211" s="15" t="str">
        <f>INDEX(Table4[[Regular]:[Special]],MATCH(ClientDB[[#Data],[Country Code]],Table4[[#Data],[Country]],0),MATCH(ClientDB[[#Data],[Meal]],Table4[[#Headers],[Regular]:[Special]],0))</f>
        <v>B</v>
      </c>
    </row>
    <row r="212" spans="1:18" x14ac:dyDescent="0.2">
      <c r="A212" s="10">
        <v>27309</v>
      </c>
      <c r="B212" t="s">
        <v>485</v>
      </c>
      <c r="C212" t="s">
        <v>486</v>
      </c>
      <c r="D212" s="18">
        <v>43132</v>
      </c>
      <c r="E212" s="34">
        <f>YEAR(ClientDB[[#This Row],[Start Date]])</f>
        <v>2018</v>
      </c>
      <c r="F212" t="s">
        <v>827</v>
      </c>
      <c r="G212" t="str">
        <f>VLOOKUP(ClientDB[[#This Row],[Org Code]],Table2[],2,0)</f>
        <v>Ripple Com</v>
      </c>
      <c r="H212" s="10" t="s">
        <v>15</v>
      </c>
      <c r="I212" s="10" t="str">
        <f>_xlfn.XLOOKUP(ClientDB[[#This Row],[Country Code]],Table3[[#All],[Country Codes]],Table3[[#All],[Country]],1,TRUE)</f>
        <v>United Kingdom</v>
      </c>
      <c r="J212" s="15">
        <v>3</v>
      </c>
      <c r="K212" s="15" t="str">
        <f>IF(ClientDB[[#This Row],[Start Date]]&gt;=$U$14,"New","")</f>
        <v/>
      </c>
      <c r="L212" s="15" t="str">
        <f>IF(OR(ClientDB[[#This Row],[Start Year]]&lt;2016,ClientDB[[#This Row],[Events]]&gt;=6),"Gift","")</f>
        <v/>
      </c>
      <c r="M21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2" s="15">
        <v>1</v>
      </c>
      <c r="O212" s="35">
        <f>IF(ClientDB[[#This Row],[Days]]=1,(ClientDB[[#This Row],[Days]]*$V$7),IF(ClientDB[[#This Row],[Days]]&gt;1,(ClientDB[[#This Row],[Days]]*$V$8),""))</f>
        <v>350</v>
      </c>
      <c r="P21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12" s="15" t="s">
        <v>900</v>
      </c>
      <c r="R212" s="15" t="str">
        <f>INDEX(Table4[[Regular]:[Special]],MATCH(ClientDB[[#Data],[Country Code]],Table4[[#Data],[Country]],0),MATCH(ClientDB[[#Data],[Meal]],Table4[[#Headers],[Regular]:[Special]],0))</f>
        <v>A</v>
      </c>
    </row>
    <row r="213" spans="1:18" x14ac:dyDescent="0.2">
      <c r="A213" s="10">
        <v>27397</v>
      </c>
      <c r="B213" t="s">
        <v>321</v>
      </c>
      <c r="C213" t="s">
        <v>322</v>
      </c>
      <c r="D213" s="18">
        <v>43398</v>
      </c>
      <c r="E213" s="34">
        <f>YEAR(ClientDB[[#This Row],[Start Date]])</f>
        <v>2018</v>
      </c>
      <c r="F213" t="s">
        <v>827</v>
      </c>
      <c r="G213" t="str">
        <f>VLOOKUP(ClientDB[[#This Row],[Org Code]],Table2[],2,0)</f>
        <v>Ripple Com</v>
      </c>
      <c r="H213" s="10" t="s">
        <v>15</v>
      </c>
      <c r="I213" s="10" t="str">
        <f>_xlfn.XLOOKUP(ClientDB[[#This Row],[Country Code]],Table3[[#All],[Country Codes]],Table3[[#All],[Country]],1,TRUE)</f>
        <v>United Kingdom</v>
      </c>
      <c r="J213" s="15">
        <v>6</v>
      </c>
      <c r="K213" s="15" t="str">
        <f>IF(ClientDB[[#This Row],[Start Date]]&gt;=$U$14,"New","")</f>
        <v/>
      </c>
      <c r="L213" s="15" t="str">
        <f>IF(OR(ClientDB[[#This Row],[Start Year]]&lt;2016,ClientDB[[#This Row],[Events]]&gt;=6),"Gift","")</f>
        <v>Gift</v>
      </c>
      <c r="M21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3" s="15">
        <v>1</v>
      </c>
      <c r="O213" s="35">
        <f>IF(ClientDB[[#This Row],[Days]]=1,(ClientDB[[#This Row],[Days]]*$V$7),IF(ClientDB[[#This Row],[Days]]&gt;1,(ClientDB[[#This Row],[Days]]*$V$8),""))</f>
        <v>350</v>
      </c>
      <c r="P21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213" s="15" t="s">
        <v>900</v>
      </c>
      <c r="R213" s="15" t="str">
        <f>INDEX(Table4[[Regular]:[Special]],MATCH(ClientDB[[#Data],[Country Code]],Table4[[#Data],[Country]],0),MATCH(ClientDB[[#Data],[Meal]],Table4[[#Headers],[Regular]:[Special]],0))</f>
        <v>A</v>
      </c>
    </row>
    <row r="214" spans="1:18" x14ac:dyDescent="0.2">
      <c r="A214" s="10">
        <v>27471</v>
      </c>
      <c r="B214" t="s">
        <v>710</v>
      </c>
      <c r="C214" t="s">
        <v>711</v>
      </c>
      <c r="D214" s="18">
        <v>43453</v>
      </c>
      <c r="E214" s="34">
        <f>YEAR(ClientDB[[#This Row],[Start Date]])</f>
        <v>2018</v>
      </c>
      <c r="F214" t="s">
        <v>817</v>
      </c>
      <c r="G214" t="str">
        <f>VLOOKUP(ClientDB[[#This Row],[Org Code]],Table2[],2,0)</f>
        <v>LACNE</v>
      </c>
      <c r="H214" s="10" t="s">
        <v>124</v>
      </c>
      <c r="I214" s="10" t="str">
        <f>_xlfn.XLOOKUP(ClientDB[[#This Row],[Country Code]],Table3[[#All],[Country Codes]],Table3[[#All],[Country]],1,TRUE)</f>
        <v>Lebanon</v>
      </c>
      <c r="J214" s="15">
        <v>7</v>
      </c>
      <c r="K214" s="15" t="str">
        <f>IF(ClientDB[[#This Row],[Start Date]]&gt;=$U$14,"New","")</f>
        <v/>
      </c>
      <c r="L214" s="15" t="str">
        <f>IF(OR(ClientDB[[#This Row],[Start Year]]&lt;2016,ClientDB[[#This Row],[Events]]&gt;=6),"Gift","")</f>
        <v>Gift</v>
      </c>
      <c r="M21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4" s="15">
        <v>2</v>
      </c>
      <c r="O214" s="35">
        <f>IF(ClientDB[[#This Row],[Days]]=1,(ClientDB[[#This Row],[Days]]*$V$7),IF(ClientDB[[#This Row],[Days]]&gt;1,(ClientDB[[#This Row],[Days]]*$V$8),""))</f>
        <v>600</v>
      </c>
      <c r="P21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214" s="15" t="s">
        <v>901</v>
      </c>
      <c r="R214" s="15" t="str">
        <f>INDEX(Table4[[Regular]:[Special]],MATCH(ClientDB[[#Data],[Country Code]],Table4[[#Data],[Country]],0),MATCH(ClientDB[[#Data],[Meal]],Table4[[#Headers],[Regular]:[Special]],0))</f>
        <v>F</v>
      </c>
    </row>
    <row r="215" spans="1:18" x14ac:dyDescent="0.2">
      <c r="A215" s="10">
        <v>27531</v>
      </c>
      <c r="B215" t="s">
        <v>563</v>
      </c>
      <c r="C215" t="s">
        <v>564</v>
      </c>
      <c r="D215" s="18">
        <v>42375</v>
      </c>
      <c r="E215" s="34">
        <f>YEAR(ClientDB[[#This Row],[Start Date]])</f>
        <v>2016</v>
      </c>
      <c r="F215" t="s">
        <v>830</v>
      </c>
      <c r="G215" t="str">
        <f>VLOOKUP(ClientDB[[#This Row],[Org Code]],Table2[],2,0)</f>
        <v>Steps IT Training</v>
      </c>
      <c r="H215" s="10" t="s">
        <v>565</v>
      </c>
      <c r="I215" s="10" t="str">
        <f>_xlfn.XLOOKUP(ClientDB[[#This Row],[Country Code]],Table3[[#All],[Country Codes]],Table3[[#All],[Country]],1,TRUE)</f>
        <v>Syria</v>
      </c>
      <c r="J215" s="15">
        <v>2</v>
      </c>
      <c r="K215" s="15" t="str">
        <f>IF(ClientDB[[#This Row],[Start Date]]&gt;=$U$14,"New","")</f>
        <v/>
      </c>
      <c r="L215" s="15" t="str">
        <f>IF(OR(ClientDB[[#This Row],[Start Year]]&lt;2016,ClientDB[[#This Row],[Events]]&gt;=6),"Gift","")</f>
        <v/>
      </c>
      <c r="M21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5" s="15">
        <v>3</v>
      </c>
      <c r="O215" s="35">
        <f>IF(ClientDB[[#This Row],[Days]]=1,(ClientDB[[#This Row],[Days]]*$V$7),IF(ClientDB[[#This Row],[Days]]&gt;1,(ClientDB[[#This Row],[Days]]*$V$8),""))</f>
        <v>900</v>
      </c>
      <c r="P21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15" s="15" t="s">
        <v>900</v>
      </c>
      <c r="R215" s="15" t="str">
        <f>INDEX(Table4[[Regular]:[Special]],MATCH(ClientDB[[#Data],[Country Code]],Table4[[#Data],[Country]],0),MATCH(ClientDB[[#Data],[Meal]],Table4[[#Headers],[Regular]:[Special]],0))</f>
        <v>C</v>
      </c>
    </row>
    <row r="216" spans="1:18" x14ac:dyDescent="0.2">
      <c r="A216" s="10">
        <v>27673</v>
      </c>
      <c r="B216" t="s">
        <v>689</v>
      </c>
      <c r="C216" t="s">
        <v>690</v>
      </c>
      <c r="D216" s="18">
        <v>43482</v>
      </c>
      <c r="E216" s="34">
        <f>YEAR(ClientDB[[#This Row],[Start Date]])</f>
        <v>2019</v>
      </c>
      <c r="F216" t="s">
        <v>798</v>
      </c>
      <c r="G216" t="str">
        <f>VLOOKUP(ClientDB[[#This Row],[Org Code]],Table2[],2,0)</f>
        <v>Axell Group</v>
      </c>
      <c r="H216" s="10" t="s">
        <v>146</v>
      </c>
      <c r="I216" s="10" t="str">
        <f>_xlfn.XLOOKUP(ClientDB[[#This Row],[Country Code]],Table3[[#All],[Country Codes]],Table3[[#All],[Country]],1,TRUE)</f>
        <v>Russia</v>
      </c>
      <c r="J216" s="15">
        <v>5</v>
      </c>
      <c r="K216" s="15" t="str">
        <f>IF(ClientDB[[#This Row],[Start Date]]&gt;=$U$14,"New","")</f>
        <v/>
      </c>
      <c r="L216" s="15" t="str">
        <f>IF(OR(ClientDB[[#This Row],[Start Year]]&lt;2016,ClientDB[[#This Row],[Events]]&gt;=6),"Gift","")</f>
        <v/>
      </c>
      <c r="M21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6" s="15">
        <v>3</v>
      </c>
      <c r="O216" s="35">
        <f>IF(ClientDB[[#This Row],[Days]]=1,(ClientDB[[#This Row],[Days]]*$V$7),IF(ClientDB[[#This Row],[Days]]&gt;1,(ClientDB[[#This Row],[Days]]*$V$8),""))</f>
        <v>900</v>
      </c>
      <c r="P21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16" s="15" t="s">
        <v>902</v>
      </c>
      <c r="R216" s="15" t="str">
        <f>INDEX(Table4[[Regular]:[Special]],MATCH(ClientDB[[#Data],[Country Code]],Table4[[#Data],[Country]],0),MATCH(ClientDB[[#Data],[Meal]],Table4[[#Headers],[Regular]:[Special]],0))</f>
        <v>C</v>
      </c>
    </row>
    <row r="217" spans="1:18" x14ac:dyDescent="0.2">
      <c r="A217" s="10">
        <v>27765</v>
      </c>
      <c r="B217" t="s">
        <v>462</v>
      </c>
      <c r="C217" t="s">
        <v>463</v>
      </c>
      <c r="D217" s="18">
        <v>43048</v>
      </c>
      <c r="E217" s="34">
        <f>YEAR(ClientDB[[#This Row],[Start Date]])</f>
        <v>2017</v>
      </c>
      <c r="F217" t="s">
        <v>819</v>
      </c>
      <c r="G217" t="str">
        <f>VLOOKUP(ClientDB[[#This Row],[Org Code]],Table2[],2,0)</f>
        <v>NetaAssist</v>
      </c>
      <c r="H217" s="10" t="s">
        <v>46</v>
      </c>
      <c r="I217" s="10" t="str">
        <f>_xlfn.XLOOKUP(ClientDB[[#This Row],[Country Code]],Table3[[#All],[Country Codes]],Table3[[#All],[Country]],1,TRUE)</f>
        <v>Germany</v>
      </c>
      <c r="J217" s="15">
        <v>6</v>
      </c>
      <c r="K217" s="15" t="str">
        <f>IF(ClientDB[[#This Row],[Start Date]]&gt;=$U$14,"New","")</f>
        <v/>
      </c>
      <c r="L217" s="15" t="str">
        <f>IF(OR(ClientDB[[#This Row],[Start Year]]&lt;2016,ClientDB[[#This Row],[Events]]&gt;=6),"Gift","")</f>
        <v>Gift</v>
      </c>
      <c r="M21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7" s="15">
        <v>3</v>
      </c>
      <c r="O217" s="35">
        <f>IF(ClientDB[[#This Row],[Days]]=1,(ClientDB[[#This Row],[Days]]*$V$7),IF(ClientDB[[#This Row],[Days]]&gt;1,(ClientDB[[#This Row],[Days]]*$V$8),""))</f>
        <v>900</v>
      </c>
      <c r="P21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17" s="15" t="s">
        <v>901</v>
      </c>
      <c r="R217" s="15" t="str">
        <f>INDEX(Table4[[Regular]:[Special]],MATCH(ClientDB[[#Data],[Country Code]],Table4[[#Data],[Country]],0),MATCH(ClientDB[[#Data],[Meal]],Table4[[#Headers],[Regular]:[Special]],0))</f>
        <v>D</v>
      </c>
    </row>
    <row r="218" spans="1:18" x14ac:dyDescent="0.2">
      <c r="A218" s="10">
        <v>27771</v>
      </c>
      <c r="B218" t="s">
        <v>652</v>
      </c>
      <c r="C218" t="s">
        <v>653</v>
      </c>
      <c r="D218" s="18">
        <v>42917</v>
      </c>
      <c r="E218" s="34">
        <f>YEAR(ClientDB[[#This Row],[Start Date]])</f>
        <v>2017</v>
      </c>
      <c r="F218" t="s">
        <v>803</v>
      </c>
      <c r="G218" t="str">
        <f>VLOOKUP(ClientDB[[#This Row],[Org Code]],Table2[],2,0)</f>
        <v>CTX</v>
      </c>
      <c r="H218" s="10" t="s">
        <v>46</v>
      </c>
      <c r="I218" s="10" t="str">
        <f>_xlfn.XLOOKUP(ClientDB[[#This Row],[Country Code]],Table3[[#All],[Country Codes]],Table3[[#All],[Country]],1,TRUE)</f>
        <v>Germany</v>
      </c>
      <c r="J218" s="15">
        <v>8</v>
      </c>
      <c r="K218" s="15" t="str">
        <f>IF(ClientDB[[#This Row],[Start Date]]&gt;=$U$14,"New","")</f>
        <v/>
      </c>
      <c r="L218" s="15" t="str">
        <f>IF(OR(ClientDB[[#This Row],[Start Year]]&lt;2016,ClientDB[[#This Row],[Events]]&gt;=6),"Gift","")</f>
        <v>Gift</v>
      </c>
      <c r="M21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8" s="15">
        <v>3</v>
      </c>
      <c r="O218" s="35">
        <f>IF(ClientDB[[#This Row],[Days]]=1,(ClientDB[[#This Row],[Days]]*$V$7),IF(ClientDB[[#This Row],[Days]]&gt;1,(ClientDB[[#This Row],[Days]]*$V$8),""))</f>
        <v>900</v>
      </c>
      <c r="P21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18" s="15" t="s">
        <v>901</v>
      </c>
      <c r="R218" s="15" t="str">
        <f>INDEX(Table4[[Regular]:[Special]],MATCH(ClientDB[[#Data],[Country Code]],Table4[[#Data],[Country]],0),MATCH(ClientDB[[#Data],[Meal]],Table4[[#Headers],[Regular]:[Special]],0))</f>
        <v>D</v>
      </c>
    </row>
    <row r="219" spans="1:18" x14ac:dyDescent="0.2">
      <c r="A219" s="10">
        <v>27801</v>
      </c>
      <c r="B219" t="s">
        <v>101</v>
      </c>
      <c r="C219" t="s">
        <v>102</v>
      </c>
      <c r="D219" s="18">
        <v>44026</v>
      </c>
      <c r="E219" s="34">
        <f>YEAR(ClientDB[[#This Row],[Start Date]])</f>
        <v>2020</v>
      </c>
      <c r="F219" t="s">
        <v>827</v>
      </c>
      <c r="G219" t="str">
        <f>VLOOKUP(ClientDB[[#This Row],[Org Code]],Table2[],2,0)</f>
        <v>Ripple Com</v>
      </c>
      <c r="H219" s="10" t="s">
        <v>26</v>
      </c>
      <c r="I219" s="10" t="str">
        <f>_xlfn.XLOOKUP(ClientDB[[#This Row],[Country Code]],Table3[[#All],[Country Codes]],Table3[[#All],[Country]],1,TRUE)</f>
        <v>Ukraine</v>
      </c>
      <c r="J219" s="15">
        <v>1</v>
      </c>
      <c r="K219" s="15" t="str">
        <f>IF(ClientDB[[#This Row],[Start Date]]&gt;=$U$14,"New","")</f>
        <v>New</v>
      </c>
      <c r="L219" s="15" t="str">
        <f>IF(OR(ClientDB[[#This Row],[Start Year]]&lt;2016,ClientDB[[#This Row],[Events]]&gt;=6),"Gift","")</f>
        <v/>
      </c>
      <c r="M21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19" s="15">
        <v>3</v>
      </c>
      <c r="O219" s="35">
        <f>IF(ClientDB[[#This Row],[Days]]=1,(ClientDB[[#This Row],[Days]]*$V$7),IF(ClientDB[[#This Row],[Days]]&gt;1,(ClientDB[[#This Row],[Days]]*$V$8),""))</f>
        <v>900</v>
      </c>
      <c r="P21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19" s="15" t="s">
        <v>902</v>
      </c>
      <c r="R219" s="15" t="str">
        <f>INDEX(Table4[[Regular]:[Special]],MATCH(ClientDB[[#Data],[Country Code]],Table4[[#Data],[Country]],0),MATCH(ClientDB[[#Data],[Meal]],Table4[[#Headers],[Regular]:[Special]],0))</f>
        <v>C</v>
      </c>
    </row>
    <row r="220" spans="1:18" x14ac:dyDescent="0.2">
      <c r="A220" s="10">
        <v>27809</v>
      </c>
      <c r="B220" t="s">
        <v>587</v>
      </c>
      <c r="C220" t="s">
        <v>588</v>
      </c>
      <c r="D220" s="18">
        <v>42157</v>
      </c>
      <c r="E220" s="34">
        <f>YEAR(ClientDB[[#This Row],[Start Date]])</f>
        <v>2015</v>
      </c>
      <c r="F220" t="s">
        <v>812</v>
      </c>
      <c r="G220" t="str">
        <f>VLOOKUP(ClientDB[[#This Row],[Org Code]],Table2[],2,0)</f>
        <v>Fzig Fibre</v>
      </c>
      <c r="H220" s="10" t="s">
        <v>59</v>
      </c>
      <c r="I220" s="10" t="str">
        <f>_xlfn.XLOOKUP(ClientDB[[#This Row],[Country Code]],Table3[[#All],[Country Codes]],Table3[[#All],[Country]],1,TRUE)</f>
        <v>Netherlands</v>
      </c>
      <c r="J220" s="15">
        <v>2</v>
      </c>
      <c r="K220" s="15" t="str">
        <f>IF(ClientDB[[#This Row],[Start Date]]&gt;=$U$14,"New","")</f>
        <v/>
      </c>
      <c r="L220" s="15" t="str">
        <f>IF(OR(ClientDB[[#This Row],[Start Year]]&lt;2016,ClientDB[[#This Row],[Events]]&gt;=6),"Gift","")</f>
        <v>Gift</v>
      </c>
      <c r="M22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20" s="15">
        <v>2</v>
      </c>
      <c r="O220" s="35">
        <f>IF(ClientDB[[#This Row],[Days]]=1,(ClientDB[[#This Row],[Days]]*$V$7),IF(ClientDB[[#This Row],[Days]]&gt;1,(ClientDB[[#This Row],[Days]]*$V$8),""))</f>
        <v>600</v>
      </c>
      <c r="P22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20" s="15" t="s">
        <v>902</v>
      </c>
      <c r="R220" s="15" t="str">
        <f>INDEX(Table4[[Regular]:[Special]],MATCH(ClientDB[[#Data],[Country Code]],Table4[[#Data],[Country]],0),MATCH(ClientDB[[#Data],[Meal]],Table4[[#Headers],[Regular]:[Special]],0))</f>
        <v>C</v>
      </c>
    </row>
    <row r="221" spans="1:18" x14ac:dyDescent="0.2">
      <c r="A221" s="10">
        <v>27886</v>
      </c>
      <c r="B221" t="s">
        <v>357</v>
      </c>
      <c r="C221" t="s">
        <v>509</v>
      </c>
      <c r="D221" s="18">
        <v>43163</v>
      </c>
      <c r="E221" s="34">
        <f>YEAR(ClientDB[[#This Row],[Start Date]])</f>
        <v>2018</v>
      </c>
      <c r="F221" t="s">
        <v>827</v>
      </c>
      <c r="G221" t="str">
        <f>VLOOKUP(ClientDB[[#This Row],[Org Code]],Table2[],2,0)</f>
        <v>Ripple Com</v>
      </c>
      <c r="H221" s="10" t="s">
        <v>15</v>
      </c>
      <c r="I221" s="10" t="str">
        <f>_xlfn.XLOOKUP(ClientDB[[#This Row],[Country Code]],Table3[[#All],[Country Codes]],Table3[[#All],[Country]],1,TRUE)</f>
        <v>United Kingdom</v>
      </c>
      <c r="J221" s="15">
        <v>4</v>
      </c>
      <c r="K221" s="15" t="str">
        <f>IF(ClientDB[[#This Row],[Start Date]]&gt;=$U$14,"New","")</f>
        <v/>
      </c>
      <c r="L221" s="15" t="str">
        <f>IF(OR(ClientDB[[#This Row],[Start Year]]&lt;2016,ClientDB[[#This Row],[Events]]&gt;=6),"Gift","")</f>
        <v/>
      </c>
      <c r="M22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21" s="15">
        <v>3</v>
      </c>
      <c r="O221" s="35">
        <f>IF(ClientDB[[#This Row],[Days]]=1,(ClientDB[[#This Row],[Days]]*$V$7),IF(ClientDB[[#This Row],[Days]]&gt;1,(ClientDB[[#This Row],[Days]]*$V$8),""))</f>
        <v>900</v>
      </c>
      <c r="P22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21" s="15" t="s">
        <v>901</v>
      </c>
      <c r="R221" s="15" t="str">
        <f>INDEX(Table4[[Regular]:[Special]],MATCH(ClientDB[[#Data],[Country Code]],Table4[[#Data],[Country]],0),MATCH(ClientDB[[#Data],[Meal]],Table4[[#Headers],[Regular]:[Special]],0))</f>
        <v>E</v>
      </c>
    </row>
    <row r="222" spans="1:18" x14ac:dyDescent="0.2">
      <c r="A222" s="10">
        <v>27950</v>
      </c>
      <c r="B222" t="s">
        <v>208</v>
      </c>
      <c r="C222" t="s">
        <v>209</v>
      </c>
      <c r="D222" s="18">
        <v>43428</v>
      </c>
      <c r="E222" s="34">
        <f>YEAR(ClientDB[[#This Row],[Start Date]])</f>
        <v>2018</v>
      </c>
      <c r="F222" t="s">
        <v>831</v>
      </c>
      <c r="G222" t="str">
        <f>VLOOKUP(ClientDB[[#This Row],[Org Code]],Table2[],2,0)</f>
        <v>TatSan</v>
      </c>
      <c r="H222" s="10" t="s">
        <v>146</v>
      </c>
      <c r="I222" s="10" t="str">
        <f>_xlfn.XLOOKUP(ClientDB[[#This Row],[Country Code]],Table3[[#All],[Country Codes]],Table3[[#All],[Country]],1,TRUE)</f>
        <v>Russia</v>
      </c>
      <c r="J222" s="15">
        <v>11</v>
      </c>
      <c r="K222" s="15" t="str">
        <f>IF(ClientDB[[#This Row],[Start Date]]&gt;=$U$14,"New","")</f>
        <v/>
      </c>
      <c r="L222" s="15" t="str">
        <f>IF(OR(ClientDB[[#This Row],[Start Year]]&lt;2016,ClientDB[[#This Row],[Events]]&gt;=6),"Gift","")</f>
        <v>Gift</v>
      </c>
      <c r="M222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22" s="15">
        <v>2</v>
      </c>
      <c r="O222" s="35">
        <f>IF(ClientDB[[#This Row],[Days]]=1,(ClientDB[[#This Row],[Days]]*$V$7),IF(ClientDB[[#This Row],[Days]]&gt;1,(ClientDB[[#This Row],[Days]]*$V$8),""))</f>
        <v>600</v>
      </c>
      <c r="P22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222" s="15" t="s">
        <v>902</v>
      </c>
      <c r="R222" s="15" t="str">
        <f>INDEX(Table4[[Regular]:[Special]],MATCH(ClientDB[[#Data],[Country Code]],Table4[[#Data],[Country]],0),MATCH(ClientDB[[#Data],[Meal]],Table4[[#Headers],[Regular]:[Special]],0))</f>
        <v>C</v>
      </c>
    </row>
    <row r="223" spans="1:18" x14ac:dyDescent="0.2">
      <c r="A223" s="10">
        <v>28005</v>
      </c>
      <c r="B223" t="s">
        <v>458</v>
      </c>
      <c r="C223" t="s">
        <v>651</v>
      </c>
      <c r="D223" s="18">
        <v>43752</v>
      </c>
      <c r="E223" s="34">
        <f>YEAR(ClientDB[[#This Row],[Start Date]])</f>
        <v>2019</v>
      </c>
      <c r="F223" t="s">
        <v>807</v>
      </c>
      <c r="G223" t="str">
        <f>VLOOKUP(ClientDB[[#This Row],[Org Code]],Table2[],2,0)</f>
        <v>Duet</v>
      </c>
      <c r="H223" s="10" t="s">
        <v>155</v>
      </c>
      <c r="I223" s="10" t="str">
        <f>_xlfn.XLOOKUP(ClientDB[[#This Row],[Country Code]],Table3[[#All],[Country Codes]],Table3[[#All],[Country]],1,TRUE)</f>
        <v>United Arab Emirates</v>
      </c>
      <c r="J223" s="15">
        <v>3</v>
      </c>
      <c r="K223" s="15" t="str">
        <f>IF(ClientDB[[#This Row],[Start Date]]&gt;=$U$14,"New","")</f>
        <v/>
      </c>
      <c r="L223" s="15" t="str">
        <f>IF(OR(ClientDB[[#This Row],[Start Year]]&lt;2016,ClientDB[[#This Row],[Events]]&gt;=6),"Gift","")</f>
        <v/>
      </c>
      <c r="M22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23" s="15">
        <v>3</v>
      </c>
      <c r="O223" s="35">
        <f>IF(ClientDB[[#This Row],[Days]]=1,(ClientDB[[#This Row],[Days]]*$V$7),IF(ClientDB[[#This Row],[Days]]&gt;1,(ClientDB[[#This Row],[Days]]*$V$8),""))</f>
        <v>900</v>
      </c>
      <c r="P22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23" s="15" t="s">
        <v>900</v>
      </c>
      <c r="R223" s="15" t="str">
        <f>INDEX(Table4[[Regular]:[Special]],MATCH(ClientDB[[#Data],[Country Code]],Table4[[#Data],[Country]],0),MATCH(ClientDB[[#Data],[Meal]],Table4[[#Headers],[Regular]:[Special]],0))</f>
        <v>A</v>
      </c>
    </row>
    <row r="224" spans="1:18" x14ac:dyDescent="0.2">
      <c r="A224" s="10">
        <v>28181</v>
      </c>
      <c r="B224" t="s">
        <v>449</v>
      </c>
      <c r="C224" t="s">
        <v>450</v>
      </c>
      <c r="D224" s="18">
        <v>42163</v>
      </c>
      <c r="E224" s="34">
        <f>YEAR(ClientDB[[#This Row],[Start Date]])</f>
        <v>2015</v>
      </c>
      <c r="F224" t="s">
        <v>825</v>
      </c>
      <c r="G224" t="str">
        <f>VLOOKUP(ClientDB[[#This Row],[Org Code]],Table2[],2,0)</f>
        <v>Qinisar</v>
      </c>
      <c r="H224" s="10" t="s">
        <v>54</v>
      </c>
      <c r="I224" s="10" t="str">
        <f>_xlfn.XLOOKUP(ClientDB[[#This Row],[Country Code]],Table3[[#All],[Country Codes]],Table3[[#All],[Country]],1,TRUE)</f>
        <v>Romania</v>
      </c>
      <c r="J224" s="15">
        <v>6</v>
      </c>
      <c r="K224" s="15" t="str">
        <f>IF(ClientDB[[#This Row],[Start Date]]&gt;=$U$14,"New","")</f>
        <v/>
      </c>
      <c r="L224" s="15" t="str">
        <f>IF(OR(ClientDB[[#This Row],[Start Year]]&lt;2016,ClientDB[[#This Row],[Events]]&gt;=6),"Gift","")</f>
        <v>Gift</v>
      </c>
      <c r="M22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24" s="15">
        <v>3</v>
      </c>
      <c r="O224" s="35">
        <f>IF(ClientDB[[#This Row],[Days]]=1,(ClientDB[[#This Row],[Days]]*$V$7),IF(ClientDB[[#This Row],[Days]]&gt;1,(ClientDB[[#This Row],[Days]]*$V$8),""))</f>
        <v>900</v>
      </c>
      <c r="P22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24" s="15" t="s">
        <v>899</v>
      </c>
      <c r="R224" s="15" t="str">
        <f>INDEX(Table4[[Regular]:[Special]],MATCH(ClientDB[[#Data],[Country Code]],Table4[[#Data],[Country]],0),MATCH(ClientDB[[#Data],[Meal]],Table4[[#Headers],[Regular]:[Special]],0))</f>
        <v>B</v>
      </c>
    </row>
    <row r="225" spans="1:18" x14ac:dyDescent="0.2">
      <c r="A225" s="10">
        <v>28195</v>
      </c>
      <c r="B225" t="s">
        <v>671</v>
      </c>
      <c r="C225" t="s">
        <v>590</v>
      </c>
      <c r="D225" s="18">
        <v>43768</v>
      </c>
      <c r="E225" s="34">
        <f>YEAR(ClientDB[[#This Row],[Start Date]])</f>
        <v>2019</v>
      </c>
      <c r="F225" t="s">
        <v>804</v>
      </c>
      <c r="G225" t="str">
        <f>VLOOKUP(ClientDB[[#This Row],[Org Code]],Table2[],2,0)</f>
        <v>Cyber Data Processing</v>
      </c>
      <c r="H225" s="10" t="s">
        <v>7</v>
      </c>
      <c r="I225" s="10" t="str">
        <f>_xlfn.XLOOKUP(ClientDB[[#This Row],[Country Code]],Table3[[#All],[Country Codes]],Table3[[#All],[Country]],1,TRUE)</f>
        <v>Iran</v>
      </c>
      <c r="J225" s="15">
        <v>3</v>
      </c>
      <c r="K225" s="15" t="str">
        <f>IF(ClientDB[[#This Row],[Start Date]]&gt;=$U$14,"New","")</f>
        <v/>
      </c>
      <c r="L225" s="15" t="str">
        <f>IF(OR(ClientDB[[#This Row],[Start Year]]&lt;2016,ClientDB[[#This Row],[Events]]&gt;=6),"Gift","")</f>
        <v/>
      </c>
      <c r="M22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25" s="15">
        <v>2</v>
      </c>
      <c r="O225" s="35">
        <f>IF(ClientDB[[#This Row],[Days]]=1,(ClientDB[[#This Row],[Days]]*$V$7),IF(ClientDB[[#This Row],[Days]]&gt;1,(ClientDB[[#This Row],[Days]]*$V$8),""))</f>
        <v>600</v>
      </c>
      <c r="P22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25" s="15" t="s">
        <v>901</v>
      </c>
      <c r="R225" s="15" t="str">
        <f>INDEX(Table4[[Regular]:[Special]],MATCH(ClientDB[[#Data],[Country Code]],Table4[[#Data],[Country]],0),MATCH(ClientDB[[#Data],[Meal]],Table4[[#Headers],[Regular]:[Special]],0))</f>
        <v>F</v>
      </c>
    </row>
    <row r="226" spans="1:18" x14ac:dyDescent="0.2">
      <c r="A226" s="10">
        <v>28404</v>
      </c>
      <c r="B226" t="s">
        <v>389</v>
      </c>
      <c r="C226" t="s">
        <v>390</v>
      </c>
      <c r="D226" s="18">
        <v>43966</v>
      </c>
      <c r="E226" s="34">
        <f>YEAR(ClientDB[[#This Row],[Start Date]])</f>
        <v>2020</v>
      </c>
      <c r="F226" t="s">
        <v>827</v>
      </c>
      <c r="G226" t="str">
        <f>VLOOKUP(ClientDB[[#This Row],[Org Code]],Table2[],2,0)</f>
        <v>Ripple Com</v>
      </c>
      <c r="H226" s="10" t="s">
        <v>15</v>
      </c>
      <c r="I226" s="10" t="str">
        <f>_xlfn.XLOOKUP(ClientDB[[#This Row],[Country Code]],Table3[[#All],[Country Codes]],Table3[[#All],[Country]],1,TRUE)</f>
        <v>United Kingdom</v>
      </c>
      <c r="J226" s="15">
        <v>1</v>
      </c>
      <c r="K226" s="15" t="str">
        <f>IF(ClientDB[[#This Row],[Start Date]]&gt;=$U$14,"New","")</f>
        <v>New</v>
      </c>
      <c r="L226" s="15" t="str">
        <f>IF(OR(ClientDB[[#This Row],[Start Year]]&lt;2016,ClientDB[[#This Row],[Events]]&gt;=6),"Gift","")</f>
        <v/>
      </c>
      <c r="M22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26" s="15">
        <v>3</v>
      </c>
      <c r="O226" s="35">
        <f>IF(ClientDB[[#This Row],[Days]]=1,(ClientDB[[#This Row],[Days]]*$V$7),IF(ClientDB[[#This Row],[Days]]&gt;1,(ClientDB[[#This Row],[Days]]*$V$8),""))</f>
        <v>900</v>
      </c>
      <c r="P22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26" s="15" t="s">
        <v>899</v>
      </c>
      <c r="R226" s="15" t="str">
        <f>INDEX(Table4[[Regular]:[Special]],MATCH(ClientDB[[#Data],[Country Code]],Table4[[#Data],[Country]],0),MATCH(ClientDB[[#Data],[Meal]],Table4[[#Headers],[Regular]:[Special]],0))</f>
        <v>A</v>
      </c>
    </row>
    <row r="227" spans="1:18" x14ac:dyDescent="0.2">
      <c r="A227" s="10">
        <v>28487</v>
      </c>
      <c r="B227" t="s">
        <v>503</v>
      </c>
      <c r="C227" t="s">
        <v>611</v>
      </c>
      <c r="D227" s="18">
        <v>42591</v>
      </c>
      <c r="E227" s="34">
        <f>YEAR(ClientDB[[#This Row],[Start Date]])</f>
        <v>2016</v>
      </c>
      <c r="F227" t="s">
        <v>803</v>
      </c>
      <c r="G227" t="str">
        <f>VLOOKUP(ClientDB[[#This Row],[Org Code]],Table2[],2,0)</f>
        <v>CTX</v>
      </c>
      <c r="H227" s="10" t="s">
        <v>46</v>
      </c>
      <c r="I227" s="10" t="str">
        <f>_xlfn.XLOOKUP(ClientDB[[#This Row],[Country Code]],Table3[[#All],[Country Codes]],Table3[[#All],[Country]],1,TRUE)</f>
        <v>Germany</v>
      </c>
      <c r="J227" s="15">
        <v>5</v>
      </c>
      <c r="K227" s="15" t="str">
        <f>IF(ClientDB[[#This Row],[Start Date]]&gt;=$U$14,"New","")</f>
        <v/>
      </c>
      <c r="L227" s="15" t="str">
        <f>IF(OR(ClientDB[[#This Row],[Start Year]]&lt;2016,ClientDB[[#This Row],[Events]]&gt;=6),"Gift","")</f>
        <v/>
      </c>
      <c r="M22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27" s="15">
        <v>2</v>
      </c>
      <c r="O227" s="35">
        <f>IF(ClientDB[[#This Row],[Days]]=1,(ClientDB[[#This Row],[Days]]*$V$7),IF(ClientDB[[#This Row],[Days]]&gt;1,(ClientDB[[#This Row],[Days]]*$V$8),""))</f>
        <v>600</v>
      </c>
      <c r="P22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227" s="15" t="s">
        <v>900</v>
      </c>
      <c r="R227" s="15" t="str">
        <f>INDEX(Table4[[Regular]:[Special]],MATCH(ClientDB[[#Data],[Country Code]],Table4[[#Data],[Country]],0),MATCH(ClientDB[[#Data],[Meal]],Table4[[#Headers],[Regular]:[Special]],0))</f>
        <v>A</v>
      </c>
    </row>
    <row r="228" spans="1:18" x14ac:dyDescent="0.2">
      <c r="A228" s="10">
        <v>28547</v>
      </c>
      <c r="B228" t="s">
        <v>344</v>
      </c>
      <c r="C228" t="s">
        <v>345</v>
      </c>
      <c r="D228" s="18">
        <v>44047</v>
      </c>
      <c r="E228" s="34">
        <f>YEAR(ClientDB[[#This Row],[Start Date]])</f>
        <v>2020</v>
      </c>
      <c r="F228" t="s">
        <v>827</v>
      </c>
      <c r="G228" t="str">
        <f>VLOOKUP(ClientDB[[#This Row],[Org Code]],Table2[],2,0)</f>
        <v>Ripple Com</v>
      </c>
      <c r="H228" s="10" t="s">
        <v>15</v>
      </c>
      <c r="I228" s="10" t="str">
        <f>_xlfn.XLOOKUP(ClientDB[[#This Row],[Country Code]],Table3[[#All],[Country Codes]],Table3[[#All],[Country]],1,TRUE)</f>
        <v>United Kingdom</v>
      </c>
      <c r="J228" s="15">
        <v>1</v>
      </c>
      <c r="K228" s="15" t="str">
        <f>IF(ClientDB[[#This Row],[Start Date]]&gt;=$U$14,"New","")</f>
        <v>New</v>
      </c>
      <c r="L228" s="15" t="str">
        <f>IF(OR(ClientDB[[#This Row],[Start Year]]&lt;2016,ClientDB[[#This Row],[Events]]&gt;=6),"Gift","")</f>
        <v/>
      </c>
      <c r="M22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28" s="15">
        <v>2</v>
      </c>
      <c r="O228" s="35">
        <f>IF(ClientDB[[#This Row],[Days]]=1,(ClientDB[[#This Row],[Days]]*$V$7),IF(ClientDB[[#This Row],[Days]]&gt;1,(ClientDB[[#This Row],[Days]]*$V$8),""))</f>
        <v>600</v>
      </c>
      <c r="P22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28" s="15" t="s">
        <v>900</v>
      </c>
      <c r="R228" s="15" t="str">
        <f>INDEX(Table4[[Regular]:[Special]],MATCH(ClientDB[[#Data],[Country Code]],Table4[[#Data],[Country]],0),MATCH(ClientDB[[#Data],[Meal]],Table4[[#Headers],[Regular]:[Special]],0))</f>
        <v>A</v>
      </c>
    </row>
    <row r="229" spans="1:18" x14ac:dyDescent="0.2">
      <c r="A229" s="10">
        <v>28675</v>
      </c>
      <c r="B229" t="s">
        <v>94</v>
      </c>
      <c r="C229" t="s">
        <v>576</v>
      </c>
      <c r="D229" s="18">
        <v>43322</v>
      </c>
      <c r="E229" s="34">
        <f>YEAR(ClientDB[[#This Row],[Start Date]])</f>
        <v>2018</v>
      </c>
      <c r="F229" t="s">
        <v>811</v>
      </c>
      <c r="G229" t="str">
        <f>VLOOKUP(ClientDB[[#This Row],[Org Code]],Table2[],2,0)</f>
        <v>EYN</v>
      </c>
      <c r="H229" s="10" t="s">
        <v>239</v>
      </c>
      <c r="I229" s="10" t="str">
        <f>_xlfn.XLOOKUP(ClientDB[[#This Row],[Country Code]],Table3[[#All],[Country Codes]],Table3[[#All],[Country]],1,TRUE)</f>
        <v>Switzerland</v>
      </c>
      <c r="J229" s="15">
        <v>3</v>
      </c>
      <c r="K229" s="15" t="str">
        <f>IF(ClientDB[[#This Row],[Start Date]]&gt;=$U$14,"New","")</f>
        <v/>
      </c>
      <c r="L229" s="15" t="str">
        <f>IF(OR(ClientDB[[#This Row],[Start Year]]&lt;2016,ClientDB[[#This Row],[Events]]&gt;=6),"Gift","")</f>
        <v/>
      </c>
      <c r="M22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29" s="15">
        <v>1</v>
      </c>
      <c r="O229" s="35">
        <f>IF(ClientDB[[#This Row],[Days]]=1,(ClientDB[[#This Row],[Days]]*$V$7),IF(ClientDB[[#This Row],[Days]]&gt;1,(ClientDB[[#This Row],[Days]]*$V$8),""))</f>
        <v>350</v>
      </c>
      <c r="P22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29" s="15" t="s">
        <v>901</v>
      </c>
      <c r="R229" s="15" t="str">
        <f>INDEX(Table4[[Regular]:[Special]],MATCH(ClientDB[[#Data],[Country Code]],Table4[[#Data],[Country]],0),MATCH(ClientDB[[#Data],[Meal]],Table4[[#Headers],[Regular]:[Special]],0))</f>
        <v>D</v>
      </c>
    </row>
    <row r="230" spans="1:18" x14ac:dyDescent="0.2">
      <c r="A230" s="10">
        <v>28781</v>
      </c>
      <c r="B230" t="s">
        <v>458</v>
      </c>
      <c r="C230" t="s">
        <v>459</v>
      </c>
      <c r="D230" s="18">
        <v>43688</v>
      </c>
      <c r="E230" s="34">
        <f>YEAR(ClientDB[[#This Row],[Start Date]])</f>
        <v>2019</v>
      </c>
      <c r="F230" t="s">
        <v>801</v>
      </c>
      <c r="G230" t="str">
        <f>VLOOKUP(ClientDB[[#This Row],[Org Code]],Table2[],2,0)</f>
        <v>Collings University</v>
      </c>
      <c r="H230" s="10" t="s">
        <v>163</v>
      </c>
      <c r="I230" s="10" t="str">
        <f>_xlfn.XLOOKUP(ClientDB[[#This Row],[Country Code]],Table3[[#All],[Country Codes]],Table3[[#All],[Country]],1,TRUE)</f>
        <v>Jordan</v>
      </c>
      <c r="J230" s="15">
        <v>4</v>
      </c>
      <c r="K230" s="15" t="str">
        <f>IF(ClientDB[[#This Row],[Start Date]]&gt;=$U$14,"New","")</f>
        <v/>
      </c>
      <c r="L230" s="15" t="str">
        <f>IF(OR(ClientDB[[#This Row],[Start Year]]&lt;2016,ClientDB[[#This Row],[Events]]&gt;=6),"Gift","")</f>
        <v/>
      </c>
      <c r="M23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30" s="15">
        <v>3</v>
      </c>
      <c r="O230" s="35">
        <f>IF(ClientDB[[#This Row],[Days]]=1,(ClientDB[[#This Row],[Days]]*$V$7),IF(ClientDB[[#This Row],[Days]]&gt;1,(ClientDB[[#This Row],[Days]]*$V$8),""))</f>
        <v>900</v>
      </c>
      <c r="P23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30" s="15" t="s">
        <v>902</v>
      </c>
      <c r="R230" s="15" t="str">
        <f>INDEX(Table4[[Regular]:[Special]],MATCH(ClientDB[[#Data],[Country Code]],Table4[[#Data],[Country]],0),MATCH(ClientDB[[#Data],[Meal]],Table4[[#Headers],[Regular]:[Special]],0))</f>
        <v>C</v>
      </c>
    </row>
    <row r="231" spans="1:18" x14ac:dyDescent="0.2">
      <c r="A231" s="10">
        <v>28784</v>
      </c>
      <c r="B231" t="s">
        <v>440</v>
      </c>
      <c r="C231" t="s">
        <v>441</v>
      </c>
      <c r="D231" s="18">
        <v>43095</v>
      </c>
      <c r="E231" s="34">
        <f>YEAR(ClientDB[[#This Row],[Start Date]])</f>
        <v>2017</v>
      </c>
      <c r="F231" t="s">
        <v>813</v>
      </c>
      <c r="G231" t="str">
        <f>VLOOKUP(ClientDB[[#This Row],[Org Code]],Table2[],2,0)</f>
        <v>HeatProof</v>
      </c>
      <c r="H231" s="10" t="s">
        <v>7</v>
      </c>
      <c r="I231" s="10" t="str">
        <f>_xlfn.XLOOKUP(ClientDB[[#This Row],[Country Code]],Table3[[#All],[Country Codes]],Table3[[#All],[Country]],1,TRUE)</f>
        <v>Iran</v>
      </c>
      <c r="J231" s="15">
        <v>6</v>
      </c>
      <c r="K231" s="15" t="str">
        <f>IF(ClientDB[[#This Row],[Start Date]]&gt;=$U$14,"New","")</f>
        <v/>
      </c>
      <c r="L231" s="15" t="str">
        <f>IF(OR(ClientDB[[#This Row],[Start Year]]&lt;2016,ClientDB[[#This Row],[Events]]&gt;=6),"Gift","")</f>
        <v>Gift</v>
      </c>
      <c r="M23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31" s="15">
        <v>3</v>
      </c>
      <c r="O231" s="35">
        <f>IF(ClientDB[[#This Row],[Days]]=1,(ClientDB[[#This Row],[Days]]*$V$7),IF(ClientDB[[#This Row],[Days]]&gt;1,(ClientDB[[#This Row],[Days]]*$V$8),""))</f>
        <v>900</v>
      </c>
      <c r="P23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31" s="15" t="s">
        <v>901</v>
      </c>
      <c r="R231" s="15" t="str">
        <f>INDEX(Table4[[Regular]:[Special]],MATCH(ClientDB[[#Data],[Country Code]],Table4[[#Data],[Country]],0),MATCH(ClientDB[[#Data],[Meal]],Table4[[#Headers],[Regular]:[Special]],0))</f>
        <v>F</v>
      </c>
    </row>
    <row r="232" spans="1:18" x14ac:dyDescent="0.2">
      <c r="A232" s="10">
        <v>28939</v>
      </c>
      <c r="B232" t="s">
        <v>315</v>
      </c>
      <c r="C232" t="s">
        <v>442</v>
      </c>
      <c r="D232" s="18">
        <v>42119</v>
      </c>
      <c r="E232" s="34">
        <f>YEAR(ClientDB[[#This Row],[Start Date]])</f>
        <v>2015</v>
      </c>
      <c r="F232" t="s">
        <v>804</v>
      </c>
      <c r="G232" t="str">
        <f>VLOOKUP(ClientDB[[#This Row],[Org Code]],Table2[],2,0)</f>
        <v>Cyber Data Processing</v>
      </c>
      <c r="H232" s="10" t="s">
        <v>34</v>
      </c>
      <c r="I232" s="10" t="str">
        <f>_xlfn.XLOOKUP(ClientDB[[#This Row],[Country Code]],Table3[[#All],[Country Codes]],Table3[[#All],[Country]],1,TRUE)</f>
        <v>United States</v>
      </c>
      <c r="J232" s="15">
        <v>5</v>
      </c>
      <c r="K232" s="15" t="str">
        <f>IF(ClientDB[[#This Row],[Start Date]]&gt;=$U$14,"New","")</f>
        <v/>
      </c>
      <c r="L232" s="15" t="str">
        <f>IF(OR(ClientDB[[#This Row],[Start Year]]&lt;2016,ClientDB[[#This Row],[Events]]&gt;=6),"Gift","")</f>
        <v>Gift</v>
      </c>
      <c r="M23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32" s="15">
        <v>2</v>
      </c>
      <c r="O232" s="35">
        <f>IF(ClientDB[[#This Row],[Days]]=1,(ClientDB[[#This Row],[Days]]*$V$7),IF(ClientDB[[#This Row],[Days]]&gt;1,(ClientDB[[#This Row],[Days]]*$V$8),""))</f>
        <v>600</v>
      </c>
      <c r="P23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232" s="15" t="s">
        <v>901</v>
      </c>
      <c r="R232" s="15" t="str">
        <f>INDEX(Table4[[Regular]:[Special]],MATCH(ClientDB[[#Data],[Country Code]],Table4[[#Data],[Country]],0),MATCH(ClientDB[[#Data],[Meal]],Table4[[#Headers],[Regular]:[Special]],0))</f>
        <v>G</v>
      </c>
    </row>
    <row r="233" spans="1:18" x14ac:dyDescent="0.2">
      <c r="A233" s="10">
        <v>28943</v>
      </c>
      <c r="B233" t="s">
        <v>758</v>
      </c>
      <c r="C233" t="s">
        <v>289</v>
      </c>
      <c r="D233" s="18">
        <v>43438</v>
      </c>
      <c r="E233" s="34">
        <f>YEAR(ClientDB[[#This Row],[Start Date]])</f>
        <v>2018</v>
      </c>
      <c r="F233" t="s">
        <v>822</v>
      </c>
      <c r="G233" t="str">
        <f>VLOOKUP(ClientDB[[#This Row],[Org Code]],Table2[],2,0)</f>
        <v>PicSure</v>
      </c>
      <c r="H233" s="10" t="s">
        <v>143</v>
      </c>
      <c r="I233" s="10" t="str">
        <f>_xlfn.XLOOKUP(ClientDB[[#This Row],[Country Code]],Table3[[#All],[Country Codes]],Table3[[#All],[Country]],1,TRUE)</f>
        <v>Oman</v>
      </c>
      <c r="J233" s="15">
        <v>1</v>
      </c>
      <c r="K233" s="15" t="str">
        <f>IF(ClientDB[[#This Row],[Start Date]]&gt;=$U$14,"New","")</f>
        <v/>
      </c>
      <c r="L233" s="15" t="str">
        <f>IF(OR(ClientDB[[#This Row],[Start Year]]&lt;2016,ClientDB[[#This Row],[Events]]&gt;=6),"Gift","")</f>
        <v/>
      </c>
      <c r="M23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33" s="15">
        <v>1</v>
      </c>
      <c r="O233" s="35">
        <f>IF(ClientDB[[#This Row],[Days]]=1,(ClientDB[[#This Row],[Days]]*$V$7),IF(ClientDB[[#This Row],[Days]]&gt;1,(ClientDB[[#This Row],[Days]]*$V$8),""))</f>
        <v>350</v>
      </c>
      <c r="P23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33" s="15" t="s">
        <v>899</v>
      </c>
      <c r="R233" s="15" t="str">
        <f>INDEX(Table4[[Regular]:[Special]],MATCH(ClientDB[[#Data],[Country Code]],Table4[[#Data],[Country]],0),MATCH(ClientDB[[#Data],[Meal]],Table4[[#Headers],[Regular]:[Special]],0))</f>
        <v>B</v>
      </c>
    </row>
    <row r="234" spans="1:18" x14ac:dyDescent="0.2">
      <c r="A234" s="10">
        <v>28961</v>
      </c>
      <c r="B234" t="s">
        <v>98</v>
      </c>
      <c r="C234" t="s">
        <v>99</v>
      </c>
      <c r="D234" s="18">
        <v>43036</v>
      </c>
      <c r="E234" s="34">
        <f>YEAR(ClientDB[[#This Row],[Start Date]])</f>
        <v>2017</v>
      </c>
      <c r="F234" t="s">
        <v>817</v>
      </c>
      <c r="G234" t="str">
        <f>VLOOKUP(ClientDB[[#This Row],[Org Code]],Table2[],2,0)</f>
        <v>LACNE</v>
      </c>
      <c r="H234" s="10" t="s">
        <v>34</v>
      </c>
      <c r="I234" s="10" t="str">
        <f>_xlfn.XLOOKUP(ClientDB[[#This Row],[Country Code]],Table3[[#All],[Country Codes]],Table3[[#All],[Country]],1,TRUE)</f>
        <v>United States</v>
      </c>
      <c r="J234" s="15">
        <v>1</v>
      </c>
      <c r="K234" s="15" t="str">
        <f>IF(ClientDB[[#This Row],[Start Date]]&gt;=$U$14,"New","")</f>
        <v/>
      </c>
      <c r="L234" s="15" t="str">
        <f>IF(OR(ClientDB[[#This Row],[Start Year]]&lt;2016,ClientDB[[#This Row],[Events]]&gt;=6),"Gift","")</f>
        <v/>
      </c>
      <c r="M23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34" s="15">
        <v>2</v>
      </c>
      <c r="O234" s="35">
        <f>IF(ClientDB[[#This Row],[Days]]=1,(ClientDB[[#This Row],[Days]]*$V$7),IF(ClientDB[[#This Row],[Days]]&gt;1,(ClientDB[[#This Row],[Days]]*$V$8),""))</f>
        <v>600</v>
      </c>
      <c r="P23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34" s="15" t="s">
        <v>901</v>
      </c>
      <c r="R234" s="15" t="str">
        <f>INDEX(Table4[[Regular]:[Special]],MATCH(ClientDB[[#Data],[Country Code]],Table4[[#Data],[Country]],0),MATCH(ClientDB[[#Data],[Meal]],Table4[[#Headers],[Regular]:[Special]],0))</f>
        <v>G</v>
      </c>
    </row>
    <row r="235" spans="1:18" x14ac:dyDescent="0.2">
      <c r="A235" s="10">
        <v>28965</v>
      </c>
      <c r="B235" t="s">
        <v>366</v>
      </c>
      <c r="C235" t="s">
        <v>367</v>
      </c>
      <c r="D235" s="18">
        <v>42307</v>
      </c>
      <c r="E235" s="34">
        <f>YEAR(ClientDB[[#This Row],[Start Date]])</f>
        <v>2015</v>
      </c>
      <c r="F235" t="s">
        <v>801</v>
      </c>
      <c r="G235" t="str">
        <f>VLOOKUP(ClientDB[[#This Row],[Org Code]],Table2[],2,0)</f>
        <v>Collings University</v>
      </c>
      <c r="H235" s="10" t="s">
        <v>15</v>
      </c>
      <c r="I235" s="10" t="str">
        <f>_xlfn.XLOOKUP(ClientDB[[#This Row],[Country Code]],Table3[[#All],[Country Codes]],Table3[[#All],[Country]],1,TRUE)</f>
        <v>United Kingdom</v>
      </c>
      <c r="J235" s="15">
        <v>5</v>
      </c>
      <c r="K235" s="15" t="str">
        <f>IF(ClientDB[[#This Row],[Start Date]]&gt;=$U$14,"New","")</f>
        <v/>
      </c>
      <c r="L235" s="15" t="str">
        <f>IF(OR(ClientDB[[#This Row],[Start Year]]&lt;2016,ClientDB[[#This Row],[Events]]&gt;=6),"Gift","")</f>
        <v>Gift</v>
      </c>
      <c r="M23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35" s="15">
        <v>3</v>
      </c>
      <c r="O235" s="35">
        <f>IF(ClientDB[[#This Row],[Days]]=1,(ClientDB[[#This Row],[Days]]*$V$7),IF(ClientDB[[#This Row],[Days]]&gt;1,(ClientDB[[#This Row],[Days]]*$V$8),""))</f>
        <v>900</v>
      </c>
      <c r="P23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35" s="15" t="s">
        <v>902</v>
      </c>
      <c r="R235" s="15" t="str">
        <f>INDEX(Table4[[Regular]:[Special]],MATCH(ClientDB[[#Data],[Country Code]],Table4[[#Data],[Country]],0),MATCH(ClientDB[[#Data],[Meal]],Table4[[#Headers],[Regular]:[Special]],0))</f>
        <v>B</v>
      </c>
    </row>
    <row r="236" spans="1:18" x14ac:dyDescent="0.2">
      <c r="A236" s="10">
        <v>29055</v>
      </c>
      <c r="B236" t="s">
        <v>510</v>
      </c>
      <c r="C236" t="s">
        <v>511</v>
      </c>
      <c r="D236" s="18">
        <v>42557</v>
      </c>
      <c r="E236" s="34">
        <f>YEAR(ClientDB[[#This Row],[Start Date]])</f>
        <v>2016</v>
      </c>
      <c r="F236" t="s">
        <v>812</v>
      </c>
      <c r="G236" t="str">
        <f>VLOOKUP(ClientDB[[#This Row],[Org Code]],Table2[],2,0)</f>
        <v>Fzig Fibre</v>
      </c>
      <c r="H236" s="10" t="s">
        <v>124</v>
      </c>
      <c r="I236" s="10" t="str">
        <f>_xlfn.XLOOKUP(ClientDB[[#This Row],[Country Code]],Table3[[#All],[Country Codes]],Table3[[#All],[Country]],1,TRUE)</f>
        <v>Lebanon</v>
      </c>
      <c r="J236" s="15">
        <v>5</v>
      </c>
      <c r="K236" s="15" t="str">
        <f>IF(ClientDB[[#This Row],[Start Date]]&gt;=$U$14,"New","")</f>
        <v/>
      </c>
      <c r="L236" s="15" t="str">
        <f>IF(OR(ClientDB[[#This Row],[Start Year]]&lt;2016,ClientDB[[#This Row],[Events]]&gt;=6),"Gift","")</f>
        <v/>
      </c>
      <c r="M23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36" s="15">
        <v>2</v>
      </c>
      <c r="O236" s="35">
        <f>IF(ClientDB[[#This Row],[Days]]=1,(ClientDB[[#This Row],[Days]]*$V$7),IF(ClientDB[[#This Row],[Days]]&gt;1,(ClientDB[[#This Row],[Days]]*$V$8),""))</f>
        <v>600</v>
      </c>
      <c r="P23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236" s="15" t="s">
        <v>901</v>
      </c>
      <c r="R236" s="15" t="str">
        <f>INDEX(Table4[[Regular]:[Special]],MATCH(ClientDB[[#Data],[Country Code]],Table4[[#Data],[Country]],0),MATCH(ClientDB[[#Data],[Meal]],Table4[[#Headers],[Regular]:[Special]],0))</f>
        <v>F</v>
      </c>
    </row>
    <row r="237" spans="1:18" x14ac:dyDescent="0.2">
      <c r="A237" s="10">
        <v>29101</v>
      </c>
      <c r="B237" t="s">
        <v>738</v>
      </c>
      <c r="C237" t="s">
        <v>739</v>
      </c>
      <c r="D237" s="18">
        <v>43941</v>
      </c>
      <c r="E237" s="34">
        <f>YEAR(ClientDB[[#This Row],[Start Date]])</f>
        <v>2020</v>
      </c>
      <c r="F237" t="s">
        <v>828</v>
      </c>
      <c r="G237" t="str">
        <f>VLOOKUP(ClientDB[[#This Row],[Org Code]],Table2[],2,0)</f>
        <v>Shaw Construction</v>
      </c>
      <c r="H237" s="10" t="s">
        <v>26</v>
      </c>
      <c r="I237" s="10" t="str">
        <f>_xlfn.XLOOKUP(ClientDB[[#This Row],[Country Code]],Table3[[#All],[Country Codes]],Table3[[#All],[Country]],1,TRUE)</f>
        <v>Ukraine</v>
      </c>
      <c r="J237" s="15">
        <v>2</v>
      </c>
      <c r="K237" s="15" t="str">
        <f>IF(ClientDB[[#This Row],[Start Date]]&gt;=$U$14,"New","")</f>
        <v>New</v>
      </c>
      <c r="L237" s="15" t="str">
        <f>IF(OR(ClientDB[[#This Row],[Start Year]]&lt;2016,ClientDB[[#This Row],[Events]]&gt;=6),"Gift","")</f>
        <v/>
      </c>
      <c r="M23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37" s="15">
        <v>2</v>
      </c>
      <c r="O237" s="35">
        <f>IF(ClientDB[[#This Row],[Days]]=1,(ClientDB[[#This Row],[Days]]*$V$7),IF(ClientDB[[#This Row],[Days]]&gt;1,(ClientDB[[#This Row],[Days]]*$V$8),""))</f>
        <v>600</v>
      </c>
      <c r="P23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37" s="15" t="s">
        <v>901</v>
      </c>
      <c r="R237" s="15" t="str">
        <f>INDEX(Table4[[Regular]:[Special]],MATCH(ClientDB[[#Data],[Country Code]],Table4[[#Data],[Country]],0),MATCH(ClientDB[[#Data],[Meal]],Table4[[#Headers],[Regular]:[Special]],0))</f>
        <v>G</v>
      </c>
    </row>
    <row r="238" spans="1:18" x14ac:dyDescent="0.2">
      <c r="A238" s="10">
        <v>29151</v>
      </c>
      <c r="B238" t="s">
        <v>91</v>
      </c>
      <c r="C238" t="s">
        <v>92</v>
      </c>
      <c r="D238" s="18">
        <v>42448</v>
      </c>
      <c r="E238" s="34">
        <f>YEAR(ClientDB[[#This Row],[Start Date]])</f>
        <v>2016</v>
      </c>
      <c r="F238" t="s">
        <v>831</v>
      </c>
      <c r="G238" t="str">
        <f>VLOOKUP(ClientDB[[#This Row],[Org Code]],Table2[],2,0)</f>
        <v>TatSan</v>
      </c>
      <c r="H238" s="10" t="s">
        <v>59</v>
      </c>
      <c r="I238" s="10" t="str">
        <f>_xlfn.XLOOKUP(ClientDB[[#This Row],[Country Code]],Table3[[#All],[Country Codes]],Table3[[#All],[Country]],1,TRUE)</f>
        <v>Netherlands</v>
      </c>
      <c r="J238" s="15">
        <v>12</v>
      </c>
      <c r="K238" s="15" t="str">
        <f>IF(ClientDB[[#This Row],[Start Date]]&gt;=$U$14,"New","")</f>
        <v/>
      </c>
      <c r="L238" s="15" t="str">
        <f>IF(OR(ClientDB[[#This Row],[Start Year]]&lt;2016,ClientDB[[#This Row],[Events]]&gt;=6),"Gift","")</f>
        <v>Gift</v>
      </c>
      <c r="M238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38" s="15">
        <v>1</v>
      </c>
      <c r="O238" s="35">
        <f>IF(ClientDB[[#This Row],[Days]]=1,(ClientDB[[#This Row],[Days]]*$V$7),IF(ClientDB[[#This Row],[Days]]&gt;1,(ClientDB[[#This Row],[Days]]*$V$8),""))</f>
        <v>350</v>
      </c>
      <c r="P23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238" s="15" t="s">
        <v>901</v>
      </c>
      <c r="R238" s="15" t="str">
        <f>INDEX(Table4[[Regular]:[Special]],MATCH(ClientDB[[#Data],[Country Code]],Table4[[#Data],[Country]],0),MATCH(ClientDB[[#Data],[Meal]],Table4[[#Headers],[Regular]:[Special]],0))</f>
        <v>F</v>
      </c>
    </row>
    <row r="239" spans="1:18" x14ac:dyDescent="0.2">
      <c r="A239" s="10">
        <v>29151</v>
      </c>
      <c r="B239" t="s">
        <v>544</v>
      </c>
      <c r="C239" t="s">
        <v>545</v>
      </c>
      <c r="D239" s="18">
        <v>43737</v>
      </c>
      <c r="E239" s="34">
        <f>YEAR(ClientDB[[#This Row],[Start Date]])</f>
        <v>2019</v>
      </c>
      <c r="F239" t="s">
        <v>840</v>
      </c>
      <c r="G239" t="str">
        <f>VLOOKUP(ClientDB[[#This Row],[Org Code]],Table2[],2,0)</f>
        <v>Zim Sales</v>
      </c>
      <c r="H239" s="10" t="s">
        <v>262</v>
      </c>
      <c r="I239" s="10" t="str">
        <f>_xlfn.XLOOKUP(ClientDB[[#This Row],[Country Code]],Table3[[#All],[Country Codes]],Table3[[#All],[Country]],1,TRUE)</f>
        <v>Poland</v>
      </c>
      <c r="J239" s="15">
        <v>3</v>
      </c>
      <c r="K239" s="15" t="str">
        <f>IF(ClientDB[[#This Row],[Start Date]]&gt;=$U$14,"New","")</f>
        <v/>
      </c>
      <c r="L239" s="15" t="str">
        <f>IF(OR(ClientDB[[#This Row],[Start Year]]&lt;2016,ClientDB[[#This Row],[Events]]&gt;=6),"Gift","")</f>
        <v/>
      </c>
      <c r="M23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39" s="15">
        <v>3</v>
      </c>
      <c r="O239" s="35">
        <f>IF(ClientDB[[#This Row],[Days]]=1,(ClientDB[[#This Row],[Days]]*$V$7),IF(ClientDB[[#This Row],[Days]]&gt;1,(ClientDB[[#This Row],[Days]]*$V$8),""))</f>
        <v>900</v>
      </c>
      <c r="P23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39" s="15" t="s">
        <v>901</v>
      </c>
      <c r="R239" s="15" t="str">
        <f>INDEX(Table4[[Regular]:[Special]],MATCH(ClientDB[[#Data],[Country Code]],Table4[[#Data],[Country]],0),MATCH(ClientDB[[#Data],[Meal]],Table4[[#Headers],[Regular]:[Special]],0))</f>
        <v>F</v>
      </c>
    </row>
    <row r="240" spans="1:18" x14ac:dyDescent="0.2">
      <c r="A240" s="10">
        <v>29544</v>
      </c>
      <c r="B240" t="s">
        <v>103</v>
      </c>
      <c r="C240" t="s">
        <v>104</v>
      </c>
      <c r="D240" s="18">
        <v>41447</v>
      </c>
      <c r="E240" s="34">
        <f>YEAR(ClientDB[[#This Row],[Start Date]])</f>
        <v>2013</v>
      </c>
      <c r="F240" t="s">
        <v>823</v>
      </c>
      <c r="G240" t="str">
        <f>VLOOKUP(ClientDB[[#This Row],[Org Code]],Table2[],2,0)</f>
        <v>Pilco Streambank</v>
      </c>
      <c r="H240" s="10" t="s">
        <v>59</v>
      </c>
      <c r="I240" s="10" t="str">
        <f>_xlfn.XLOOKUP(ClientDB[[#This Row],[Country Code]],Table3[[#All],[Country Codes]],Table3[[#All],[Country]],1,TRUE)</f>
        <v>Netherlands</v>
      </c>
      <c r="J240" s="15">
        <v>17</v>
      </c>
      <c r="K240" s="15" t="str">
        <f>IF(ClientDB[[#This Row],[Start Date]]&gt;=$U$14,"New","")</f>
        <v/>
      </c>
      <c r="L240" s="15" t="str">
        <f>IF(OR(ClientDB[[#This Row],[Start Year]]&lt;2016,ClientDB[[#This Row],[Events]]&gt;=6),"Gift","")</f>
        <v>Gift</v>
      </c>
      <c r="M240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40" s="15">
        <v>2</v>
      </c>
      <c r="O240" s="35">
        <f>IF(ClientDB[[#This Row],[Days]]=1,(ClientDB[[#This Row],[Days]]*$V$7),IF(ClientDB[[#This Row],[Days]]&gt;1,(ClientDB[[#This Row],[Days]]*$V$8),""))</f>
        <v>600</v>
      </c>
      <c r="P24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240" s="15" t="s">
        <v>901</v>
      </c>
      <c r="R240" s="15" t="str">
        <f>INDEX(Table4[[Regular]:[Special]],MATCH(ClientDB[[#Data],[Country Code]],Table4[[#Data],[Country]],0),MATCH(ClientDB[[#Data],[Meal]],Table4[[#Headers],[Regular]:[Special]],0))</f>
        <v>F</v>
      </c>
    </row>
    <row r="241" spans="1:18" x14ac:dyDescent="0.2">
      <c r="A241" s="10">
        <v>29564</v>
      </c>
      <c r="B241" t="s">
        <v>72</v>
      </c>
      <c r="C241" t="s">
        <v>73</v>
      </c>
      <c r="D241" s="18">
        <v>43894</v>
      </c>
      <c r="E241" s="34">
        <f>YEAR(ClientDB[[#This Row],[Start Date]])</f>
        <v>2020</v>
      </c>
      <c r="F241" t="s">
        <v>821</v>
      </c>
      <c r="G241" t="str">
        <f>VLOOKUP(ClientDB[[#This Row],[Org Code]],Table2[],2,0)</f>
        <v>Parmis Technologies</v>
      </c>
      <c r="H241" s="10" t="s">
        <v>63</v>
      </c>
      <c r="I241" s="10" t="str">
        <f>_xlfn.XLOOKUP(ClientDB[[#This Row],[Country Code]],Table3[[#All],[Country Codes]],Table3[[#All],[Country]],1,TRUE)</f>
        <v>Armenia</v>
      </c>
      <c r="J241" s="15">
        <v>3</v>
      </c>
      <c r="K241" s="15" t="str">
        <f>IF(ClientDB[[#This Row],[Start Date]]&gt;=$U$14,"New","")</f>
        <v>New</v>
      </c>
      <c r="L241" s="15" t="str">
        <f>IF(OR(ClientDB[[#This Row],[Start Year]]&lt;2016,ClientDB[[#This Row],[Events]]&gt;=6),"Gift","")</f>
        <v/>
      </c>
      <c r="M24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41" s="15">
        <v>2</v>
      </c>
      <c r="O241" s="35">
        <f>IF(ClientDB[[#This Row],[Days]]=1,(ClientDB[[#This Row],[Days]]*$V$7),IF(ClientDB[[#This Row],[Days]]&gt;1,(ClientDB[[#This Row],[Days]]*$V$8),""))</f>
        <v>600</v>
      </c>
      <c r="P24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41" s="15" t="s">
        <v>901</v>
      </c>
      <c r="R241" s="15" t="str">
        <f>INDEX(Table4[[Regular]:[Special]],MATCH(ClientDB[[#Data],[Country Code]],Table4[[#Data],[Country]],0),MATCH(ClientDB[[#Data],[Meal]],Table4[[#Headers],[Regular]:[Special]],0))</f>
        <v>D</v>
      </c>
    </row>
    <row r="242" spans="1:18" x14ac:dyDescent="0.2">
      <c r="A242" s="10">
        <v>29651</v>
      </c>
      <c r="B242" t="s">
        <v>493</v>
      </c>
      <c r="C242" t="s">
        <v>494</v>
      </c>
      <c r="D242" s="18">
        <v>43523</v>
      </c>
      <c r="E242" s="34">
        <f>YEAR(ClientDB[[#This Row],[Start Date]])</f>
        <v>2019</v>
      </c>
      <c r="F242" t="s">
        <v>814</v>
      </c>
      <c r="G242" t="str">
        <f>VLOOKUP(ClientDB[[#This Row],[Org Code]],Table2[],2,0)</f>
        <v>ICANT</v>
      </c>
      <c r="H242" s="10" t="s">
        <v>34</v>
      </c>
      <c r="I242" s="10" t="str">
        <f>_xlfn.XLOOKUP(ClientDB[[#This Row],[Country Code]],Table3[[#All],[Country Codes]],Table3[[#All],[Country]],1,TRUE)</f>
        <v>United States</v>
      </c>
      <c r="J242" s="15">
        <v>3</v>
      </c>
      <c r="K242" s="15" t="str">
        <f>IF(ClientDB[[#This Row],[Start Date]]&gt;=$U$14,"New","")</f>
        <v/>
      </c>
      <c r="L242" s="15" t="str">
        <f>IF(OR(ClientDB[[#This Row],[Start Year]]&lt;2016,ClientDB[[#This Row],[Events]]&gt;=6),"Gift","")</f>
        <v/>
      </c>
      <c r="M24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42" s="15">
        <v>3</v>
      </c>
      <c r="O242" s="35">
        <f>IF(ClientDB[[#This Row],[Days]]=1,(ClientDB[[#This Row],[Days]]*$V$7),IF(ClientDB[[#This Row],[Days]]&gt;1,(ClientDB[[#This Row],[Days]]*$V$8),""))</f>
        <v>900</v>
      </c>
      <c r="P24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42" s="15" t="s">
        <v>901</v>
      </c>
      <c r="R242" s="15" t="str">
        <f>INDEX(Table4[[Regular]:[Special]],MATCH(ClientDB[[#Data],[Country Code]],Table4[[#Data],[Country]],0),MATCH(ClientDB[[#Data],[Meal]],Table4[[#Headers],[Regular]:[Special]],0))</f>
        <v>G</v>
      </c>
    </row>
    <row r="243" spans="1:18" x14ac:dyDescent="0.2">
      <c r="A243" s="10">
        <v>29695</v>
      </c>
      <c r="B243" t="s">
        <v>130</v>
      </c>
      <c r="C243" t="s">
        <v>131</v>
      </c>
      <c r="D243" s="18">
        <v>43013</v>
      </c>
      <c r="E243" s="34">
        <f>YEAR(ClientDB[[#This Row],[Start Date]])</f>
        <v>2017</v>
      </c>
      <c r="F243" t="s">
        <v>806</v>
      </c>
      <c r="G243" t="str">
        <f>VLOOKUP(ClientDB[[#This Row],[Org Code]],Table2[],2,0)</f>
        <v>DENIL</v>
      </c>
      <c r="H243" s="10" t="s">
        <v>26</v>
      </c>
      <c r="I243" s="10" t="str">
        <f>_xlfn.XLOOKUP(ClientDB[[#This Row],[Country Code]],Table3[[#All],[Country Codes]],Table3[[#All],[Country]],1,TRUE)</f>
        <v>Ukraine</v>
      </c>
      <c r="J243" s="15">
        <v>2</v>
      </c>
      <c r="K243" s="15" t="str">
        <f>IF(ClientDB[[#This Row],[Start Date]]&gt;=$U$14,"New","")</f>
        <v/>
      </c>
      <c r="L243" s="15" t="str">
        <f>IF(OR(ClientDB[[#This Row],[Start Year]]&lt;2016,ClientDB[[#This Row],[Events]]&gt;=6),"Gift","")</f>
        <v/>
      </c>
      <c r="M24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43" s="15">
        <v>2</v>
      </c>
      <c r="O243" s="35">
        <f>IF(ClientDB[[#This Row],[Days]]=1,(ClientDB[[#This Row],[Days]]*$V$7),IF(ClientDB[[#This Row],[Days]]&gt;1,(ClientDB[[#This Row],[Days]]*$V$8),""))</f>
        <v>600</v>
      </c>
      <c r="P24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43" s="15" t="s">
        <v>900</v>
      </c>
      <c r="R243" s="15" t="str">
        <f>INDEX(Table4[[Regular]:[Special]],MATCH(ClientDB[[#Data],[Country Code]],Table4[[#Data],[Country]],0),MATCH(ClientDB[[#Data],[Meal]],Table4[[#Headers],[Regular]:[Special]],0))</f>
        <v>C</v>
      </c>
    </row>
    <row r="244" spans="1:18" x14ac:dyDescent="0.2">
      <c r="A244" s="10">
        <v>29717</v>
      </c>
      <c r="B244" t="s">
        <v>361</v>
      </c>
      <c r="C244" t="s">
        <v>362</v>
      </c>
      <c r="D244" s="18">
        <v>43152</v>
      </c>
      <c r="E244" s="34">
        <f>YEAR(ClientDB[[#This Row],[Start Date]])</f>
        <v>2018</v>
      </c>
      <c r="F244" t="s">
        <v>834</v>
      </c>
      <c r="G244" t="str">
        <f>VLOOKUP(ClientDB[[#This Row],[Org Code]],Table2[],2,0)</f>
        <v>Verisize</v>
      </c>
      <c r="H244" s="10" t="s">
        <v>363</v>
      </c>
      <c r="I244" s="10" t="str">
        <f>_xlfn.XLOOKUP(ClientDB[[#This Row],[Country Code]],Table3[[#All],[Country Codes]],Table3[[#All],[Country]],1,TRUE)</f>
        <v>Hong Kong</v>
      </c>
      <c r="J244" s="15">
        <v>7</v>
      </c>
      <c r="K244" s="15" t="str">
        <f>IF(ClientDB[[#This Row],[Start Date]]&gt;=$U$14,"New","")</f>
        <v/>
      </c>
      <c r="L244" s="15" t="str">
        <f>IF(OR(ClientDB[[#This Row],[Start Year]]&lt;2016,ClientDB[[#This Row],[Events]]&gt;=6),"Gift","")</f>
        <v>Gift</v>
      </c>
      <c r="M24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44" s="15">
        <v>1</v>
      </c>
      <c r="O244" s="35">
        <f>IF(ClientDB[[#This Row],[Days]]=1,(ClientDB[[#This Row],[Days]]*$V$7),IF(ClientDB[[#This Row],[Days]]&gt;1,(ClientDB[[#This Row],[Days]]*$V$8),""))</f>
        <v>350</v>
      </c>
      <c r="P24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244" s="15" t="s">
        <v>901</v>
      </c>
      <c r="R244" s="15" t="str">
        <f>INDEX(Table4[[Regular]:[Special]],MATCH(ClientDB[[#Data],[Country Code]],Table4[[#Data],[Country]],0),MATCH(ClientDB[[#Data],[Meal]],Table4[[#Headers],[Regular]:[Special]],0))</f>
        <v>E</v>
      </c>
    </row>
    <row r="245" spans="1:18" x14ac:dyDescent="0.2">
      <c r="A245" s="10">
        <v>29720</v>
      </c>
      <c r="B245" t="s">
        <v>506</v>
      </c>
      <c r="C245" t="s">
        <v>122</v>
      </c>
      <c r="D245" s="18">
        <v>42178</v>
      </c>
      <c r="E245" s="34">
        <f>YEAR(ClientDB[[#This Row],[Start Date]])</f>
        <v>2015</v>
      </c>
      <c r="F245" t="s">
        <v>827</v>
      </c>
      <c r="G245" t="str">
        <f>VLOOKUP(ClientDB[[#This Row],[Org Code]],Table2[],2,0)</f>
        <v>Ripple Com</v>
      </c>
      <c r="H245" s="10" t="s">
        <v>34</v>
      </c>
      <c r="I245" s="10" t="str">
        <f>_xlfn.XLOOKUP(ClientDB[[#This Row],[Country Code]],Table3[[#All],[Country Codes]],Table3[[#All],[Country]],1,TRUE)</f>
        <v>United States</v>
      </c>
      <c r="J245" s="15">
        <v>17</v>
      </c>
      <c r="K245" s="15" t="str">
        <f>IF(ClientDB[[#This Row],[Start Date]]&gt;=$U$14,"New","")</f>
        <v/>
      </c>
      <c r="L245" s="15" t="str">
        <f>IF(OR(ClientDB[[#This Row],[Start Year]]&lt;2016,ClientDB[[#This Row],[Events]]&gt;=6),"Gift","")</f>
        <v>Gift</v>
      </c>
      <c r="M245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45" s="15">
        <v>3</v>
      </c>
      <c r="O245" s="35">
        <f>IF(ClientDB[[#This Row],[Days]]=1,(ClientDB[[#This Row],[Days]]*$V$7),IF(ClientDB[[#This Row],[Days]]&gt;1,(ClientDB[[#This Row],[Days]]*$V$8),""))</f>
        <v>900</v>
      </c>
      <c r="P24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245" s="15" t="s">
        <v>900</v>
      </c>
      <c r="R245" s="15" t="str">
        <f>INDEX(Table4[[Regular]:[Special]],MATCH(ClientDB[[#Data],[Country Code]],Table4[[#Data],[Country]],0),MATCH(ClientDB[[#Data],[Meal]],Table4[[#Headers],[Regular]:[Special]],0))</f>
        <v>F</v>
      </c>
    </row>
    <row r="246" spans="1:18" x14ac:dyDescent="0.2">
      <c r="A246" s="10">
        <v>29731</v>
      </c>
      <c r="B246" t="s">
        <v>550</v>
      </c>
      <c r="C246" t="s">
        <v>551</v>
      </c>
      <c r="D246" s="18">
        <v>43233</v>
      </c>
      <c r="E246" s="34">
        <f>YEAR(ClientDB[[#This Row],[Start Date]])</f>
        <v>2018</v>
      </c>
      <c r="F246" t="s">
        <v>828</v>
      </c>
      <c r="G246" t="str">
        <f>VLOOKUP(ClientDB[[#This Row],[Org Code]],Table2[],2,0)</f>
        <v>Shaw Construction</v>
      </c>
      <c r="H246" s="10" t="s">
        <v>26</v>
      </c>
      <c r="I246" s="10" t="str">
        <f>_xlfn.XLOOKUP(ClientDB[[#This Row],[Country Code]],Table3[[#All],[Country Codes]],Table3[[#All],[Country]],1,TRUE)</f>
        <v>Ukraine</v>
      </c>
      <c r="J246" s="15">
        <v>9</v>
      </c>
      <c r="K246" s="15" t="str">
        <f>IF(ClientDB[[#This Row],[Start Date]]&gt;=$U$14,"New","")</f>
        <v/>
      </c>
      <c r="L246" s="15" t="str">
        <f>IF(OR(ClientDB[[#This Row],[Start Year]]&lt;2016,ClientDB[[#This Row],[Events]]&gt;=6),"Gift","")</f>
        <v>Gift</v>
      </c>
      <c r="M24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46" s="15">
        <v>1</v>
      </c>
      <c r="O246" s="35">
        <f>IF(ClientDB[[#This Row],[Days]]=1,(ClientDB[[#This Row],[Days]]*$V$7),IF(ClientDB[[#This Row],[Days]]&gt;1,(ClientDB[[#This Row],[Days]]*$V$8),""))</f>
        <v>350</v>
      </c>
      <c r="P24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246" s="15" t="s">
        <v>900</v>
      </c>
      <c r="R246" s="15" t="str">
        <f>INDEX(Table4[[Regular]:[Special]],MATCH(ClientDB[[#Data],[Country Code]],Table4[[#Data],[Country]],0),MATCH(ClientDB[[#Data],[Meal]],Table4[[#Headers],[Regular]:[Special]],0))</f>
        <v>C</v>
      </c>
    </row>
    <row r="247" spans="1:18" x14ac:dyDescent="0.2">
      <c r="A247" s="10">
        <v>29823</v>
      </c>
      <c r="B247" t="s">
        <v>538</v>
      </c>
      <c r="C247" t="s">
        <v>539</v>
      </c>
      <c r="D247" s="18">
        <v>43066</v>
      </c>
      <c r="E247" s="34">
        <f>YEAR(ClientDB[[#This Row],[Start Date]])</f>
        <v>2017</v>
      </c>
      <c r="F247" t="s">
        <v>826</v>
      </c>
      <c r="G247" t="str">
        <f>VLOOKUP(ClientDB[[#This Row],[Org Code]],Table2[],2,0)</f>
        <v>Respira Networks</v>
      </c>
      <c r="H247" s="10" t="s">
        <v>396</v>
      </c>
      <c r="I247" s="10" t="str">
        <f>_xlfn.XLOOKUP(ClientDB[[#This Row],[Country Code]],Table3[[#All],[Country Codes]],Table3[[#All],[Country]],1,TRUE)</f>
        <v>Lithuania</v>
      </c>
      <c r="J247" s="15">
        <v>12</v>
      </c>
      <c r="K247" s="15" t="str">
        <f>IF(ClientDB[[#This Row],[Start Date]]&gt;=$U$14,"New","")</f>
        <v/>
      </c>
      <c r="L247" s="15" t="str">
        <f>IF(OR(ClientDB[[#This Row],[Start Year]]&lt;2016,ClientDB[[#This Row],[Events]]&gt;=6),"Gift","")</f>
        <v>Gift</v>
      </c>
      <c r="M247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47" s="15">
        <v>3</v>
      </c>
      <c r="O247" s="35">
        <f>IF(ClientDB[[#This Row],[Days]]=1,(ClientDB[[#This Row],[Days]]*$V$7),IF(ClientDB[[#This Row],[Days]]&gt;1,(ClientDB[[#This Row],[Days]]*$V$8),""))</f>
        <v>900</v>
      </c>
      <c r="P24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247" s="15" t="s">
        <v>901</v>
      </c>
      <c r="R247" s="15" t="str">
        <f>INDEX(Table4[[Regular]:[Special]],MATCH(ClientDB[[#Data],[Country Code]],Table4[[#Data],[Country]],0),MATCH(ClientDB[[#Data],[Meal]],Table4[[#Headers],[Regular]:[Special]],0))</f>
        <v>F</v>
      </c>
    </row>
    <row r="248" spans="1:18" x14ac:dyDescent="0.2">
      <c r="A248" s="10">
        <v>29879</v>
      </c>
      <c r="B248" t="s">
        <v>427</v>
      </c>
      <c r="C248" t="s">
        <v>428</v>
      </c>
      <c r="D248" s="18">
        <v>42099</v>
      </c>
      <c r="E248" s="34">
        <f>YEAR(ClientDB[[#This Row],[Start Date]])</f>
        <v>2015</v>
      </c>
      <c r="F248" t="s">
        <v>812</v>
      </c>
      <c r="G248" t="str">
        <f>VLOOKUP(ClientDB[[#This Row],[Org Code]],Table2[],2,0)</f>
        <v>Fzig Fibre</v>
      </c>
      <c r="H248" s="10" t="s">
        <v>59</v>
      </c>
      <c r="I248" s="10" t="str">
        <f>_xlfn.XLOOKUP(ClientDB[[#This Row],[Country Code]],Table3[[#All],[Country Codes]],Table3[[#All],[Country]],1,TRUE)</f>
        <v>Netherlands</v>
      </c>
      <c r="J248" s="15">
        <v>12</v>
      </c>
      <c r="K248" s="15" t="str">
        <f>IF(ClientDB[[#This Row],[Start Date]]&gt;=$U$14,"New","")</f>
        <v/>
      </c>
      <c r="L248" s="15" t="str">
        <f>IF(OR(ClientDB[[#This Row],[Start Year]]&lt;2016,ClientDB[[#This Row],[Events]]&gt;=6),"Gift","")</f>
        <v>Gift</v>
      </c>
      <c r="M248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48" s="15">
        <v>3</v>
      </c>
      <c r="O248" s="35">
        <f>IF(ClientDB[[#This Row],[Days]]=1,(ClientDB[[#This Row],[Days]]*$V$7),IF(ClientDB[[#This Row],[Days]]&gt;1,(ClientDB[[#This Row],[Days]]*$V$8),""))</f>
        <v>900</v>
      </c>
      <c r="P24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248" s="15" t="s">
        <v>902</v>
      </c>
      <c r="R248" s="15" t="str">
        <f>INDEX(Table4[[Regular]:[Special]],MATCH(ClientDB[[#Data],[Country Code]],Table4[[#Data],[Country]],0),MATCH(ClientDB[[#Data],[Meal]],Table4[[#Headers],[Regular]:[Special]],0))</f>
        <v>C</v>
      </c>
    </row>
    <row r="249" spans="1:18" x14ac:dyDescent="0.2">
      <c r="A249" s="10">
        <v>29924</v>
      </c>
      <c r="B249" t="s">
        <v>125</v>
      </c>
      <c r="C249" t="s">
        <v>126</v>
      </c>
      <c r="D249" s="18">
        <v>42346</v>
      </c>
      <c r="E249" s="34">
        <f>YEAR(ClientDB[[#This Row],[Start Date]])</f>
        <v>2015</v>
      </c>
      <c r="F249" t="s">
        <v>808</v>
      </c>
      <c r="G249" t="str">
        <f>VLOOKUP(ClientDB[[#This Row],[Org Code]],Table2[],2,0)</f>
        <v>Ebony Telecoms</v>
      </c>
      <c r="H249" s="10" t="s">
        <v>34</v>
      </c>
      <c r="I249" s="10" t="str">
        <f>_xlfn.XLOOKUP(ClientDB[[#This Row],[Country Code]],Table3[[#All],[Country Codes]],Table3[[#All],[Country]],1,TRUE)</f>
        <v>United States</v>
      </c>
      <c r="J249" s="15">
        <v>6</v>
      </c>
      <c r="K249" s="15" t="str">
        <f>IF(ClientDB[[#This Row],[Start Date]]&gt;=$U$14,"New","")</f>
        <v/>
      </c>
      <c r="L249" s="15" t="str">
        <f>IF(OR(ClientDB[[#This Row],[Start Year]]&lt;2016,ClientDB[[#This Row],[Events]]&gt;=6),"Gift","")</f>
        <v>Gift</v>
      </c>
      <c r="M24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49" s="15">
        <v>2</v>
      </c>
      <c r="O249" s="35">
        <f>IF(ClientDB[[#This Row],[Days]]=1,(ClientDB[[#This Row],[Days]]*$V$7),IF(ClientDB[[#This Row],[Days]]&gt;1,(ClientDB[[#This Row],[Days]]*$V$8),""))</f>
        <v>600</v>
      </c>
      <c r="P24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249" s="15" t="s">
        <v>902</v>
      </c>
      <c r="R249" s="15" t="str">
        <f>INDEX(Table4[[Regular]:[Special]],MATCH(ClientDB[[#Data],[Country Code]],Table4[[#Data],[Country]],0),MATCH(ClientDB[[#Data],[Meal]],Table4[[#Headers],[Regular]:[Special]],0))</f>
        <v>F</v>
      </c>
    </row>
    <row r="250" spans="1:18" x14ac:dyDescent="0.2">
      <c r="A250" s="10">
        <v>30050</v>
      </c>
      <c r="B250" t="s">
        <v>764</v>
      </c>
      <c r="C250" t="s">
        <v>765</v>
      </c>
      <c r="D250" s="18">
        <v>42112</v>
      </c>
      <c r="E250" s="34">
        <f>YEAR(ClientDB[[#This Row],[Start Date]])</f>
        <v>2015</v>
      </c>
      <c r="F250" t="s">
        <v>824</v>
      </c>
      <c r="G250" t="str">
        <f>VLOOKUP(ClientDB[[#This Row],[Org Code]],Table2[],2,0)</f>
        <v>Pink Cloud Networks</v>
      </c>
      <c r="H250" s="10" t="s">
        <v>155</v>
      </c>
      <c r="I250" s="10" t="str">
        <f>_xlfn.XLOOKUP(ClientDB[[#This Row],[Country Code]],Table3[[#All],[Country Codes]],Table3[[#All],[Country]],1,TRUE)</f>
        <v>United Arab Emirates</v>
      </c>
      <c r="J250" s="15">
        <v>16</v>
      </c>
      <c r="K250" s="15" t="str">
        <f>IF(ClientDB[[#This Row],[Start Date]]&gt;=$U$14,"New","")</f>
        <v/>
      </c>
      <c r="L250" s="15" t="str">
        <f>IF(OR(ClientDB[[#This Row],[Start Year]]&lt;2016,ClientDB[[#This Row],[Events]]&gt;=6),"Gift","")</f>
        <v>Gift</v>
      </c>
      <c r="M250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50" s="15">
        <v>3</v>
      </c>
      <c r="O250" s="35">
        <f>IF(ClientDB[[#This Row],[Days]]=1,(ClientDB[[#This Row],[Days]]*$V$7),IF(ClientDB[[#This Row],[Days]]&gt;1,(ClientDB[[#This Row],[Days]]*$V$8),""))</f>
        <v>900</v>
      </c>
      <c r="P25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250" s="15" t="s">
        <v>901</v>
      </c>
      <c r="R250" s="15" t="str">
        <f>INDEX(Table4[[Regular]:[Special]],MATCH(ClientDB[[#Data],[Country Code]],Table4[[#Data],[Country]],0),MATCH(ClientDB[[#Data],[Meal]],Table4[[#Headers],[Regular]:[Special]],0))</f>
        <v>D</v>
      </c>
    </row>
    <row r="251" spans="1:18" x14ac:dyDescent="0.2">
      <c r="A251" s="10">
        <v>30118</v>
      </c>
      <c r="B251" t="s">
        <v>257</v>
      </c>
      <c r="C251" t="s">
        <v>258</v>
      </c>
      <c r="D251" s="18">
        <v>43607</v>
      </c>
      <c r="E251" s="34">
        <f>YEAR(ClientDB[[#This Row],[Start Date]])</f>
        <v>2019</v>
      </c>
      <c r="F251" t="s">
        <v>830</v>
      </c>
      <c r="G251" t="str">
        <f>VLOOKUP(ClientDB[[#This Row],[Org Code]],Table2[],2,0)</f>
        <v>Steps IT Training</v>
      </c>
      <c r="H251" s="10" t="s">
        <v>15</v>
      </c>
      <c r="I251" s="10" t="str">
        <f>_xlfn.XLOOKUP(ClientDB[[#This Row],[Country Code]],Table3[[#All],[Country Codes]],Table3[[#All],[Country]],1,TRUE)</f>
        <v>United Kingdom</v>
      </c>
      <c r="J251" s="15">
        <v>5</v>
      </c>
      <c r="K251" s="15" t="str">
        <f>IF(ClientDB[[#This Row],[Start Date]]&gt;=$U$14,"New","")</f>
        <v/>
      </c>
      <c r="L251" s="15" t="str">
        <f>IF(OR(ClientDB[[#This Row],[Start Year]]&lt;2016,ClientDB[[#This Row],[Events]]&gt;=6),"Gift","")</f>
        <v/>
      </c>
      <c r="M25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51" s="15">
        <v>2</v>
      </c>
      <c r="O251" s="35">
        <f>IF(ClientDB[[#This Row],[Days]]=1,(ClientDB[[#This Row],[Days]]*$V$7),IF(ClientDB[[#This Row],[Days]]&gt;1,(ClientDB[[#This Row],[Days]]*$V$8),""))</f>
        <v>600</v>
      </c>
      <c r="P25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251" s="15" t="s">
        <v>899</v>
      </c>
      <c r="R251" s="15" t="str">
        <f>INDEX(Table4[[Regular]:[Special]],MATCH(ClientDB[[#Data],[Country Code]],Table4[[#Data],[Country]],0),MATCH(ClientDB[[#Data],[Meal]],Table4[[#Headers],[Regular]:[Special]],0))</f>
        <v>A</v>
      </c>
    </row>
    <row r="252" spans="1:18" x14ac:dyDescent="0.2">
      <c r="A252" s="10">
        <v>30197</v>
      </c>
      <c r="B252" t="s">
        <v>717</v>
      </c>
      <c r="C252" t="s">
        <v>718</v>
      </c>
      <c r="D252" s="18">
        <v>43868</v>
      </c>
      <c r="E252" s="34">
        <f>YEAR(ClientDB[[#This Row],[Start Date]])</f>
        <v>2020</v>
      </c>
      <c r="F252" t="s">
        <v>827</v>
      </c>
      <c r="G252" t="str">
        <f>VLOOKUP(ClientDB[[#This Row],[Org Code]],Table2[],2,0)</f>
        <v>Ripple Com</v>
      </c>
      <c r="H252" s="10" t="s">
        <v>15</v>
      </c>
      <c r="I252" s="10" t="str">
        <f>_xlfn.XLOOKUP(ClientDB[[#This Row],[Country Code]],Table3[[#All],[Country Codes]],Table3[[#All],[Country]],1,TRUE)</f>
        <v>United Kingdom</v>
      </c>
      <c r="J252" s="15">
        <v>2</v>
      </c>
      <c r="K252" s="15" t="str">
        <f>IF(ClientDB[[#This Row],[Start Date]]&gt;=$U$14,"New","")</f>
        <v>New</v>
      </c>
      <c r="L252" s="15" t="str">
        <f>IF(OR(ClientDB[[#This Row],[Start Year]]&lt;2016,ClientDB[[#This Row],[Events]]&gt;=6),"Gift","")</f>
        <v/>
      </c>
      <c r="M25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52" s="15">
        <v>2</v>
      </c>
      <c r="O252" s="35">
        <f>IF(ClientDB[[#This Row],[Days]]=1,(ClientDB[[#This Row],[Days]]*$V$7),IF(ClientDB[[#This Row],[Days]]&gt;1,(ClientDB[[#This Row],[Days]]*$V$8),""))</f>
        <v>600</v>
      </c>
      <c r="P25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52" s="15" t="s">
        <v>900</v>
      </c>
      <c r="R252" s="15" t="str">
        <f>INDEX(Table4[[Regular]:[Special]],MATCH(ClientDB[[#Data],[Country Code]],Table4[[#Data],[Country]],0),MATCH(ClientDB[[#Data],[Meal]],Table4[[#Headers],[Regular]:[Special]],0))</f>
        <v>A</v>
      </c>
    </row>
    <row r="253" spans="1:18" x14ac:dyDescent="0.2">
      <c r="A253" s="10">
        <v>30374</v>
      </c>
      <c r="B253" t="s">
        <v>503</v>
      </c>
      <c r="C253" t="s">
        <v>504</v>
      </c>
      <c r="D253" s="18">
        <v>42163</v>
      </c>
      <c r="E253" s="34">
        <f>YEAR(ClientDB[[#This Row],[Start Date]])</f>
        <v>2015</v>
      </c>
      <c r="F253" t="s">
        <v>829</v>
      </c>
      <c r="G253" t="str">
        <f>VLOOKUP(ClientDB[[#This Row],[Org Code]],Table2[],2,0)</f>
        <v>StepAhead</v>
      </c>
      <c r="H253" s="10" t="s">
        <v>46</v>
      </c>
      <c r="I253" s="10" t="str">
        <f>_xlfn.XLOOKUP(ClientDB[[#This Row],[Country Code]],Table3[[#All],[Country Codes]],Table3[[#All],[Country]],1,TRUE)</f>
        <v>Germany</v>
      </c>
      <c r="J253" s="15">
        <v>12</v>
      </c>
      <c r="K253" s="15" t="str">
        <f>IF(ClientDB[[#This Row],[Start Date]]&gt;=$U$14,"New","")</f>
        <v/>
      </c>
      <c r="L253" s="15" t="str">
        <f>IF(OR(ClientDB[[#This Row],[Start Year]]&lt;2016,ClientDB[[#This Row],[Events]]&gt;=6),"Gift","")</f>
        <v>Gift</v>
      </c>
      <c r="M253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53" s="15">
        <v>1</v>
      </c>
      <c r="O253" s="35">
        <f>IF(ClientDB[[#This Row],[Days]]=1,(ClientDB[[#This Row],[Days]]*$V$7),IF(ClientDB[[#This Row],[Days]]&gt;1,(ClientDB[[#This Row],[Days]]*$V$8),""))</f>
        <v>350</v>
      </c>
      <c r="P25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253" s="15" t="s">
        <v>901</v>
      </c>
      <c r="R253" s="15" t="str">
        <f>INDEX(Table4[[Regular]:[Special]],MATCH(ClientDB[[#Data],[Country Code]],Table4[[#Data],[Country]],0),MATCH(ClientDB[[#Data],[Meal]],Table4[[#Headers],[Regular]:[Special]],0))</f>
        <v>D</v>
      </c>
    </row>
    <row r="254" spans="1:18" x14ac:dyDescent="0.2">
      <c r="A254" s="10">
        <v>30406</v>
      </c>
      <c r="B254" t="s">
        <v>659</v>
      </c>
      <c r="C254" t="s">
        <v>660</v>
      </c>
      <c r="D254" s="18">
        <v>42139</v>
      </c>
      <c r="E254" s="34">
        <f>YEAR(ClientDB[[#This Row],[Start Date]])</f>
        <v>2015</v>
      </c>
      <c r="F254" t="s">
        <v>827</v>
      </c>
      <c r="G254" t="str">
        <f>VLOOKUP(ClientDB[[#This Row],[Org Code]],Table2[],2,0)</f>
        <v>Ripple Com</v>
      </c>
      <c r="H254" s="10" t="s">
        <v>15</v>
      </c>
      <c r="I254" s="10" t="str">
        <f>_xlfn.XLOOKUP(ClientDB[[#This Row],[Country Code]],Table3[[#All],[Country Codes]],Table3[[#All],[Country]],1,TRUE)</f>
        <v>United Kingdom</v>
      </c>
      <c r="J254" s="15">
        <v>9</v>
      </c>
      <c r="K254" s="15" t="str">
        <f>IF(ClientDB[[#This Row],[Start Date]]&gt;=$U$14,"New","")</f>
        <v/>
      </c>
      <c r="L254" s="15" t="str">
        <f>IF(OR(ClientDB[[#This Row],[Start Year]]&lt;2016,ClientDB[[#This Row],[Events]]&gt;=6),"Gift","")</f>
        <v>Gift</v>
      </c>
      <c r="M25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54" s="15">
        <v>3</v>
      </c>
      <c r="O254" s="35">
        <f>IF(ClientDB[[#This Row],[Days]]=1,(ClientDB[[#This Row],[Days]]*$V$7),IF(ClientDB[[#This Row],[Days]]&gt;1,(ClientDB[[#This Row],[Days]]*$V$8),""))</f>
        <v>900</v>
      </c>
      <c r="P25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54" s="15" t="s">
        <v>901</v>
      </c>
      <c r="R254" s="15" t="str">
        <f>INDEX(Table4[[Regular]:[Special]],MATCH(ClientDB[[#Data],[Country Code]],Table4[[#Data],[Country]],0),MATCH(ClientDB[[#Data],[Meal]],Table4[[#Headers],[Regular]:[Special]],0))</f>
        <v>E</v>
      </c>
    </row>
    <row r="255" spans="1:18" x14ac:dyDescent="0.2">
      <c r="A255" s="10">
        <v>30591</v>
      </c>
      <c r="B255" t="s">
        <v>359</v>
      </c>
      <c r="C255" t="s">
        <v>505</v>
      </c>
      <c r="D255" s="18">
        <v>43961</v>
      </c>
      <c r="E255" s="34">
        <f>YEAR(ClientDB[[#This Row],[Start Date]])</f>
        <v>2020</v>
      </c>
      <c r="F255" t="s">
        <v>811</v>
      </c>
      <c r="G255" t="str">
        <f>VLOOKUP(ClientDB[[#This Row],[Org Code]],Table2[],2,0)</f>
        <v>EYN</v>
      </c>
      <c r="H255" s="10" t="s">
        <v>34</v>
      </c>
      <c r="I255" s="10" t="str">
        <f>_xlfn.XLOOKUP(ClientDB[[#This Row],[Country Code]],Table3[[#All],[Country Codes]],Table3[[#All],[Country]],1,TRUE)</f>
        <v>United States</v>
      </c>
      <c r="J255" s="15">
        <v>1</v>
      </c>
      <c r="K255" s="15" t="str">
        <f>IF(ClientDB[[#This Row],[Start Date]]&gt;=$U$14,"New","")</f>
        <v>New</v>
      </c>
      <c r="L255" s="15" t="str">
        <f>IF(OR(ClientDB[[#This Row],[Start Year]]&lt;2016,ClientDB[[#This Row],[Events]]&gt;=6),"Gift","")</f>
        <v/>
      </c>
      <c r="M25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55" s="15">
        <v>3</v>
      </c>
      <c r="O255" s="35">
        <f>IF(ClientDB[[#This Row],[Days]]=1,(ClientDB[[#This Row],[Days]]*$V$7),IF(ClientDB[[#This Row],[Days]]&gt;1,(ClientDB[[#This Row],[Days]]*$V$8),""))</f>
        <v>900</v>
      </c>
      <c r="P25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55" s="15" t="s">
        <v>901</v>
      </c>
      <c r="R255" s="15" t="str">
        <f>INDEX(Table4[[Regular]:[Special]],MATCH(ClientDB[[#Data],[Country Code]],Table4[[#Data],[Country]],0),MATCH(ClientDB[[#Data],[Meal]],Table4[[#Headers],[Regular]:[Special]],0))</f>
        <v>G</v>
      </c>
    </row>
    <row r="256" spans="1:18" x14ac:dyDescent="0.2">
      <c r="A256" s="10">
        <v>30681</v>
      </c>
      <c r="B256" t="s">
        <v>480</v>
      </c>
      <c r="C256" t="s">
        <v>481</v>
      </c>
      <c r="D256" s="18">
        <v>43377</v>
      </c>
      <c r="E256" s="34">
        <f>YEAR(ClientDB[[#This Row],[Start Date]])</f>
        <v>2018</v>
      </c>
      <c r="F256" t="s">
        <v>827</v>
      </c>
      <c r="G256" t="str">
        <f>VLOOKUP(ClientDB[[#This Row],[Org Code]],Table2[],2,0)</f>
        <v>Ripple Com</v>
      </c>
      <c r="H256" s="10" t="s">
        <v>15</v>
      </c>
      <c r="I256" s="10" t="str">
        <f>_xlfn.XLOOKUP(ClientDB[[#This Row],[Country Code]],Table3[[#All],[Country Codes]],Table3[[#All],[Country]],1,TRUE)</f>
        <v>United Kingdom</v>
      </c>
      <c r="J256" s="15">
        <v>10</v>
      </c>
      <c r="K256" s="15" t="str">
        <f>IF(ClientDB[[#This Row],[Start Date]]&gt;=$U$14,"New","")</f>
        <v/>
      </c>
      <c r="L256" s="15" t="str">
        <f>IF(OR(ClientDB[[#This Row],[Start Year]]&lt;2016,ClientDB[[#This Row],[Events]]&gt;=6),"Gift","")</f>
        <v>Gift</v>
      </c>
      <c r="M256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56" s="15">
        <v>3</v>
      </c>
      <c r="O256" s="35">
        <f>IF(ClientDB[[#This Row],[Days]]=1,(ClientDB[[#This Row],[Days]]*$V$7),IF(ClientDB[[#This Row],[Days]]&gt;1,(ClientDB[[#This Row],[Days]]*$V$8),""))</f>
        <v>900</v>
      </c>
      <c r="P25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256" s="15" t="s">
        <v>901</v>
      </c>
      <c r="R256" s="15" t="str">
        <f>INDEX(Table4[[Regular]:[Special]],MATCH(ClientDB[[#Data],[Country Code]],Table4[[#Data],[Country]],0),MATCH(ClientDB[[#Data],[Meal]],Table4[[#Headers],[Regular]:[Special]],0))</f>
        <v>E</v>
      </c>
    </row>
    <row r="257" spans="1:18" x14ac:dyDescent="0.2">
      <c r="A257" s="10">
        <v>30682</v>
      </c>
      <c r="B257" t="s">
        <v>193</v>
      </c>
      <c r="C257" t="s">
        <v>194</v>
      </c>
      <c r="D257" s="18">
        <v>42322</v>
      </c>
      <c r="E257" s="34">
        <f>YEAR(ClientDB[[#This Row],[Start Date]])</f>
        <v>2015</v>
      </c>
      <c r="F257" t="s">
        <v>808</v>
      </c>
      <c r="G257" t="str">
        <f>VLOOKUP(ClientDB[[#This Row],[Org Code]],Table2[],2,0)</f>
        <v>Ebony Telecoms</v>
      </c>
      <c r="H257" s="10" t="s">
        <v>84</v>
      </c>
      <c r="I257" s="10" t="str">
        <f>_xlfn.XLOOKUP(ClientDB[[#This Row],[Country Code]],Table3[[#All],[Country Codes]],Table3[[#All],[Country]],1,TRUE)</f>
        <v>Norway</v>
      </c>
      <c r="J257" s="15">
        <v>17</v>
      </c>
      <c r="K257" s="15" t="str">
        <f>IF(ClientDB[[#This Row],[Start Date]]&gt;=$U$14,"New","")</f>
        <v/>
      </c>
      <c r="L257" s="15" t="str">
        <f>IF(OR(ClientDB[[#This Row],[Start Year]]&lt;2016,ClientDB[[#This Row],[Events]]&gt;=6),"Gift","")</f>
        <v>Gift</v>
      </c>
      <c r="M257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57" s="15">
        <v>2</v>
      </c>
      <c r="O257" s="35">
        <f>IF(ClientDB[[#This Row],[Days]]=1,(ClientDB[[#This Row],[Days]]*$V$7),IF(ClientDB[[#This Row],[Days]]&gt;1,(ClientDB[[#This Row],[Days]]*$V$8),""))</f>
        <v>600</v>
      </c>
      <c r="P25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257" s="15" t="s">
        <v>901</v>
      </c>
      <c r="R257" s="15" t="str">
        <f>INDEX(Table4[[Regular]:[Special]],MATCH(ClientDB[[#Data],[Country Code]],Table4[[#Data],[Country]],0),MATCH(ClientDB[[#Data],[Meal]],Table4[[#Headers],[Regular]:[Special]],0))</f>
        <v>F</v>
      </c>
    </row>
    <row r="258" spans="1:18" x14ac:dyDescent="0.2">
      <c r="A258" s="10">
        <v>30687</v>
      </c>
      <c r="B258" t="s">
        <v>210</v>
      </c>
      <c r="C258" t="s">
        <v>211</v>
      </c>
      <c r="D258" s="18">
        <v>42385</v>
      </c>
      <c r="E258" s="34">
        <f>YEAR(ClientDB[[#This Row],[Start Date]])</f>
        <v>2016</v>
      </c>
      <c r="F258" t="s">
        <v>796</v>
      </c>
      <c r="G258" t="str">
        <f>VLOOKUP(ClientDB[[#This Row],[Org Code]],Table2[],2,0)</f>
        <v>Ares</v>
      </c>
      <c r="H258" s="10" t="s">
        <v>186</v>
      </c>
      <c r="I258" s="10" t="str">
        <f>_xlfn.XLOOKUP(ClientDB[[#This Row],[Country Code]],Table3[[#All],[Country Codes]],Table3[[#All],[Country]],1,TRUE)</f>
        <v>Slovenia</v>
      </c>
      <c r="J258" s="15">
        <v>11</v>
      </c>
      <c r="K258" s="15" t="str">
        <f>IF(ClientDB[[#This Row],[Start Date]]&gt;=$U$14,"New","")</f>
        <v/>
      </c>
      <c r="L258" s="15" t="str">
        <f>IF(OR(ClientDB[[#This Row],[Start Year]]&lt;2016,ClientDB[[#This Row],[Events]]&gt;=6),"Gift","")</f>
        <v>Gift</v>
      </c>
      <c r="M258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58" s="15">
        <v>3</v>
      </c>
      <c r="O258" s="35">
        <f>IF(ClientDB[[#This Row],[Days]]=1,(ClientDB[[#This Row],[Days]]*$V$7),IF(ClientDB[[#This Row],[Days]]&gt;1,(ClientDB[[#This Row],[Days]]*$V$8),""))</f>
        <v>900</v>
      </c>
      <c r="P25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258" s="15" t="s">
        <v>901</v>
      </c>
      <c r="R258" s="15" t="str">
        <f>INDEX(Table4[[Regular]:[Special]],MATCH(ClientDB[[#Data],[Country Code]],Table4[[#Data],[Country]],0),MATCH(ClientDB[[#Data],[Meal]],Table4[[#Headers],[Regular]:[Special]],0))</f>
        <v>G</v>
      </c>
    </row>
    <row r="259" spans="1:18" x14ac:dyDescent="0.2">
      <c r="A259" s="10">
        <v>30741</v>
      </c>
      <c r="B259" t="s">
        <v>135</v>
      </c>
      <c r="C259" t="s">
        <v>599</v>
      </c>
      <c r="D259" s="18">
        <v>43179</v>
      </c>
      <c r="E259" s="34">
        <f>YEAR(ClientDB[[#This Row],[Start Date]])</f>
        <v>2018</v>
      </c>
      <c r="F259" t="s">
        <v>827</v>
      </c>
      <c r="G259" t="str">
        <f>VLOOKUP(ClientDB[[#This Row],[Org Code]],Table2[],2,0)</f>
        <v>Ripple Com</v>
      </c>
      <c r="H259" s="10" t="s">
        <v>15</v>
      </c>
      <c r="I259" s="10" t="str">
        <f>_xlfn.XLOOKUP(ClientDB[[#This Row],[Country Code]],Table3[[#All],[Country Codes]],Table3[[#All],[Country]],1,TRUE)</f>
        <v>United Kingdom</v>
      </c>
      <c r="J259" s="15">
        <v>4</v>
      </c>
      <c r="K259" s="15" t="str">
        <f>IF(ClientDB[[#This Row],[Start Date]]&gt;=$U$14,"New","")</f>
        <v/>
      </c>
      <c r="L259" s="15" t="str">
        <f>IF(OR(ClientDB[[#This Row],[Start Year]]&lt;2016,ClientDB[[#This Row],[Events]]&gt;=6),"Gift","")</f>
        <v/>
      </c>
      <c r="M25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59" s="15">
        <v>2</v>
      </c>
      <c r="O259" s="35">
        <f>IF(ClientDB[[#This Row],[Days]]=1,(ClientDB[[#This Row],[Days]]*$V$7),IF(ClientDB[[#This Row],[Days]]&gt;1,(ClientDB[[#This Row],[Days]]*$V$8),""))</f>
        <v>600</v>
      </c>
      <c r="P25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59" s="15" t="s">
        <v>902</v>
      </c>
      <c r="R259" s="15" t="str">
        <f>INDEX(Table4[[Regular]:[Special]],MATCH(ClientDB[[#Data],[Country Code]],Table4[[#Data],[Country]],0),MATCH(ClientDB[[#Data],[Meal]],Table4[[#Headers],[Regular]:[Special]],0))</f>
        <v>B</v>
      </c>
    </row>
    <row r="260" spans="1:18" x14ac:dyDescent="0.2">
      <c r="A260" s="10">
        <v>30840</v>
      </c>
      <c r="B260" t="s">
        <v>89</v>
      </c>
      <c r="C260" t="s">
        <v>90</v>
      </c>
      <c r="D260" s="18">
        <v>43803</v>
      </c>
      <c r="E260" s="34">
        <f>YEAR(ClientDB[[#This Row],[Start Date]])</f>
        <v>2019</v>
      </c>
      <c r="F260" t="s">
        <v>827</v>
      </c>
      <c r="G260" t="str">
        <f>VLOOKUP(ClientDB[[#This Row],[Org Code]],Table2[],2,0)</f>
        <v>Ripple Com</v>
      </c>
      <c r="H260" s="10" t="s">
        <v>15</v>
      </c>
      <c r="I260" s="10" t="str">
        <f>_xlfn.XLOOKUP(ClientDB[[#This Row],[Country Code]],Table3[[#All],[Country Codes]],Table3[[#All],[Country]],1,TRUE)</f>
        <v>United Kingdom</v>
      </c>
      <c r="J260" s="15">
        <v>3</v>
      </c>
      <c r="K260" s="15" t="str">
        <f>IF(ClientDB[[#This Row],[Start Date]]&gt;=$U$14,"New","")</f>
        <v/>
      </c>
      <c r="L260" s="15" t="str">
        <f>IF(OR(ClientDB[[#This Row],[Start Year]]&lt;2016,ClientDB[[#This Row],[Events]]&gt;=6),"Gift","")</f>
        <v/>
      </c>
      <c r="M26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60" s="15">
        <v>3</v>
      </c>
      <c r="O260" s="35">
        <f>IF(ClientDB[[#This Row],[Days]]=1,(ClientDB[[#This Row],[Days]]*$V$7),IF(ClientDB[[#This Row],[Days]]&gt;1,(ClientDB[[#This Row],[Days]]*$V$8),""))</f>
        <v>900</v>
      </c>
      <c r="P26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60" s="15" t="s">
        <v>902</v>
      </c>
      <c r="R260" s="15" t="str">
        <f>INDEX(Table4[[Regular]:[Special]],MATCH(ClientDB[[#Data],[Country Code]],Table4[[#Data],[Country]],0),MATCH(ClientDB[[#Data],[Meal]],Table4[[#Headers],[Regular]:[Special]],0))</f>
        <v>B</v>
      </c>
    </row>
    <row r="261" spans="1:18" x14ac:dyDescent="0.2">
      <c r="A261" s="10">
        <v>30863</v>
      </c>
      <c r="B261" t="s">
        <v>293</v>
      </c>
      <c r="C261" t="s">
        <v>294</v>
      </c>
      <c r="D261" s="18">
        <v>43430</v>
      </c>
      <c r="E261" s="34">
        <f>YEAR(ClientDB[[#This Row],[Start Date]])</f>
        <v>2018</v>
      </c>
      <c r="F261" t="s">
        <v>818</v>
      </c>
      <c r="G261" t="str">
        <f>VLOOKUP(ClientDB[[#This Row],[Org Code]],Table2[],2,0)</f>
        <v>Mojbal</v>
      </c>
      <c r="H261" s="10" t="s">
        <v>46</v>
      </c>
      <c r="I261" s="10" t="str">
        <f>_xlfn.XLOOKUP(ClientDB[[#This Row],[Country Code]],Table3[[#All],[Country Codes]],Table3[[#All],[Country]],1,TRUE)</f>
        <v>Germany</v>
      </c>
      <c r="J261" s="15">
        <v>2</v>
      </c>
      <c r="K261" s="15" t="str">
        <f>IF(ClientDB[[#This Row],[Start Date]]&gt;=$U$14,"New","")</f>
        <v/>
      </c>
      <c r="L261" s="15" t="str">
        <f>IF(OR(ClientDB[[#This Row],[Start Year]]&lt;2016,ClientDB[[#This Row],[Events]]&gt;=6),"Gift","")</f>
        <v/>
      </c>
      <c r="M26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61" s="15">
        <v>3</v>
      </c>
      <c r="O261" s="35">
        <f>IF(ClientDB[[#This Row],[Days]]=1,(ClientDB[[#This Row],[Days]]*$V$7),IF(ClientDB[[#This Row],[Days]]&gt;1,(ClientDB[[#This Row],[Days]]*$V$8),""))</f>
        <v>900</v>
      </c>
      <c r="P26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61" s="15" t="s">
        <v>900</v>
      </c>
      <c r="R261" s="15" t="str">
        <f>INDEX(Table4[[Regular]:[Special]],MATCH(ClientDB[[#Data],[Country Code]],Table4[[#Data],[Country]],0),MATCH(ClientDB[[#Data],[Meal]],Table4[[#Headers],[Regular]:[Special]],0))</f>
        <v>A</v>
      </c>
    </row>
    <row r="262" spans="1:18" x14ac:dyDescent="0.2">
      <c r="A262" s="10">
        <v>30911</v>
      </c>
      <c r="B262" t="s">
        <v>79</v>
      </c>
      <c r="C262" t="s">
        <v>80</v>
      </c>
      <c r="D262" s="18">
        <v>43829</v>
      </c>
      <c r="E262" s="34">
        <f>YEAR(ClientDB[[#This Row],[Start Date]])</f>
        <v>2019</v>
      </c>
      <c r="F262" t="s">
        <v>826</v>
      </c>
      <c r="G262" t="str">
        <f>VLOOKUP(ClientDB[[#This Row],[Org Code]],Table2[],2,0)</f>
        <v>Respira Networks</v>
      </c>
      <c r="H262" s="10" t="s">
        <v>15</v>
      </c>
      <c r="I262" s="10" t="str">
        <f>_xlfn.XLOOKUP(ClientDB[[#This Row],[Country Code]],Table3[[#All],[Country Codes]],Table3[[#All],[Country]],1,TRUE)</f>
        <v>United Kingdom</v>
      </c>
      <c r="J262" s="15">
        <v>3</v>
      </c>
      <c r="K262" s="15" t="str">
        <f>IF(ClientDB[[#This Row],[Start Date]]&gt;=$U$14,"New","")</f>
        <v/>
      </c>
      <c r="L262" s="15" t="str">
        <f>IF(OR(ClientDB[[#This Row],[Start Year]]&lt;2016,ClientDB[[#This Row],[Events]]&gt;=6),"Gift","")</f>
        <v/>
      </c>
      <c r="M26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62" s="15">
        <v>3</v>
      </c>
      <c r="O262" s="35">
        <f>IF(ClientDB[[#This Row],[Days]]=1,(ClientDB[[#This Row],[Days]]*$V$7),IF(ClientDB[[#This Row],[Days]]&gt;1,(ClientDB[[#This Row],[Days]]*$V$8),""))</f>
        <v>900</v>
      </c>
      <c r="P26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62" s="15" t="s">
        <v>901</v>
      </c>
      <c r="R262" s="15" t="str">
        <f>INDEX(Table4[[Regular]:[Special]],MATCH(ClientDB[[#Data],[Country Code]],Table4[[#Data],[Country]],0),MATCH(ClientDB[[#Data],[Meal]],Table4[[#Headers],[Regular]:[Special]],0))</f>
        <v>E</v>
      </c>
    </row>
    <row r="263" spans="1:18" x14ac:dyDescent="0.2">
      <c r="A263" s="10">
        <v>30978</v>
      </c>
      <c r="B263" t="s">
        <v>380</v>
      </c>
      <c r="C263" t="s">
        <v>381</v>
      </c>
      <c r="D263" s="18">
        <v>43878</v>
      </c>
      <c r="E263" s="34">
        <f>YEAR(ClientDB[[#This Row],[Start Date]])</f>
        <v>2020</v>
      </c>
      <c r="F263" t="s">
        <v>827</v>
      </c>
      <c r="G263" t="str">
        <f>VLOOKUP(ClientDB[[#This Row],[Org Code]],Table2[],2,0)</f>
        <v>Ripple Com</v>
      </c>
      <c r="H263" s="10" t="s">
        <v>34</v>
      </c>
      <c r="I263" s="10" t="str">
        <f>_xlfn.XLOOKUP(ClientDB[[#This Row],[Country Code]],Table3[[#All],[Country Codes]],Table3[[#All],[Country]],1,TRUE)</f>
        <v>United States</v>
      </c>
      <c r="J263" s="15">
        <v>1</v>
      </c>
      <c r="K263" s="15" t="str">
        <f>IF(ClientDB[[#This Row],[Start Date]]&gt;=$U$14,"New","")</f>
        <v>New</v>
      </c>
      <c r="L263" s="15" t="str">
        <f>IF(OR(ClientDB[[#This Row],[Start Year]]&lt;2016,ClientDB[[#This Row],[Events]]&gt;=6),"Gift","")</f>
        <v/>
      </c>
      <c r="M26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63" s="15">
        <v>3</v>
      </c>
      <c r="O263" s="35">
        <f>IF(ClientDB[[#This Row],[Days]]=1,(ClientDB[[#This Row],[Days]]*$V$7),IF(ClientDB[[#This Row],[Days]]&gt;1,(ClientDB[[#This Row],[Days]]*$V$8),""))</f>
        <v>900</v>
      </c>
      <c r="P26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63" s="15" t="s">
        <v>901</v>
      </c>
      <c r="R263" s="15" t="str">
        <f>INDEX(Table4[[Regular]:[Special]],MATCH(ClientDB[[#Data],[Country Code]],Table4[[#Data],[Country]],0),MATCH(ClientDB[[#Data],[Meal]],Table4[[#Headers],[Regular]:[Special]],0))</f>
        <v>G</v>
      </c>
    </row>
    <row r="264" spans="1:18" x14ac:dyDescent="0.2">
      <c r="A264" s="10">
        <v>31071</v>
      </c>
      <c r="B264" t="s">
        <v>752</v>
      </c>
      <c r="C264" t="s">
        <v>753</v>
      </c>
      <c r="D264" s="18">
        <v>43887</v>
      </c>
      <c r="E264" s="34">
        <f>YEAR(ClientDB[[#This Row],[Start Date]])</f>
        <v>2020</v>
      </c>
      <c r="F264" t="s">
        <v>818</v>
      </c>
      <c r="G264" t="str">
        <f>VLOOKUP(ClientDB[[#This Row],[Org Code]],Table2[],2,0)</f>
        <v>Mojbal</v>
      </c>
      <c r="H264" s="10" t="s">
        <v>46</v>
      </c>
      <c r="I264" s="10" t="str">
        <f>_xlfn.XLOOKUP(ClientDB[[#This Row],[Country Code]],Table3[[#All],[Country Codes]],Table3[[#All],[Country]],1,TRUE)</f>
        <v>Germany</v>
      </c>
      <c r="J264" s="15">
        <v>2</v>
      </c>
      <c r="K264" s="15" t="str">
        <f>IF(ClientDB[[#This Row],[Start Date]]&gt;=$U$14,"New","")</f>
        <v>New</v>
      </c>
      <c r="L264" s="15" t="str">
        <f>IF(OR(ClientDB[[#This Row],[Start Year]]&lt;2016,ClientDB[[#This Row],[Events]]&gt;=6),"Gift","")</f>
        <v/>
      </c>
      <c r="M26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64" s="15">
        <v>1</v>
      </c>
      <c r="O264" s="35">
        <f>IF(ClientDB[[#This Row],[Days]]=1,(ClientDB[[#This Row],[Days]]*$V$7),IF(ClientDB[[#This Row],[Days]]&gt;1,(ClientDB[[#This Row],[Days]]*$V$8),""))</f>
        <v>350</v>
      </c>
      <c r="P26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64" s="15" t="s">
        <v>901</v>
      </c>
      <c r="R264" s="15" t="str">
        <f>INDEX(Table4[[Regular]:[Special]],MATCH(ClientDB[[#Data],[Country Code]],Table4[[#Data],[Country]],0),MATCH(ClientDB[[#Data],[Meal]],Table4[[#Headers],[Regular]:[Special]],0))</f>
        <v>D</v>
      </c>
    </row>
    <row r="265" spans="1:18" x14ac:dyDescent="0.2">
      <c r="A265" s="10">
        <v>31145</v>
      </c>
      <c r="B265" t="s">
        <v>556</v>
      </c>
      <c r="C265" t="s">
        <v>458</v>
      </c>
      <c r="D265" s="18">
        <v>43966</v>
      </c>
      <c r="E265" s="34">
        <f>YEAR(ClientDB[[#This Row],[Start Date]])</f>
        <v>2020</v>
      </c>
      <c r="F265" t="s">
        <v>835</v>
      </c>
      <c r="G265" t="str">
        <f>VLOOKUP(ClientDB[[#This Row],[Org Code]],Table2[],2,0)</f>
        <v>West Telco</v>
      </c>
      <c r="H265" s="10" t="s">
        <v>15</v>
      </c>
      <c r="I265" s="10" t="str">
        <f>_xlfn.XLOOKUP(ClientDB[[#This Row],[Country Code]],Table3[[#All],[Country Codes]],Table3[[#All],[Country]],1,TRUE)</f>
        <v>United Kingdom</v>
      </c>
      <c r="J265" s="15">
        <v>1</v>
      </c>
      <c r="K265" s="15" t="str">
        <f>IF(ClientDB[[#This Row],[Start Date]]&gt;=$U$14,"New","")</f>
        <v>New</v>
      </c>
      <c r="L265" s="15" t="str">
        <f>IF(OR(ClientDB[[#This Row],[Start Year]]&lt;2016,ClientDB[[#This Row],[Events]]&gt;=6),"Gift","")</f>
        <v/>
      </c>
      <c r="M26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65" s="15">
        <v>1</v>
      </c>
      <c r="O265" s="35">
        <f>IF(ClientDB[[#This Row],[Days]]=1,(ClientDB[[#This Row],[Days]]*$V$7),IF(ClientDB[[#This Row],[Days]]&gt;1,(ClientDB[[#This Row],[Days]]*$V$8),""))</f>
        <v>350</v>
      </c>
      <c r="P26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65" s="15" t="s">
        <v>900</v>
      </c>
      <c r="R265" s="15" t="str">
        <f>INDEX(Table4[[Regular]:[Special]],MATCH(ClientDB[[#Data],[Country Code]],Table4[[#Data],[Country]],0),MATCH(ClientDB[[#Data],[Meal]],Table4[[#Headers],[Regular]:[Special]],0))</f>
        <v>A</v>
      </c>
    </row>
    <row r="266" spans="1:18" x14ac:dyDescent="0.2">
      <c r="A266" s="10">
        <v>31204</v>
      </c>
      <c r="B266" t="s">
        <v>368</v>
      </c>
      <c r="C266" t="s">
        <v>369</v>
      </c>
      <c r="D266" s="18">
        <v>42533</v>
      </c>
      <c r="E266" s="34">
        <f>YEAR(ClientDB[[#This Row],[Start Date]])</f>
        <v>2016</v>
      </c>
      <c r="F266" t="s">
        <v>807</v>
      </c>
      <c r="G266" t="str">
        <f>VLOOKUP(ClientDB[[#This Row],[Org Code]],Table2[],2,0)</f>
        <v>Duet</v>
      </c>
      <c r="H266" s="10" t="s">
        <v>155</v>
      </c>
      <c r="I266" s="10" t="str">
        <f>_xlfn.XLOOKUP(ClientDB[[#This Row],[Country Code]],Table3[[#All],[Country Codes]],Table3[[#All],[Country]],1,TRUE)</f>
        <v>United Arab Emirates</v>
      </c>
      <c r="J266" s="15">
        <v>20</v>
      </c>
      <c r="K266" s="15" t="str">
        <f>IF(ClientDB[[#This Row],[Start Date]]&gt;=$U$14,"New","")</f>
        <v/>
      </c>
      <c r="L266" s="15" t="str">
        <f>IF(OR(ClientDB[[#This Row],[Start Year]]&lt;2016,ClientDB[[#This Row],[Events]]&gt;=6),"Gift","")</f>
        <v>Gift</v>
      </c>
      <c r="M266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266" s="15">
        <v>2</v>
      </c>
      <c r="O266" s="35">
        <f>IF(ClientDB[[#This Row],[Days]]=1,(ClientDB[[#This Row],[Days]]*$V$7),IF(ClientDB[[#This Row],[Days]]&gt;1,(ClientDB[[#This Row],[Days]]*$V$8),""))</f>
        <v>600</v>
      </c>
      <c r="P26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266" s="15" t="s">
        <v>899</v>
      </c>
      <c r="R266" s="15" t="str">
        <f>INDEX(Table4[[Regular]:[Special]],MATCH(ClientDB[[#Data],[Country Code]],Table4[[#Data],[Country]],0),MATCH(ClientDB[[#Data],[Meal]],Table4[[#Headers],[Regular]:[Special]],0))</f>
        <v>A</v>
      </c>
    </row>
    <row r="267" spans="1:18" x14ac:dyDescent="0.2">
      <c r="A267" s="10">
        <v>31314</v>
      </c>
      <c r="B267" t="s">
        <v>695</v>
      </c>
      <c r="C267" t="s">
        <v>696</v>
      </c>
      <c r="D267" s="18">
        <v>43374</v>
      </c>
      <c r="E267" s="34">
        <f>YEAR(ClientDB[[#This Row],[Start Date]])</f>
        <v>2018</v>
      </c>
      <c r="F267" t="s">
        <v>818</v>
      </c>
      <c r="G267" t="str">
        <f>VLOOKUP(ClientDB[[#This Row],[Org Code]],Table2[],2,0)</f>
        <v>Mojbal</v>
      </c>
      <c r="H267" s="10" t="s">
        <v>34</v>
      </c>
      <c r="I267" s="10" t="str">
        <f>_xlfn.XLOOKUP(ClientDB[[#This Row],[Country Code]],Table3[[#All],[Country Codes]],Table3[[#All],[Country]],1,TRUE)</f>
        <v>United States</v>
      </c>
      <c r="J267" s="15">
        <v>12</v>
      </c>
      <c r="K267" s="15" t="str">
        <f>IF(ClientDB[[#This Row],[Start Date]]&gt;=$U$14,"New","")</f>
        <v/>
      </c>
      <c r="L267" s="15" t="str">
        <f>IF(OR(ClientDB[[#This Row],[Start Year]]&lt;2016,ClientDB[[#This Row],[Events]]&gt;=6),"Gift","")</f>
        <v>Gift</v>
      </c>
      <c r="M267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67" s="15">
        <v>3</v>
      </c>
      <c r="O267" s="35">
        <f>IF(ClientDB[[#This Row],[Days]]=1,(ClientDB[[#This Row],[Days]]*$V$7),IF(ClientDB[[#This Row],[Days]]&gt;1,(ClientDB[[#This Row],[Days]]*$V$8),""))</f>
        <v>900</v>
      </c>
      <c r="P26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267" s="15" t="s">
        <v>901</v>
      </c>
      <c r="R267" s="15" t="str">
        <f>INDEX(Table4[[Regular]:[Special]],MATCH(ClientDB[[#Data],[Country Code]],Table4[[#Data],[Country]],0),MATCH(ClientDB[[#Data],[Meal]],Table4[[#Headers],[Regular]:[Special]],0))</f>
        <v>G</v>
      </c>
    </row>
    <row r="268" spans="1:18" x14ac:dyDescent="0.2">
      <c r="A268" s="10">
        <v>31330</v>
      </c>
      <c r="B268" t="s">
        <v>353</v>
      </c>
      <c r="C268" t="s">
        <v>354</v>
      </c>
      <c r="D268" s="18">
        <v>42732</v>
      </c>
      <c r="E268" s="34">
        <f>YEAR(ClientDB[[#This Row],[Start Date]])</f>
        <v>2016</v>
      </c>
      <c r="F268" t="s">
        <v>802</v>
      </c>
      <c r="G268" t="str">
        <f>VLOOKUP(ClientDB[[#This Row],[Org Code]],Table2[],2,0)</f>
        <v>Colot</v>
      </c>
      <c r="H268" s="10" t="s">
        <v>203</v>
      </c>
      <c r="I268" s="10" t="str">
        <f>_xlfn.XLOOKUP(ClientDB[[#This Row],[Country Code]],Table3[[#All],[Country Codes]],Table3[[#All],[Country]],1,TRUE)</f>
        <v>Uganda</v>
      </c>
      <c r="J268" s="15">
        <v>1</v>
      </c>
      <c r="K268" s="15" t="str">
        <f>IF(ClientDB[[#This Row],[Start Date]]&gt;=$U$14,"New","")</f>
        <v/>
      </c>
      <c r="L268" s="15" t="str">
        <f>IF(OR(ClientDB[[#This Row],[Start Year]]&lt;2016,ClientDB[[#This Row],[Events]]&gt;=6),"Gift","")</f>
        <v/>
      </c>
      <c r="M26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68" s="15">
        <v>3</v>
      </c>
      <c r="O268" s="35">
        <f>IF(ClientDB[[#This Row],[Days]]=1,(ClientDB[[#This Row],[Days]]*$V$7),IF(ClientDB[[#This Row],[Days]]&gt;1,(ClientDB[[#This Row],[Days]]*$V$8),""))</f>
        <v>900</v>
      </c>
      <c r="P26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68" s="15" t="s">
        <v>900</v>
      </c>
      <c r="R268" s="15" t="str">
        <f>INDEX(Table4[[Regular]:[Special]],MATCH(ClientDB[[#Data],[Country Code]],Table4[[#Data],[Country]],0),MATCH(ClientDB[[#Data],[Meal]],Table4[[#Headers],[Regular]:[Special]],0))</f>
        <v>C</v>
      </c>
    </row>
    <row r="269" spans="1:18" x14ac:dyDescent="0.2">
      <c r="A269" s="10">
        <v>31376</v>
      </c>
      <c r="B269" t="s">
        <v>315</v>
      </c>
      <c r="C269" t="s">
        <v>316</v>
      </c>
      <c r="D269" s="18">
        <v>43758</v>
      </c>
      <c r="E269" s="34">
        <f>YEAR(ClientDB[[#This Row],[Start Date]])</f>
        <v>2019</v>
      </c>
      <c r="F269" t="s">
        <v>831</v>
      </c>
      <c r="G269" t="str">
        <f>VLOOKUP(ClientDB[[#This Row],[Org Code]],Table2[],2,0)</f>
        <v>TatSan</v>
      </c>
      <c r="H269" s="10" t="s">
        <v>311</v>
      </c>
      <c r="I269" s="10" t="str">
        <f>_xlfn.XLOOKUP(ClientDB[[#This Row],[Country Code]],Table3[[#All],[Country Codes]],Table3[[#All],[Country]],1,TRUE)</f>
        <v>France</v>
      </c>
      <c r="J269" s="15">
        <v>4</v>
      </c>
      <c r="K269" s="15" t="str">
        <f>IF(ClientDB[[#This Row],[Start Date]]&gt;=$U$14,"New","")</f>
        <v/>
      </c>
      <c r="L269" s="15" t="str">
        <f>IF(OR(ClientDB[[#This Row],[Start Year]]&lt;2016,ClientDB[[#This Row],[Events]]&gt;=6),"Gift","")</f>
        <v/>
      </c>
      <c r="M26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69" s="15">
        <v>3</v>
      </c>
      <c r="O269" s="35">
        <f>IF(ClientDB[[#This Row],[Days]]=1,(ClientDB[[#This Row],[Days]]*$V$7),IF(ClientDB[[#This Row],[Days]]&gt;1,(ClientDB[[#This Row],[Days]]*$V$8),""))</f>
        <v>900</v>
      </c>
      <c r="P26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69" s="15" t="s">
        <v>901</v>
      </c>
      <c r="R269" s="15" t="str">
        <f>INDEX(Table4[[Regular]:[Special]],MATCH(ClientDB[[#Data],[Country Code]],Table4[[#Data],[Country]],0),MATCH(ClientDB[[#Data],[Meal]],Table4[[#Headers],[Regular]:[Special]],0))</f>
        <v>D</v>
      </c>
    </row>
    <row r="270" spans="1:18" x14ac:dyDescent="0.2">
      <c r="A270" s="10">
        <v>31522</v>
      </c>
      <c r="B270" t="s">
        <v>458</v>
      </c>
      <c r="C270" t="s">
        <v>522</v>
      </c>
      <c r="D270" s="18">
        <v>42898</v>
      </c>
      <c r="E270" s="34">
        <f>YEAR(ClientDB[[#This Row],[Start Date]])</f>
        <v>2017</v>
      </c>
      <c r="F270" t="s">
        <v>807</v>
      </c>
      <c r="G270" t="str">
        <f>VLOOKUP(ClientDB[[#This Row],[Org Code]],Table2[],2,0)</f>
        <v>Duet</v>
      </c>
      <c r="H270" s="10" t="s">
        <v>155</v>
      </c>
      <c r="I270" s="10" t="str">
        <f>_xlfn.XLOOKUP(ClientDB[[#This Row],[Country Code]],Table3[[#All],[Country Codes]],Table3[[#All],[Country]],1,TRUE)</f>
        <v>United Arab Emirates</v>
      </c>
      <c r="J270" s="15">
        <v>3</v>
      </c>
      <c r="K270" s="15" t="str">
        <f>IF(ClientDB[[#This Row],[Start Date]]&gt;=$U$14,"New","")</f>
        <v/>
      </c>
      <c r="L270" s="15" t="str">
        <f>IF(OR(ClientDB[[#This Row],[Start Year]]&lt;2016,ClientDB[[#This Row],[Events]]&gt;=6),"Gift","")</f>
        <v/>
      </c>
      <c r="M27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70" s="15">
        <v>3</v>
      </c>
      <c r="O270" s="35">
        <f>IF(ClientDB[[#This Row],[Days]]=1,(ClientDB[[#This Row],[Days]]*$V$7),IF(ClientDB[[#This Row],[Days]]&gt;1,(ClientDB[[#This Row],[Days]]*$V$8),""))</f>
        <v>900</v>
      </c>
      <c r="P27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70" s="15" t="s">
        <v>902</v>
      </c>
      <c r="R270" s="15" t="str">
        <f>INDEX(Table4[[Regular]:[Special]],MATCH(ClientDB[[#Data],[Country Code]],Table4[[#Data],[Country]],0),MATCH(ClientDB[[#Data],[Meal]],Table4[[#Headers],[Regular]:[Special]],0))</f>
        <v>B</v>
      </c>
    </row>
    <row r="271" spans="1:18" x14ac:dyDescent="0.2">
      <c r="A271" s="10">
        <v>31585</v>
      </c>
      <c r="B271" t="s">
        <v>187</v>
      </c>
      <c r="C271" t="s">
        <v>188</v>
      </c>
      <c r="D271" s="18">
        <v>42561</v>
      </c>
      <c r="E271" s="34">
        <f>YEAR(ClientDB[[#This Row],[Start Date]])</f>
        <v>2016</v>
      </c>
      <c r="F271" t="s">
        <v>799</v>
      </c>
      <c r="G271" t="str">
        <f>VLOOKUP(ClientDB[[#This Row],[Org Code]],Table2[],2,0)</f>
        <v>ByteSize</v>
      </c>
      <c r="H271" s="10" t="s">
        <v>38</v>
      </c>
      <c r="I271" s="10" t="str">
        <f>_xlfn.XLOOKUP(ClientDB[[#This Row],[Country Code]],Table3[[#All],[Country Codes]],Table3[[#All],[Country]],1,TRUE)</f>
        <v>Czech Republic</v>
      </c>
      <c r="J271" s="15">
        <v>16</v>
      </c>
      <c r="K271" s="15" t="str">
        <f>IF(ClientDB[[#This Row],[Start Date]]&gt;=$U$14,"New","")</f>
        <v/>
      </c>
      <c r="L271" s="15" t="str">
        <f>IF(OR(ClientDB[[#This Row],[Start Year]]&lt;2016,ClientDB[[#This Row],[Events]]&gt;=6),"Gift","")</f>
        <v>Gift</v>
      </c>
      <c r="M271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71" s="15">
        <v>2</v>
      </c>
      <c r="O271" s="35">
        <f>IF(ClientDB[[#This Row],[Days]]=1,(ClientDB[[#This Row],[Days]]*$V$7),IF(ClientDB[[#This Row],[Days]]&gt;1,(ClientDB[[#This Row],[Days]]*$V$8),""))</f>
        <v>600</v>
      </c>
      <c r="P27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271" s="15" t="s">
        <v>901</v>
      </c>
      <c r="R271" s="15" t="str">
        <f>INDEX(Table4[[Regular]:[Special]],MATCH(ClientDB[[#Data],[Country Code]],Table4[[#Data],[Country]],0),MATCH(ClientDB[[#Data],[Meal]],Table4[[#Headers],[Regular]:[Special]],0))</f>
        <v>D</v>
      </c>
    </row>
    <row r="272" spans="1:18" x14ac:dyDescent="0.2">
      <c r="A272" s="10">
        <v>31657</v>
      </c>
      <c r="B272" t="s">
        <v>147</v>
      </c>
      <c r="C272" t="s">
        <v>148</v>
      </c>
      <c r="D272" s="18">
        <v>42830</v>
      </c>
      <c r="E272" s="34">
        <f>YEAR(ClientDB[[#This Row],[Start Date]])</f>
        <v>2017</v>
      </c>
      <c r="F272" t="s">
        <v>803</v>
      </c>
      <c r="G272" t="str">
        <f>VLOOKUP(ClientDB[[#This Row],[Org Code]],Table2[],2,0)</f>
        <v>CTX</v>
      </c>
      <c r="H272" s="10" t="s">
        <v>11</v>
      </c>
      <c r="I272" s="10" t="str">
        <f>_xlfn.XLOOKUP(ClientDB[[#This Row],[Country Code]],Table3[[#All],[Country Codes]],Table3[[#All],[Country]],1,TRUE)</f>
        <v>Austria</v>
      </c>
      <c r="J272" s="15">
        <v>3</v>
      </c>
      <c r="K272" s="15" t="str">
        <f>IF(ClientDB[[#This Row],[Start Date]]&gt;=$U$14,"New","")</f>
        <v/>
      </c>
      <c r="L272" s="15" t="str">
        <f>IF(OR(ClientDB[[#This Row],[Start Year]]&lt;2016,ClientDB[[#This Row],[Events]]&gt;=6),"Gift","")</f>
        <v/>
      </c>
      <c r="M27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72" s="15">
        <v>2</v>
      </c>
      <c r="O272" s="35">
        <f>IF(ClientDB[[#This Row],[Days]]=1,(ClientDB[[#This Row],[Days]]*$V$7),IF(ClientDB[[#This Row],[Days]]&gt;1,(ClientDB[[#This Row],[Days]]*$V$8),""))</f>
        <v>600</v>
      </c>
      <c r="P27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72" s="15" t="s">
        <v>901</v>
      </c>
      <c r="R272" s="15" t="str">
        <f>INDEX(Table4[[Regular]:[Special]],MATCH(ClientDB[[#Data],[Country Code]],Table4[[#Data],[Country]],0),MATCH(ClientDB[[#Data],[Meal]],Table4[[#Headers],[Regular]:[Special]],0))</f>
        <v>D</v>
      </c>
    </row>
    <row r="273" spans="1:18" x14ac:dyDescent="0.2">
      <c r="A273" s="10">
        <v>31724</v>
      </c>
      <c r="B273" t="s">
        <v>713</v>
      </c>
      <c r="C273" t="s">
        <v>714</v>
      </c>
      <c r="D273" s="18">
        <v>42824</v>
      </c>
      <c r="E273" s="34">
        <f>YEAR(ClientDB[[#This Row],[Start Date]])</f>
        <v>2017</v>
      </c>
      <c r="F273" t="s">
        <v>820</v>
      </c>
      <c r="G273" t="str">
        <f>VLOOKUP(ClientDB[[#This Row],[Org Code]],Table2[],2,0)</f>
        <v>Oglev</v>
      </c>
      <c r="H273" s="10" t="s">
        <v>239</v>
      </c>
      <c r="I273" s="10" t="str">
        <f>_xlfn.XLOOKUP(ClientDB[[#This Row],[Country Code]],Table3[[#All],[Country Codes]],Table3[[#All],[Country]],1,TRUE)</f>
        <v>Switzerland</v>
      </c>
      <c r="J273" s="15">
        <v>2</v>
      </c>
      <c r="K273" s="15" t="str">
        <f>IF(ClientDB[[#This Row],[Start Date]]&gt;=$U$14,"New","")</f>
        <v/>
      </c>
      <c r="L273" s="15" t="str">
        <f>IF(OR(ClientDB[[#This Row],[Start Year]]&lt;2016,ClientDB[[#This Row],[Events]]&gt;=6),"Gift","")</f>
        <v/>
      </c>
      <c r="M27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73" s="15">
        <v>3</v>
      </c>
      <c r="O273" s="35">
        <f>IF(ClientDB[[#This Row],[Days]]=1,(ClientDB[[#This Row],[Days]]*$V$7),IF(ClientDB[[#This Row],[Days]]&gt;1,(ClientDB[[#This Row],[Days]]*$V$8),""))</f>
        <v>900</v>
      </c>
      <c r="P27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73" s="15" t="s">
        <v>901</v>
      </c>
      <c r="R273" s="15" t="str">
        <f>INDEX(Table4[[Regular]:[Special]],MATCH(ClientDB[[#Data],[Country Code]],Table4[[#Data],[Country]],0),MATCH(ClientDB[[#Data],[Meal]],Table4[[#Headers],[Regular]:[Special]],0))</f>
        <v>D</v>
      </c>
    </row>
    <row r="274" spans="1:18" x14ac:dyDescent="0.2">
      <c r="A274" s="10">
        <v>31774</v>
      </c>
      <c r="B274" t="s">
        <v>422</v>
      </c>
      <c r="C274" t="s">
        <v>605</v>
      </c>
      <c r="D274" s="18">
        <v>42302</v>
      </c>
      <c r="E274" s="34">
        <f>YEAR(ClientDB[[#This Row],[Start Date]])</f>
        <v>2015</v>
      </c>
      <c r="F274" t="s">
        <v>827</v>
      </c>
      <c r="G274" t="str">
        <f>VLOOKUP(ClientDB[[#This Row],[Org Code]],Table2[],2,0)</f>
        <v>Ripple Com</v>
      </c>
      <c r="H274" s="10" t="s">
        <v>15</v>
      </c>
      <c r="I274" s="10" t="str">
        <f>_xlfn.XLOOKUP(ClientDB[[#This Row],[Country Code]],Table3[[#All],[Country Codes]],Table3[[#All],[Country]],1,TRUE)</f>
        <v>United Kingdom</v>
      </c>
      <c r="J274" s="15">
        <v>1</v>
      </c>
      <c r="K274" s="15" t="str">
        <f>IF(ClientDB[[#This Row],[Start Date]]&gt;=$U$14,"New","")</f>
        <v/>
      </c>
      <c r="L274" s="15" t="str">
        <f>IF(OR(ClientDB[[#This Row],[Start Year]]&lt;2016,ClientDB[[#This Row],[Events]]&gt;=6),"Gift","")</f>
        <v>Gift</v>
      </c>
      <c r="M27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74" s="15">
        <v>2</v>
      </c>
      <c r="O274" s="35">
        <f>IF(ClientDB[[#This Row],[Days]]=1,(ClientDB[[#This Row],[Days]]*$V$7),IF(ClientDB[[#This Row],[Days]]&gt;1,(ClientDB[[#This Row],[Days]]*$V$8),""))</f>
        <v>600</v>
      </c>
      <c r="P27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74" s="15" t="s">
        <v>901</v>
      </c>
      <c r="R274" s="15" t="str">
        <f>INDEX(Table4[[Regular]:[Special]],MATCH(ClientDB[[#Data],[Country Code]],Table4[[#Data],[Country]],0),MATCH(ClientDB[[#Data],[Meal]],Table4[[#Headers],[Regular]:[Special]],0))</f>
        <v>E</v>
      </c>
    </row>
    <row r="275" spans="1:18" x14ac:dyDescent="0.2">
      <c r="A275" s="10">
        <v>31955</v>
      </c>
      <c r="B275" t="s">
        <v>443</v>
      </c>
      <c r="C275" t="s">
        <v>444</v>
      </c>
      <c r="D275" s="18">
        <v>42465</v>
      </c>
      <c r="E275" s="34">
        <f>YEAR(ClientDB[[#This Row],[Start Date]])</f>
        <v>2016</v>
      </c>
      <c r="F275" t="s">
        <v>798</v>
      </c>
      <c r="G275" t="str">
        <f>VLOOKUP(ClientDB[[#This Row],[Org Code]],Table2[],2,0)</f>
        <v>Axell Group</v>
      </c>
      <c r="H275" s="10" t="s">
        <v>146</v>
      </c>
      <c r="I275" s="10" t="str">
        <f>_xlfn.XLOOKUP(ClientDB[[#This Row],[Country Code]],Table3[[#All],[Country Codes]],Table3[[#All],[Country]],1,TRUE)</f>
        <v>Russia</v>
      </c>
      <c r="J275" s="15">
        <v>9</v>
      </c>
      <c r="K275" s="15" t="str">
        <f>IF(ClientDB[[#This Row],[Start Date]]&gt;=$U$14,"New","")</f>
        <v/>
      </c>
      <c r="L275" s="15" t="str">
        <f>IF(OR(ClientDB[[#This Row],[Start Year]]&lt;2016,ClientDB[[#This Row],[Events]]&gt;=6),"Gift","")</f>
        <v>Gift</v>
      </c>
      <c r="M27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75" s="15">
        <v>3</v>
      </c>
      <c r="O275" s="35">
        <f>IF(ClientDB[[#This Row],[Days]]=1,(ClientDB[[#This Row],[Days]]*$V$7),IF(ClientDB[[#This Row],[Days]]&gt;1,(ClientDB[[#This Row],[Days]]*$V$8),""))</f>
        <v>900</v>
      </c>
      <c r="P27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75" s="15" t="s">
        <v>902</v>
      </c>
      <c r="R275" s="15" t="str">
        <f>INDEX(Table4[[Regular]:[Special]],MATCH(ClientDB[[#Data],[Country Code]],Table4[[#Data],[Country]],0),MATCH(ClientDB[[#Data],[Meal]],Table4[[#Headers],[Regular]:[Special]],0))</f>
        <v>C</v>
      </c>
    </row>
    <row r="276" spans="1:18" x14ac:dyDescent="0.2">
      <c r="A276" s="10">
        <v>31981</v>
      </c>
      <c r="B276" t="s">
        <v>182</v>
      </c>
      <c r="C276" t="s">
        <v>183</v>
      </c>
      <c r="D276" s="18">
        <v>43617</v>
      </c>
      <c r="E276" s="34">
        <f>YEAR(ClientDB[[#This Row],[Start Date]])</f>
        <v>2019</v>
      </c>
      <c r="F276" t="s">
        <v>795</v>
      </c>
      <c r="G276" t="str">
        <f>VLOOKUP(ClientDB[[#This Row],[Org Code]],Table2[],2,0)</f>
        <v>AHA Networks</v>
      </c>
      <c r="H276" s="10" t="s">
        <v>26</v>
      </c>
      <c r="I276" s="10" t="str">
        <f>_xlfn.XLOOKUP(ClientDB[[#This Row],[Country Code]],Table3[[#All],[Country Codes]],Table3[[#All],[Country]],1,TRUE)</f>
        <v>Ukraine</v>
      </c>
      <c r="J276" s="15">
        <v>6</v>
      </c>
      <c r="K276" s="15" t="str">
        <f>IF(ClientDB[[#This Row],[Start Date]]&gt;=$U$14,"New","")</f>
        <v/>
      </c>
      <c r="L276" s="15" t="str">
        <f>IF(OR(ClientDB[[#This Row],[Start Year]]&lt;2016,ClientDB[[#This Row],[Events]]&gt;=6),"Gift","")</f>
        <v>Gift</v>
      </c>
      <c r="M27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76" s="15">
        <v>1</v>
      </c>
      <c r="O276" s="35">
        <f>IF(ClientDB[[#This Row],[Days]]=1,(ClientDB[[#This Row],[Days]]*$V$7),IF(ClientDB[[#This Row],[Days]]&gt;1,(ClientDB[[#This Row],[Days]]*$V$8),""))</f>
        <v>350</v>
      </c>
      <c r="P27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276" s="15" t="s">
        <v>899</v>
      </c>
      <c r="R276" s="15" t="str">
        <f>INDEX(Table4[[Regular]:[Special]],MATCH(ClientDB[[#Data],[Country Code]],Table4[[#Data],[Country]],0),MATCH(ClientDB[[#Data],[Meal]],Table4[[#Headers],[Regular]:[Special]],0))</f>
        <v>B</v>
      </c>
    </row>
    <row r="277" spans="1:18" x14ac:dyDescent="0.2">
      <c r="A277" s="10">
        <v>32133</v>
      </c>
      <c r="B277" t="s">
        <v>300</v>
      </c>
      <c r="C277" t="s">
        <v>301</v>
      </c>
      <c r="D277" s="18">
        <v>42828</v>
      </c>
      <c r="E277" s="34">
        <f>YEAR(ClientDB[[#This Row],[Start Date]])</f>
        <v>2017</v>
      </c>
      <c r="F277" t="s">
        <v>816</v>
      </c>
      <c r="G277" t="str">
        <f>VLOOKUP(ClientDB[[#This Row],[Org Code]],Table2[],2,0)</f>
        <v>IPI Bucharest</v>
      </c>
      <c r="H277" s="10" t="s">
        <v>302</v>
      </c>
      <c r="I277" s="10" t="str">
        <f>_xlfn.XLOOKUP(ClientDB[[#This Row],[Country Code]],Table3[[#All],[Country Codes]],Table3[[#All],[Country]],1,TRUE)</f>
        <v>Kuwait</v>
      </c>
      <c r="J277" s="15">
        <v>1</v>
      </c>
      <c r="K277" s="15" t="str">
        <f>IF(ClientDB[[#This Row],[Start Date]]&gt;=$U$14,"New","")</f>
        <v/>
      </c>
      <c r="L277" s="15" t="str">
        <f>IF(OR(ClientDB[[#This Row],[Start Year]]&lt;2016,ClientDB[[#This Row],[Events]]&gt;=6),"Gift","")</f>
        <v/>
      </c>
      <c r="M27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77" s="15">
        <v>3</v>
      </c>
      <c r="O277" s="35">
        <f>IF(ClientDB[[#This Row],[Days]]=1,(ClientDB[[#This Row],[Days]]*$V$7),IF(ClientDB[[#This Row],[Days]]&gt;1,(ClientDB[[#This Row],[Days]]*$V$8),""))</f>
        <v>900</v>
      </c>
      <c r="P27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77" s="15" t="s">
        <v>901</v>
      </c>
      <c r="R277" s="15" t="str">
        <f>INDEX(Table4[[Regular]:[Special]],MATCH(ClientDB[[#Data],[Country Code]],Table4[[#Data],[Country]],0),MATCH(ClientDB[[#Data],[Meal]],Table4[[#Headers],[Regular]:[Special]],0))</f>
        <v>F</v>
      </c>
    </row>
    <row r="278" spans="1:18" x14ac:dyDescent="0.2">
      <c r="A278" s="10">
        <v>32255</v>
      </c>
      <c r="B278" t="s">
        <v>649</v>
      </c>
      <c r="C278" t="s">
        <v>688</v>
      </c>
      <c r="D278" s="18">
        <v>42608</v>
      </c>
      <c r="E278" s="34">
        <f>YEAR(ClientDB[[#This Row],[Start Date]])</f>
        <v>2016</v>
      </c>
      <c r="F278" t="s">
        <v>812</v>
      </c>
      <c r="G278" t="str">
        <f>VLOOKUP(ClientDB[[#This Row],[Org Code]],Table2[],2,0)</f>
        <v>Fzig Fibre</v>
      </c>
      <c r="H278" s="10" t="s">
        <v>658</v>
      </c>
      <c r="I278" s="10" t="str">
        <f>_xlfn.XLOOKUP(ClientDB[[#This Row],[Country Code]],Table3[[#All],[Country Codes]],Table3[[#All],[Country]],1,TRUE)</f>
        <v>Denmark</v>
      </c>
      <c r="J278" s="15">
        <v>2</v>
      </c>
      <c r="K278" s="15" t="str">
        <f>IF(ClientDB[[#This Row],[Start Date]]&gt;=$U$14,"New","")</f>
        <v/>
      </c>
      <c r="L278" s="15" t="str">
        <f>IF(OR(ClientDB[[#This Row],[Start Year]]&lt;2016,ClientDB[[#This Row],[Events]]&gt;=6),"Gift","")</f>
        <v/>
      </c>
      <c r="M27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78" s="15">
        <v>2</v>
      </c>
      <c r="O278" s="35">
        <f>IF(ClientDB[[#This Row],[Days]]=1,(ClientDB[[#This Row],[Days]]*$V$7),IF(ClientDB[[#This Row],[Days]]&gt;1,(ClientDB[[#This Row],[Days]]*$V$8),""))</f>
        <v>600</v>
      </c>
      <c r="P27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78" s="15" t="s">
        <v>899</v>
      </c>
      <c r="R278" s="15" t="str">
        <f>INDEX(Table4[[Regular]:[Special]],MATCH(ClientDB[[#Data],[Country Code]],Table4[[#Data],[Country]],0),MATCH(ClientDB[[#Data],[Meal]],Table4[[#Headers],[Regular]:[Special]],0))</f>
        <v>A</v>
      </c>
    </row>
    <row r="279" spans="1:18" x14ac:dyDescent="0.2">
      <c r="A279" s="10">
        <v>32407</v>
      </c>
      <c r="B279" t="s">
        <v>476</v>
      </c>
      <c r="C279" t="s">
        <v>477</v>
      </c>
      <c r="D279" s="18">
        <v>43443</v>
      </c>
      <c r="E279" s="34">
        <f>YEAR(ClientDB[[#This Row],[Start Date]])</f>
        <v>2018</v>
      </c>
      <c r="F279" t="s">
        <v>827</v>
      </c>
      <c r="G279" t="str">
        <f>VLOOKUP(ClientDB[[#This Row],[Org Code]],Table2[],2,0)</f>
        <v>Ripple Com</v>
      </c>
      <c r="H279" s="10" t="s">
        <v>15</v>
      </c>
      <c r="I279" s="10" t="str">
        <f>_xlfn.XLOOKUP(ClientDB[[#This Row],[Country Code]],Table3[[#All],[Country Codes]],Table3[[#All],[Country]],1,TRUE)</f>
        <v>United Kingdom</v>
      </c>
      <c r="J279" s="15">
        <v>3</v>
      </c>
      <c r="K279" s="15" t="str">
        <f>IF(ClientDB[[#This Row],[Start Date]]&gt;=$U$14,"New","")</f>
        <v/>
      </c>
      <c r="L279" s="15" t="str">
        <f>IF(OR(ClientDB[[#This Row],[Start Year]]&lt;2016,ClientDB[[#This Row],[Events]]&gt;=6),"Gift","")</f>
        <v/>
      </c>
      <c r="M27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79" s="15">
        <v>1</v>
      </c>
      <c r="O279" s="35">
        <f>IF(ClientDB[[#This Row],[Days]]=1,(ClientDB[[#This Row],[Days]]*$V$7),IF(ClientDB[[#This Row],[Days]]&gt;1,(ClientDB[[#This Row],[Days]]*$V$8),""))</f>
        <v>350</v>
      </c>
      <c r="P27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79" s="15" t="s">
        <v>901</v>
      </c>
      <c r="R279" s="15" t="str">
        <f>INDEX(Table4[[Regular]:[Special]],MATCH(ClientDB[[#Data],[Country Code]],Table4[[#Data],[Country]],0),MATCH(ClientDB[[#Data],[Meal]],Table4[[#Headers],[Regular]:[Special]],0))</f>
        <v>E</v>
      </c>
    </row>
    <row r="280" spans="1:18" x14ac:dyDescent="0.2">
      <c r="A280" s="10">
        <v>32513</v>
      </c>
      <c r="B280" t="s">
        <v>39</v>
      </c>
      <c r="C280" t="s">
        <v>40</v>
      </c>
      <c r="D280" s="18">
        <v>42706</v>
      </c>
      <c r="E280" s="34">
        <f>YEAR(ClientDB[[#This Row],[Start Date]])</f>
        <v>2016</v>
      </c>
      <c r="F280" t="s">
        <v>820</v>
      </c>
      <c r="G280" t="str">
        <f>VLOOKUP(ClientDB[[#This Row],[Org Code]],Table2[],2,0)</f>
        <v>Oglev</v>
      </c>
      <c r="H280" s="10" t="s">
        <v>42</v>
      </c>
      <c r="I280" s="10" t="str">
        <f>_xlfn.XLOOKUP(ClientDB[[#This Row],[Country Code]],Table3[[#All],[Country Codes]],Table3[[#All],[Country]],1,TRUE)</f>
        <v>Slovakia</v>
      </c>
      <c r="J280" s="15">
        <v>19</v>
      </c>
      <c r="K280" s="15" t="str">
        <f>IF(ClientDB[[#This Row],[Start Date]]&gt;=$U$14,"New","")</f>
        <v/>
      </c>
      <c r="L280" s="15" t="str">
        <f>IF(OR(ClientDB[[#This Row],[Start Year]]&lt;2016,ClientDB[[#This Row],[Events]]&gt;=6),"Gift","")</f>
        <v>Gift</v>
      </c>
      <c r="M280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80" s="15">
        <v>3</v>
      </c>
      <c r="O280" s="35">
        <f>IF(ClientDB[[#This Row],[Days]]=1,(ClientDB[[#This Row],[Days]]*$V$7),IF(ClientDB[[#This Row],[Days]]&gt;1,(ClientDB[[#This Row],[Days]]*$V$8),""))</f>
        <v>900</v>
      </c>
      <c r="P28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280" s="15" t="s">
        <v>901</v>
      </c>
      <c r="R280" s="15" t="str">
        <f>INDEX(Table4[[Regular]:[Special]],MATCH(ClientDB[[#Data],[Country Code]],Table4[[#Data],[Country]],0),MATCH(ClientDB[[#Data],[Meal]],Table4[[#Headers],[Regular]:[Special]],0))</f>
        <v>G</v>
      </c>
    </row>
    <row r="281" spans="1:18" x14ac:dyDescent="0.2">
      <c r="A281" s="10">
        <v>32550</v>
      </c>
      <c r="B281" t="s">
        <v>406</v>
      </c>
      <c r="C281" t="s">
        <v>407</v>
      </c>
      <c r="D281" s="18">
        <v>42401</v>
      </c>
      <c r="E281" s="34">
        <f>YEAR(ClientDB[[#This Row],[Start Date]])</f>
        <v>2016</v>
      </c>
      <c r="F281" t="s">
        <v>825</v>
      </c>
      <c r="G281" t="str">
        <f>VLOOKUP(ClientDB[[#This Row],[Org Code]],Table2[],2,0)</f>
        <v>Qinisar</v>
      </c>
      <c r="H281" s="10" t="s">
        <v>15</v>
      </c>
      <c r="I281" s="10" t="str">
        <f>_xlfn.XLOOKUP(ClientDB[[#This Row],[Country Code]],Table3[[#All],[Country Codes]],Table3[[#All],[Country]],1,TRUE)</f>
        <v>United Kingdom</v>
      </c>
      <c r="J281" s="15">
        <v>7</v>
      </c>
      <c r="K281" s="15" t="str">
        <f>IF(ClientDB[[#This Row],[Start Date]]&gt;=$U$14,"New","")</f>
        <v/>
      </c>
      <c r="L281" s="15" t="str">
        <f>IF(OR(ClientDB[[#This Row],[Start Year]]&lt;2016,ClientDB[[#This Row],[Events]]&gt;=6),"Gift","")</f>
        <v>Gift</v>
      </c>
      <c r="M28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81" s="15">
        <v>3</v>
      </c>
      <c r="O281" s="35">
        <f>IF(ClientDB[[#This Row],[Days]]=1,(ClientDB[[#This Row],[Days]]*$V$7),IF(ClientDB[[#This Row],[Days]]&gt;1,(ClientDB[[#This Row],[Days]]*$V$8),""))</f>
        <v>900</v>
      </c>
      <c r="P28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81" s="15" t="s">
        <v>901</v>
      </c>
      <c r="R281" s="15" t="str">
        <f>INDEX(Table4[[Regular]:[Special]],MATCH(ClientDB[[#Data],[Country Code]],Table4[[#Data],[Country]],0),MATCH(ClientDB[[#Data],[Meal]],Table4[[#Headers],[Regular]:[Special]],0))</f>
        <v>E</v>
      </c>
    </row>
    <row r="282" spans="1:18" x14ac:dyDescent="0.2">
      <c r="A282" s="10">
        <v>32699</v>
      </c>
      <c r="B282" t="s">
        <v>597</v>
      </c>
      <c r="C282" t="s">
        <v>598</v>
      </c>
      <c r="D282" s="18">
        <v>43314</v>
      </c>
      <c r="E282" s="34">
        <f>YEAR(ClientDB[[#This Row],[Start Date]])</f>
        <v>2018</v>
      </c>
      <c r="F282" t="s">
        <v>803</v>
      </c>
      <c r="G282" t="str">
        <f>VLOOKUP(ClientDB[[#This Row],[Org Code]],Table2[],2,0)</f>
        <v>CTX</v>
      </c>
      <c r="H282" s="10" t="s">
        <v>163</v>
      </c>
      <c r="I282" s="10" t="str">
        <f>_xlfn.XLOOKUP(ClientDB[[#This Row],[Country Code]],Table3[[#All],[Country Codes]],Table3[[#All],[Country]],1,TRUE)</f>
        <v>Jordan</v>
      </c>
      <c r="J282" s="15">
        <v>3</v>
      </c>
      <c r="K282" s="15" t="str">
        <f>IF(ClientDB[[#This Row],[Start Date]]&gt;=$U$14,"New","")</f>
        <v/>
      </c>
      <c r="L282" s="15" t="str">
        <f>IF(OR(ClientDB[[#This Row],[Start Year]]&lt;2016,ClientDB[[#This Row],[Events]]&gt;=6),"Gift","")</f>
        <v/>
      </c>
      <c r="M28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82" s="15">
        <v>2</v>
      </c>
      <c r="O282" s="35">
        <f>IF(ClientDB[[#This Row],[Days]]=1,(ClientDB[[#This Row],[Days]]*$V$7),IF(ClientDB[[#This Row],[Days]]&gt;1,(ClientDB[[#This Row],[Days]]*$V$8),""))</f>
        <v>600</v>
      </c>
      <c r="P28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82" s="15" t="s">
        <v>901</v>
      </c>
      <c r="R282" s="15" t="str">
        <f>INDEX(Table4[[Regular]:[Special]],MATCH(ClientDB[[#Data],[Country Code]],Table4[[#Data],[Country]],0),MATCH(ClientDB[[#Data],[Meal]],Table4[[#Headers],[Regular]:[Special]],0))</f>
        <v>F</v>
      </c>
    </row>
    <row r="283" spans="1:18" x14ac:dyDescent="0.2">
      <c r="A283" s="10">
        <v>32721</v>
      </c>
      <c r="B283" t="s">
        <v>285</v>
      </c>
      <c r="C283" t="s">
        <v>286</v>
      </c>
      <c r="D283" s="18">
        <v>43268</v>
      </c>
      <c r="E283" s="34">
        <f>YEAR(ClientDB[[#This Row],[Start Date]])</f>
        <v>2018</v>
      </c>
      <c r="F283" t="s">
        <v>798</v>
      </c>
      <c r="G283" t="str">
        <f>VLOOKUP(ClientDB[[#This Row],[Org Code]],Table2[],2,0)</f>
        <v>Axell Group</v>
      </c>
      <c r="H283" s="10" t="s">
        <v>146</v>
      </c>
      <c r="I283" s="10" t="str">
        <f>_xlfn.XLOOKUP(ClientDB[[#This Row],[Country Code]],Table3[[#All],[Country Codes]],Table3[[#All],[Country]],1,TRUE)</f>
        <v>Russia</v>
      </c>
      <c r="J283" s="15">
        <v>11</v>
      </c>
      <c r="K283" s="15" t="str">
        <f>IF(ClientDB[[#This Row],[Start Date]]&gt;=$U$14,"New","")</f>
        <v/>
      </c>
      <c r="L283" s="15" t="str">
        <f>IF(OR(ClientDB[[#This Row],[Start Year]]&lt;2016,ClientDB[[#This Row],[Events]]&gt;=6),"Gift","")</f>
        <v>Gift</v>
      </c>
      <c r="M283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83" s="15">
        <v>1</v>
      </c>
      <c r="O283" s="35">
        <f>IF(ClientDB[[#This Row],[Days]]=1,(ClientDB[[#This Row],[Days]]*$V$7),IF(ClientDB[[#This Row],[Days]]&gt;1,(ClientDB[[#This Row],[Days]]*$V$8),""))</f>
        <v>350</v>
      </c>
      <c r="P28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283" s="15" t="s">
        <v>902</v>
      </c>
      <c r="R283" s="15" t="str">
        <f>INDEX(Table4[[Regular]:[Special]],MATCH(ClientDB[[#Data],[Country Code]],Table4[[#Data],[Country]],0),MATCH(ClientDB[[#Data],[Meal]],Table4[[#Headers],[Regular]:[Special]],0))</f>
        <v>C</v>
      </c>
    </row>
    <row r="284" spans="1:18" x14ac:dyDescent="0.2">
      <c r="A284" s="10">
        <v>32780</v>
      </c>
      <c r="B284" t="s">
        <v>501</v>
      </c>
      <c r="C284" t="s">
        <v>502</v>
      </c>
      <c r="D284" s="18">
        <v>43377</v>
      </c>
      <c r="E284" s="34">
        <f>YEAR(ClientDB[[#This Row],[Start Date]])</f>
        <v>2018</v>
      </c>
      <c r="F284" t="s">
        <v>833</v>
      </c>
      <c r="G284" t="str">
        <f>VLOOKUP(ClientDB[[#This Row],[Org Code]],Table2[],2,0)</f>
        <v>UON</v>
      </c>
      <c r="H284" s="10" t="s">
        <v>46</v>
      </c>
      <c r="I284" s="10" t="str">
        <f>_xlfn.XLOOKUP(ClientDB[[#This Row],[Country Code]],Table3[[#All],[Country Codes]],Table3[[#All],[Country]],1,TRUE)</f>
        <v>Germany</v>
      </c>
      <c r="J284" s="15">
        <v>4</v>
      </c>
      <c r="K284" s="15" t="str">
        <f>IF(ClientDB[[#This Row],[Start Date]]&gt;=$U$14,"New","")</f>
        <v/>
      </c>
      <c r="L284" s="15" t="str">
        <f>IF(OR(ClientDB[[#This Row],[Start Year]]&lt;2016,ClientDB[[#This Row],[Events]]&gt;=6),"Gift","")</f>
        <v/>
      </c>
      <c r="M28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84" s="15">
        <v>2</v>
      </c>
      <c r="O284" s="35">
        <f>IF(ClientDB[[#This Row],[Days]]=1,(ClientDB[[#This Row],[Days]]*$V$7),IF(ClientDB[[#This Row],[Days]]&gt;1,(ClientDB[[#This Row],[Days]]*$V$8),""))</f>
        <v>600</v>
      </c>
      <c r="P28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84" s="15" t="s">
        <v>901</v>
      </c>
      <c r="R284" s="15" t="str">
        <f>INDEX(Table4[[Regular]:[Special]],MATCH(ClientDB[[#Data],[Country Code]],Table4[[#Data],[Country]],0),MATCH(ClientDB[[#Data],[Meal]],Table4[[#Headers],[Regular]:[Special]],0))</f>
        <v>D</v>
      </c>
    </row>
    <row r="285" spans="1:18" x14ac:dyDescent="0.2">
      <c r="A285" s="10">
        <v>32910</v>
      </c>
      <c r="B285" t="s">
        <v>732</v>
      </c>
      <c r="C285" t="s">
        <v>733</v>
      </c>
      <c r="D285" s="18">
        <v>43552</v>
      </c>
      <c r="E285" s="34">
        <f>YEAR(ClientDB[[#This Row],[Start Date]])</f>
        <v>2019</v>
      </c>
      <c r="F285" t="s">
        <v>803</v>
      </c>
      <c r="G285" t="str">
        <f>VLOOKUP(ClientDB[[#This Row],[Org Code]],Table2[],2,0)</f>
        <v>CTX</v>
      </c>
      <c r="H285" s="10" t="s">
        <v>11</v>
      </c>
      <c r="I285" s="10" t="str">
        <f>_xlfn.XLOOKUP(ClientDB[[#This Row],[Country Code]],Table3[[#All],[Country Codes]],Table3[[#All],[Country]],1,TRUE)</f>
        <v>Austria</v>
      </c>
      <c r="J285" s="15">
        <v>8</v>
      </c>
      <c r="K285" s="15" t="str">
        <f>IF(ClientDB[[#This Row],[Start Date]]&gt;=$U$14,"New","")</f>
        <v/>
      </c>
      <c r="L285" s="15" t="str">
        <f>IF(OR(ClientDB[[#This Row],[Start Year]]&lt;2016,ClientDB[[#This Row],[Events]]&gt;=6),"Gift","")</f>
        <v>Gift</v>
      </c>
      <c r="M28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85" s="15">
        <v>2</v>
      </c>
      <c r="O285" s="35">
        <f>IF(ClientDB[[#This Row],[Days]]=1,(ClientDB[[#This Row],[Days]]*$V$7),IF(ClientDB[[#This Row],[Days]]&gt;1,(ClientDB[[#This Row],[Days]]*$V$8),""))</f>
        <v>600</v>
      </c>
      <c r="P28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285" s="15" t="s">
        <v>900</v>
      </c>
      <c r="R285" s="15" t="str">
        <f>INDEX(Table4[[Regular]:[Special]],MATCH(ClientDB[[#Data],[Country Code]],Table4[[#Data],[Country]],0),MATCH(ClientDB[[#Data],[Meal]],Table4[[#Headers],[Regular]:[Special]],0))</f>
        <v>A</v>
      </c>
    </row>
    <row r="286" spans="1:18" x14ac:dyDescent="0.2">
      <c r="A286" s="10">
        <v>32957</v>
      </c>
      <c r="B286" t="s">
        <v>357</v>
      </c>
      <c r="C286" t="s">
        <v>358</v>
      </c>
      <c r="D286" s="18">
        <v>43441</v>
      </c>
      <c r="E286" s="34">
        <f>YEAR(ClientDB[[#This Row],[Start Date]])</f>
        <v>2018</v>
      </c>
      <c r="F286" t="s">
        <v>832</v>
      </c>
      <c r="G286" t="str">
        <f>VLOOKUP(ClientDB[[#This Row],[Org Code]],Table2[],2,0)</f>
        <v>TQ Processes</v>
      </c>
      <c r="H286" s="10" t="s">
        <v>34</v>
      </c>
      <c r="I286" s="10" t="str">
        <f>_xlfn.XLOOKUP(ClientDB[[#This Row],[Country Code]],Table3[[#All],[Country Codes]],Table3[[#All],[Country]],1,TRUE)</f>
        <v>United States</v>
      </c>
      <c r="J286" s="15">
        <v>8</v>
      </c>
      <c r="K286" s="15" t="str">
        <f>IF(ClientDB[[#This Row],[Start Date]]&gt;=$U$14,"New","")</f>
        <v/>
      </c>
      <c r="L286" s="15" t="str">
        <f>IF(OR(ClientDB[[#This Row],[Start Year]]&lt;2016,ClientDB[[#This Row],[Events]]&gt;=6),"Gift","")</f>
        <v>Gift</v>
      </c>
      <c r="M28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86" s="15">
        <v>3</v>
      </c>
      <c r="O286" s="35">
        <f>IF(ClientDB[[#This Row],[Days]]=1,(ClientDB[[#This Row],[Days]]*$V$7),IF(ClientDB[[#This Row],[Days]]&gt;1,(ClientDB[[#This Row],[Days]]*$V$8),""))</f>
        <v>900</v>
      </c>
      <c r="P28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286" s="15" t="s">
        <v>899</v>
      </c>
      <c r="R286" s="15" t="str">
        <f>INDEX(Table4[[Regular]:[Special]],MATCH(ClientDB[[#Data],[Country Code]],Table4[[#Data],[Country]],0),MATCH(ClientDB[[#Data],[Meal]],Table4[[#Headers],[Regular]:[Special]],0))</f>
        <v>F</v>
      </c>
    </row>
    <row r="287" spans="1:18" x14ac:dyDescent="0.2">
      <c r="A287" s="10">
        <v>32987</v>
      </c>
      <c r="B287" t="s">
        <v>334</v>
      </c>
      <c r="C287" t="s">
        <v>335</v>
      </c>
      <c r="D287" s="18">
        <v>42187</v>
      </c>
      <c r="E287" s="34">
        <f>YEAR(ClientDB[[#This Row],[Start Date]])</f>
        <v>2015</v>
      </c>
      <c r="F287" t="s">
        <v>827</v>
      </c>
      <c r="G287" t="str">
        <f>VLOOKUP(ClientDB[[#This Row],[Org Code]],Table2[],2,0)</f>
        <v>Ripple Com</v>
      </c>
      <c r="H287" s="10" t="s">
        <v>15</v>
      </c>
      <c r="I287" s="10" t="str">
        <f>_xlfn.XLOOKUP(ClientDB[[#This Row],[Country Code]],Table3[[#All],[Country Codes]],Table3[[#All],[Country]],1,TRUE)</f>
        <v>United Kingdom</v>
      </c>
      <c r="J287" s="15">
        <v>21</v>
      </c>
      <c r="K287" s="15" t="str">
        <f>IF(ClientDB[[#This Row],[Start Date]]&gt;=$U$14,"New","")</f>
        <v/>
      </c>
      <c r="L287" s="15" t="str">
        <f>IF(OR(ClientDB[[#This Row],[Start Year]]&lt;2016,ClientDB[[#This Row],[Events]]&gt;=6),"Gift","")</f>
        <v>Gift</v>
      </c>
      <c r="M287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287" s="15">
        <v>3</v>
      </c>
      <c r="O287" s="35">
        <f>IF(ClientDB[[#This Row],[Days]]=1,(ClientDB[[#This Row],[Days]]*$V$7),IF(ClientDB[[#This Row],[Days]]&gt;1,(ClientDB[[#This Row],[Days]]*$V$8),""))</f>
        <v>900</v>
      </c>
      <c r="P28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720</v>
      </c>
      <c r="Q287" s="15" t="s">
        <v>902</v>
      </c>
      <c r="R287" s="15" t="str">
        <f>INDEX(Table4[[Regular]:[Special]],MATCH(ClientDB[[#Data],[Country Code]],Table4[[#Data],[Country]],0),MATCH(ClientDB[[#Data],[Meal]],Table4[[#Headers],[Regular]:[Special]],0))</f>
        <v>B</v>
      </c>
    </row>
    <row r="288" spans="1:18" x14ac:dyDescent="0.2">
      <c r="A288" s="10">
        <v>33008</v>
      </c>
      <c r="B288" t="s">
        <v>326</v>
      </c>
      <c r="C288" t="s">
        <v>327</v>
      </c>
      <c r="D288" s="18">
        <v>42875</v>
      </c>
      <c r="E288" s="34">
        <f>YEAR(ClientDB[[#This Row],[Start Date]])</f>
        <v>2017</v>
      </c>
      <c r="F288" t="s">
        <v>836</v>
      </c>
      <c r="G288" t="str">
        <f>VLOOKUP(ClientDB[[#This Row],[Org Code]],Table2[],2,0)</f>
        <v>Wiz Labs</v>
      </c>
      <c r="H288" s="10" t="s">
        <v>7</v>
      </c>
      <c r="I288" s="10" t="str">
        <f>_xlfn.XLOOKUP(ClientDB[[#This Row],[Country Code]],Table3[[#All],[Country Codes]],Table3[[#All],[Country]],1,TRUE)</f>
        <v>Iran</v>
      </c>
      <c r="J288" s="15">
        <v>3</v>
      </c>
      <c r="K288" s="15" t="str">
        <f>IF(ClientDB[[#This Row],[Start Date]]&gt;=$U$14,"New","")</f>
        <v/>
      </c>
      <c r="L288" s="15" t="str">
        <f>IF(OR(ClientDB[[#This Row],[Start Year]]&lt;2016,ClientDB[[#This Row],[Events]]&gt;=6),"Gift","")</f>
        <v/>
      </c>
      <c r="M28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88" s="15">
        <v>3</v>
      </c>
      <c r="O288" s="35">
        <f>IF(ClientDB[[#This Row],[Days]]=1,(ClientDB[[#This Row],[Days]]*$V$7),IF(ClientDB[[#This Row],[Days]]&gt;1,(ClientDB[[#This Row],[Days]]*$V$8),""))</f>
        <v>900</v>
      </c>
      <c r="P28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88" s="15" t="s">
        <v>901</v>
      </c>
      <c r="R288" s="15" t="str">
        <f>INDEX(Table4[[Regular]:[Special]],MATCH(ClientDB[[#Data],[Country Code]],Table4[[#Data],[Country]],0),MATCH(ClientDB[[#Data],[Meal]],Table4[[#Headers],[Regular]:[Special]],0))</f>
        <v>F</v>
      </c>
    </row>
    <row r="289" spans="1:18" x14ac:dyDescent="0.2">
      <c r="A289" s="10">
        <v>33074</v>
      </c>
      <c r="B289" t="s">
        <v>20</v>
      </c>
      <c r="C289" t="s">
        <v>21</v>
      </c>
      <c r="D289" s="18">
        <v>43246</v>
      </c>
      <c r="E289" s="34">
        <f>YEAR(ClientDB[[#This Row],[Start Date]])</f>
        <v>2018</v>
      </c>
      <c r="F289" t="s">
        <v>827</v>
      </c>
      <c r="G289" t="str">
        <f>VLOOKUP(ClientDB[[#This Row],[Org Code]],Table2[],2,0)</f>
        <v>Ripple Com</v>
      </c>
      <c r="H289" s="10" t="s">
        <v>15</v>
      </c>
      <c r="I289" s="10" t="str">
        <f>_xlfn.XLOOKUP(ClientDB[[#This Row],[Country Code]],Table3[[#All],[Country Codes]],Table3[[#All],[Country]],1,TRUE)</f>
        <v>United Kingdom</v>
      </c>
      <c r="J289" s="15">
        <v>4</v>
      </c>
      <c r="K289" s="15" t="str">
        <f>IF(ClientDB[[#This Row],[Start Date]]&gt;=$U$14,"New","")</f>
        <v/>
      </c>
      <c r="L289" s="15" t="str">
        <f>IF(OR(ClientDB[[#This Row],[Start Year]]&lt;2016,ClientDB[[#This Row],[Events]]&gt;=6),"Gift","")</f>
        <v/>
      </c>
      <c r="M28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89" s="15">
        <v>3</v>
      </c>
      <c r="O289" s="35">
        <f>IF(ClientDB[[#This Row],[Days]]=1,(ClientDB[[#This Row],[Days]]*$V$7),IF(ClientDB[[#This Row],[Days]]&gt;1,(ClientDB[[#This Row],[Days]]*$V$8),""))</f>
        <v>900</v>
      </c>
      <c r="P28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89" s="15" t="s">
        <v>899</v>
      </c>
      <c r="R289" s="15" t="str">
        <f>INDEX(Table4[[Regular]:[Special]],MATCH(ClientDB[[#Data],[Country Code]],Table4[[#Data],[Country]],0),MATCH(ClientDB[[#Data],[Meal]],Table4[[#Headers],[Regular]:[Special]],0))</f>
        <v>A</v>
      </c>
    </row>
    <row r="290" spans="1:18" x14ac:dyDescent="0.2">
      <c r="A290" s="10">
        <v>33131</v>
      </c>
      <c r="B290" t="s">
        <v>112</v>
      </c>
      <c r="C290" t="s">
        <v>113</v>
      </c>
      <c r="D290" s="18">
        <v>43240</v>
      </c>
      <c r="E290" s="34">
        <f>YEAR(ClientDB[[#This Row],[Start Date]])</f>
        <v>2018</v>
      </c>
      <c r="F290" t="s">
        <v>822</v>
      </c>
      <c r="G290" t="str">
        <f>VLOOKUP(ClientDB[[#This Row],[Org Code]],Table2[],2,0)</f>
        <v>PicSure</v>
      </c>
      <c r="H290" s="10" t="s">
        <v>59</v>
      </c>
      <c r="I290" s="10" t="str">
        <f>_xlfn.XLOOKUP(ClientDB[[#This Row],[Country Code]],Table3[[#All],[Country Codes]],Table3[[#All],[Country]],1,TRUE)</f>
        <v>Netherlands</v>
      </c>
      <c r="J290" s="15">
        <v>11</v>
      </c>
      <c r="K290" s="15" t="str">
        <f>IF(ClientDB[[#This Row],[Start Date]]&gt;=$U$14,"New","")</f>
        <v/>
      </c>
      <c r="L290" s="15" t="str">
        <f>IF(OR(ClientDB[[#This Row],[Start Year]]&lt;2016,ClientDB[[#This Row],[Events]]&gt;=6),"Gift","")</f>
        <v>Gift</v>
      </c>
      <c r="M290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290" s="15">
        <v>1</v>
      </c>
      <c r="O290" s="35">
        <f>IF(ClientDB[[#This Row],[Days]]=1,(ClientDB[[#This Row],[Days]]*$V$7),IF(ClientDB[[#This Row],[Days]]&gt;1,(ClientDB[[#This Row],[Days]]*$V$8),""))</f>
        <v>350</v>
      </c>
      <c r="P29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290" s="15" t="s">
        <v>899</v>
      </c>
      <c r="R290" s="15" t="str">
        <f>INDEX(Table4[[Regular]:[Special]],MATCH(ClientDB[[#Data],[Country Code]],Table4[[#Data],[Country]],0),MATCH(ClientDB[[#Data],[Meal]],Table4[[#Headers],[Regular]:[Special]],0))</f>
        <v>B</v>
      </c>
    </row>
    <row r="291" spans="1:18" x14ac:dyDescent="0.2">
      <c r="A291" s="10">
        <v>33141</v>
      </c>
      <c r="B291" t="s">
        <v>667</v>
      </c>
      <c r="C291" t="s">
        <v>668</v>
      </c>
      <c r="D291" s="18">
        <v>42495</v>
      </c>
      <c r="E291" s="34">
        <f>YEAR(ClientDB[[#This Row],[Start Date]])</f>
        <v>2016</v>
      </c>
      <c r="F291" t="s">
        <v>830</v>
      </c>
      <c r="G291" t="str">
        <f>VLOOKUP(ClientDB[[#This Row],[Org Code]],Table2[],2,0)</f>
        <v>Steps IT Training</v>
      </c>
      <c r="H291" s="10" t="s">
        <v>565</v>
      </c>
      <c r="I291" s="10" t="str">
        <f>_xlfn.XLOOKUP(ClientDB[[#This Row],[Country Code]],Table3[[#All],[Country Codes]],Table3[[#All],[Country]],1,TRUE)</f>
        <v>Syria</v>
      </c>
      <c r="J291" s="15">
        <v>7</v>
      </c>
      <c r="K291" s="15" t="str">
        <f>IF(ClientDB[[#This Row],[Start Date]]&gt;=$U$14,"New","")</f>
        <v/>
      </c>
      <c r="L291" s="15" t="str">
        <f>IF(OR(ClientDB[[#This Row],[Start Year]]&lt;2016,ClientDB[[#This Row],[Events]]&gt;=6),"Gift","")</f>
        <v>Gift</v>
      </c>
      <c r="M29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91" s="15">
        <v>1</v>
      </c>
      <c r="O291" s="35">
        <f>IF(ClientDB[[#This Row],[Days]]=1,(ClientDB[[#This Row],[Days]]*$V$7),IF(ClientDB[[#This Row],[Days]]&gt;1,(ClientDB[[#This Row],[Days]]*$V$8),""))</f>
        <v>350</v>
      </c>
      <c r="P29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291" s="15" t="s">
        <v>901</v>
      </c>
      <c r="R291" s="15" t="str">
        <f>INDEX(Table4[[Regular]:[Special]],MATCH(ClientDB[[#Data],[Country Code]],Table4[[#Data],[Country]],0),MATCH(ClientDB[[#Data],[Meal]],Table4[[#Headers],[Regular]:[Special]],0))</f>
        <v>G</v>
      </c>
    </row>
    <row r="292" spans="1:18" x14ac:dyDescent="0.2">
      <c r="A292" s="10">
        <v>33466</v>
      </c>
      <c r="B292" t="s">
        <v>16</v>
      </c>
      <c r="C292" t="s">
        <v>17</v>
      </c>
      <c r="D292" s="18">
        <v>43362</v>
      </c>
      <c r="E292" s="34">
        <f>YEAR(ClientDB[[#This Row],[Start Date]])</f>
        <v>2018</v>
      </c>
      <c r="F292" t="s">
        <v>814</v>
      </c>
      <c r="G292" t="str">
        <f>VLOOKUP(ClientDB[[#This Row],[Org Code]],Table2[],2,0)</f>
        <v>ICANT</v>
      </c>
      <c r="H292" s="10" t="s">
        <v>19</v>
      </c>
      <c r="I292" s="10" t="str">
        <f>_xlfn.XLOOKUP(ClientDB[[#This Row],[Country Code]],Table3[[#All],[Country Codes]],Table3[[#All],[Country]],1,TRUE)</f>
        <v>Japan</v>
      </c>
      <c r="J292" s="15">
        <v>2</v>
      </c>
      <c r="K292" s="15" t="str">
        <f>IF(ClientDB[[#This Row],[Start Date]]&gt;=$U$14,"New","")</f>
        <v/>
      </c>
      <c r="L292" s="15" t="str">
        <f>IF(OR(ClientDB[[#This Row],[Start Year]]&lt;2016,ClientDB[[#This Row],[Events]]&gt;=6),"Gift","")</f>
        <v/>
      </c>
      <c r="M29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92" s="15">
        <v>2</v>
      </c>
      <c r="O292" s="35">
        <f>IF(ClientDB[[#This Row],[Days]]=1,(ClientDB[[#This Row],[Days]]*$V$7),IF(ClientDB[[#This Row],[Days]]&gt;1,(ClientDB[[#This Row],[Days]]*$V$8),""))</f>
        <v>600</v>
      </c>
      <c r="P29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92" s="15" t="s">
        <v>900</v>
      </c>
      <c r="R292" s="15" t="str">
        <f>INDEX(Table4[[Regular]:[Special]],MATCH(ClientDB[[#Data],[Country Code]],Table4[[#Data],[Country]],0),MATCH(ClientDB[[#Data],[Meal]],Table4[[#Headers],[Regular]:[Special]],0))</f>
        <v>C</v>
      </c>
    </row>
    <row r="293" spans="1:18" x14ac:dyDescent="0.2">
      <c r="A293" s="10">
        <v>33526</v>
      </c>
      <c r="B293" t="s">
        <v>736</v>
      </c>
      <c r="C293" t="s">
        <v>737</v>
      </c>
      <c r="D293" s="18">
        <v>44003</v>
      </c>
      <c r="E293" s="34">
        <f>YEAR(ClientDB[[#This Row],[Start Date]])</f>
        <v>2020</v>
      </c>
      <c r="F293" t="s">
        <v>824</v>
      </c>
      <c r="G293" t="str">
        <f>VLOOKUP(ClientDB[[#This Row],[Org Code]],Table2[],2,0)</f>
        <v>Pink Cloud Networks</v>
      </c>
      <c r="H293" s="10" t="s">
        <v>163</v>
      </c>
      <c r="I293" s="10" t="str">
        <f>_xlfn.XLOOKUP(ClientDB[[#This Row],[Country Code]],Table3[[#All],[Country Codes]],Table3[[#All],[Country]],1,TRUE)</f>
        <v>Jordan</v>
      </c>
      <c r="J293" s="15">
        <v>1</v>
      </c>
      <c r="K293" s="15" t="str">
        <f>IF(ClientDB[[#This Row],[Start Date]]&gt;=$U$14,"New","")</f>
        <v>New</v>
      </c>
      <c r="L293" s="15" t="str">
        <f>IF(OR(ClientDB[[#This Row],[Start Year]]&lt;2016,ClientDB[[#This Row],[Events]]&gt;=6),"Gift","")</f>
        <v/>
      </c>
      <c r="M29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93" s="15">
        <v>3</v>
      </c>
      <c r="O293" s="35">
        <f>IF(ClientDB[[#This Row],[Days]]=1,(ClientDB[[#This Row],[Days]]*$V$7),IF(ClientDB[[#This Row],[Days]]&gt;1,(ClientDB[[#This Row],[Days]]*$V$8),""))</f>
        <v>900</v>
      </c>
      <c r="P29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293" s="15" t="s">
        <v>902</v>
      </c>
      <c r="R293" s="15" t="str">
        <f>INDEX(Table4[[Regular]:[Special]],MATCH(ClientDB[[#Data],[Country Code]],Table4[[#Data],[Country]],0),MATCH(ClientDB[[#Data],[Meal]],Table4[[#Headers],[Regular]:[Special]],0))</f>
        <v>C</v>
      </c>
    </row>
    <row r="294" spans="1:18" x14ac:dyDescent="0.2">
      <c r="A294" s="10">
        <v>33729</v>
      </c>
      <c r="B294" t="s">
        <v>330</v>
      </c>
      <c r="C294" t="s">
        <v>331</v>
      </c>
      <c r="D294" s="18">
        <v>43714</v>
      </c>
      <c r="E294" s="34">
        <f>YEAR(ClientDB[[#This Row],[Start Date]])</f>
        <v>2019</v>
      </c>
      <c r="F294" t="s">
        <v>827</v>
      </c>
      <c r="G294" t="str">
        <f>VLOOKUP(ClientDB[[#This Row],[Org Code]],Table2[],2,0)</f>
        <v>Ripple Com</v>
      </c>
      <c r="H294" s="10" t="s">
        <v>15</v>
      </c>
      <c r="I294" s="10" t="str">
        <f>_xlfn.XLOOKUP(ClientDB[[#This Row],[Country Code]],Table3[[#All],[Country Codes]],Table3[[#All],[Country]],1,TRUE)</f>
        <v>United Kingdom</v>
      </c>
      <c r="J294" s="15">
        <v>3</v>
      </c>
      <c r="K294" s="15" t="str">
        <f>IF(ClientDB[[#This Row],[Start Date]]&gt;=$U$14,"New","")</f>
        <v/>
      </c>
      <c r="L294" s="15" t="str">
        <f>IF(OR(ClientDB[[#This Row],[Start Year]]&lt;2016,ClientDB[[#This Row],[Events]]&gt;=6),"Gift","")</f>
        <v/>
      </c>
      <c r="M29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94" s="15">
        <v>2</v>
      </c>
      <c r="O294" s="35">
        <f>IF(ClientDB[[#This Row],[Days]]=1,(ClientDB[[#This Row],[Days]]*$V$7),IF(ClientDB[[#This Row],[Days]]&gt;1,(ClientDB[[#This Row],[Days]]*$V$8),""))</f>
        <v>600</v>
      </c>
      <c r="P29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94" s="15" t="s">
        <v>899</v>
      </c>
      <c r="R294" s="15" t="str">
        <f>INDEX(Table4[[Regular]:[Special]],MATCH(ClientDB[[#Data],[Country Code]],Table4[[#Data],[Country]],0),MATCH(ClientDB[[#Data],[Meal]],Table4[[#Headers],[Regular]:[Special]],0))</f>
        <v>A</v>
      </c>
    </row>
    <row r="295" spans="1:18" x14ac:dyDescent="0.2">
      <c r="A295" s="10">
        <v>33836</v>
      </c>
      <c r="B295" t="s">
        <v>518</v>
      </c>
      <c r="C295" t="s">
        <v>519</v>
      </c>
      <c r="D295" s="18">
        <v>43713</v>
      </c>
      <c r="E295" s="34">
        <f>YEAR(ClientDB[[#This Row],[Start Date]])</f>
        <v>2019</v>
      </c>
      <c r="F295" t="s">
        <v>819</v>
      </c>
      <c r="G295" t="str">
        <f>VLOOKUP(ClientDB[[#This Row],[Org Code]],Table2[],2,0)</f>
        <v>NetaAssist</v>
      </c>
      <c r="H295" s="10" t="s">
        <v>46</v>
      </c>
      <c r="I295" s="10" t="str">
        <f>_xlfn.XLOOKUP(ClientDB[[#This Row],[Country Code]],Table3[[#All],[Country Codes]],Table3[[#All],[Country]],1,TRUE)</f>
        <v>Germany</v>
      </c>
      <c r="J295" s="15">
        <v>8</v>
      </c>
      <c r="K295" s="15" t="str">
        <f>IF(ClientDB[[#This Row],[Start Date]]&gt;=$U$14,"New","")</f>
        <v/>
      </c>
      <c r="L295" s="15" t="str">
        <f>IF(OR(ClientDB[[#This Row],[Start Year]]&lt;2016,ClientDB[[#This Row],[Events]]&gt;=6),"Gift","")</f>
        <v>Gift</v>
      </c>
      <c r="M29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95" s="15">
        <v>2</v>
      </c>
      <c r="O295" s="35">
        <f>IF(ClientDB[[#This Row],[Days]]=1,(ClientDB[[#This Row],[Days]]*$V$7),IF(ClientDB[[#This Row],[Days]]&gt;1,(ClientDB[[#This Row],[Days]]*$V$8),""))</f>
        <v>600</v>
      </c>
      <c r="P29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295" s="15" t="s">
        <v>900</v>
      </c>
      <c r="R295" s="15" t="str">
        <f>INDEX(Table4[[Regular]:[Special]],MATCH(ClientDB[[#Data],[Country Code]],Table4[[#Data],[Country]],0),MATCH(ClientDB[[#Data],[Meal]],Table4[[#Headers],[Regular]:[Special]],0))</f>
        <v>A</v>
      </c>
    </row>
    <row r="296" spans="1:18" x14ac:dyDescent="0.2">
      <c r="A296" s="10">
        <v>33888</v>
      </c>
      <c r="B296" t="s">
        <v>306</v>
      </c>
      <c r="C296" t="s">
        <v>307</v>
      </c>
      <c r="D296" s="18">
        <v>43213</v>
      </c>
      <c r="E296" s="34">
        <f>YEAR(ClientDB[[#This Row],[Start Date]])</f>
        <v>2018</v>
      </c>
      <c r="F296" t="s">
        <v>825</v>
      </c>
      <c r="G296" t="str">
        <f>VLOOKUP(ClientDB[[#This Row],[Org Code]],Table2[],2,0)</f>
        <v>Qinisar</v>
      </c>
      <c r="H296" s="10" t="s">
        <v>155</v>
      </c>
      <c r="I296" s="10" t="str">
        <f>_xlfn.XLOOKUP(ClientDB[[#This Row],[Country Code]],Table3[[#All],[Country Codes]],Table3[[#All],[Country]],1,TRUE)</f>
        <v>United Arab Emirates</v>
      </c>
      <c r="J296" s="15">
        <v>7</v>
      </c>
      <c r="K296" s="15" t="str">
        <f>IF(ClientDB[[#This Row],[Start Date]]&gt;=$U$14,"New","")</f>
        <v/>
      </c>
      <c r="L296" s="15" t="str">
        <f>IF(OR(ClientDB[[#This Row],[Start Year]]&lt;2016,ClientDB[[#This Row],[Events]]&gt;=6),"Gift","")</f>
        <v>Gift</v>
      </c>
      <c r="M29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96" s="15">
        <v>1</v>
      </c>
      <c r="O296" s="35">
        <f>IF(ClientDB[[#This Row],[Days]]=1,(ClientDB[[#This Row],[Days]]*$V$7),IF(ClientDB[[#This Row],[Days]]&gt;1,(ClientDB[[#This Row],[Days]]*$V$8),""))</f>
        <v>350</v>
      </c>
      <c r="P29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296" s="15" t="s">
        <v>902</v>
      </c>
      <c r="R296" s="15" t="str">
        <f>INDEX(Table4[[Regular]:[Special]],MATCH(ClientDB[[#Data],[Country Code]],Table4[[#Data],[Country]],0),MATCH(ClientDB[[#Data],[Meal]],Table4[[#Headers],[Regular]:[Special]],0))</f>
        <v>B</v>
      </c>
    </row>
    <row r="297" spans="1:18" x14ac:dyDescent="0.2">
      <c r="A297" s="10">
        <v>33952</v>
      </c>
      <c r="B297" t="s">
        <v>144</v>
      </c>
      <c r="C297" t="s">
        <v>145</v>
      </c>
      <c r="D297" s="18">
        <v>42396</v>
      </c>
      <c r="E297" s="34">
        <f>YEAR(ClientDB[[#This Row],[Start Date]])</f>
        <v>2016</v>
      </c>
      <c r="F297" t="s">
        <v>827</v>
      </c>
      <c r="G297" t="str">
        <f>VLOOKUP(ClientDB[[#This Row],[Org Code]],Table2[],2,0)</f>
        <v>Ripple Com</v>
      </c>
      <c r="H297" s="10" t="s">
        <v>146</v>
      </c>
      <c r="I297" s="10" t="str">
        <f>_xlfn.XLOOKUP(ClientDB[[#This Row],[Country Code]],Table3[[#All],[Country Codes]],Table3[[#All],[Country]],1,TRUE)</f>
        <v>Russia</v>
      </c>
      <c r="J297" s="15">
        <v>3</v>
      </c>
      <c r="K297" s="15" t="str">
        <f>IF(ClientDB[[#This Row],[Start Date]]&gt;=$U$14,"New","")</f>
        <v/>
      </c>
      <c r="L297" s="15" t="str">
        <f>IF(OR(ClientDB[[#This Row],[Start Year]]&lt;2016,ClientDB[[#This Row],[Events]]&gt;=6),"Gift","")</f>
        <v/>
      </c>
      <c r="M29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97" s="15">
        <v>1</v>
      </c>
      <c r="O297" s="35">
        <f>IF(ClientDB[[#This Row],[Days]]=1,(ClientDB[[#This Row],[Days]]*$V$7),IF(ClientDB[[#This Row],[Days]]&gt;1,(ClientDB[[#This Row],[Days]]*$V$8),""))</f>
        <v>350</v>
      </c>
      <c r="P29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297" s="15" t="s">
        <v>901</v>
      </c>
      <c r="R297" s="15" t="str">
        <f>INDEX(Table4[[Regular]:[Special]],MATCH(ClientDB[[#Data],[Country Code]],Table4[[#Data],[Country]],0),MATCH(ClientDB[[#Data],[Meal]],Table4[[#Headers],[Regular]:[Special]],0))</f>
        <v>G</v>
      </c>
    </row>
    <row r="298" spans="1:18" x14ac:dyDescent="0.2">
      <c r="A298" s="10">
        <v>33952</v>
      </c>
      <c r="B298" t="s">
        <v>514</v>
      </c>
      <c r="C298" t="s">
        <v>515</v>
      </c>
      <c r="D298" s="18">
        <v>43341</v>
      </c>
      <c r="E298" s="34">
        <f>YEAR(ClientDB[[#This Row],[Start Date]])</f>
        <v>2018</v>
      </c>
      <c r="F298" t="s">
        <v>827</v>
      </c>
      <c r="G298" t="str">
        <f>VLOOKUP(ClientDB[[#This Row],[Org Code]],Table2[],2,0)</f>
        <v>Ripple Com</v>
      </c>
      <c r="H298" s="10" t="s">
        <v>15</v>
      </c>
      <c r="I298" s="10" t="str">
        <f>_xlfn.XLOOKUP(ClientDB[[#This Row],[Country Code]],Table3[[#All],[Country Codes]],Table3[[#All],[Country]],1,TRUE)</f>
        <v>United Kingdom</v>
      </c>
      <c r="J298" s="15">
        <v>4</v>
      </c>
      <c r="K298" s="15" t="str">
        <f>IF(ClientDB[[#This Row],[Start Date]]&gt;=$U$14,"New","")</f>
        <v/>
      </c>
      <c r="L298" s="15" t="str">
        <f>IF(OR(ClientDB[[#This Row],[Start Year]]&lt;2016,ClientDB[[#This Row],[Events]]&gt;=6),"Gift","")</f>
        <v/>
      </c>
      <c r="M29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98" s="15">
        <v>2</v>
      </c>
      <c r="O298" s="35">
        <f>IF(ClientDB[[#This Row],[Days]]=1,(ClientDB[[#This Row],[Days]]*$V$7),IF(ClientDB[[#This Row],[Days]]&gt;1,(ClientDB[[#This Row],[Days]]*$V$8),""))</f>
        <v>600</v>
      </c>
      <c r="P29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298" s="15" t="s">
        <v>901</v>
      </c>
      <c r="R298" s="15" t="str">
        <f>INDEX(Table4[[Regular]:[Special]],MATCH(ClientDB[[#Data],[Country Code]],Table4[[#Data],[Country]],0),MATCH(ClientDB[[#Data],[Meal]],Table4[[#Headers],[Regular]:[Special]],0))</f>
        <v>E</v>
      </c>
    </row>
    <row r="299" spans="1:18" x14ac:dyDescent="0.2">
      <c r="A299" s="10">
        <v>34099</v>
      </c>
      <c r="B299" t="s">
        <v>270</v>
      </c>
      <c r="C299" t="s">
        <v>271</v>
      </c>
      <c r="D299" s="18">
        <v>42715</v>
      </c>
      <c r="E299" s="34">
        <f>YEAR(ClientDB[[#This Row],[Start Date]])</f>
        <v>2016</v>
      </c>
      <c r="F299" t="s">
        <v>829</v>
      </c>
      <c r="G299" t="str">
        <f>VLOOKUP(ClientDB[[#This Row],[Org Code]],Table2[],2,0)</f>
        <v>StepAhead</v>
      </c>
      <c r="H299" s="10" t="s">
        <v>97</v>
      </c>
      <c r="I299" s="10" t="str">
        <f>_xlfn.XLOOKUP(ClientDB[[#This Row],[Country Code]],Table3[[#All],[Country Codes]],Table3[[#All],[Country]],1,TRUE)</f>
        <v>Ireland</v>
      </c>
      <c r="J299" s="15">
        <v>7</v>
      </c>
      <c r="K299" s="15" t="str">
        <f>IF(ClientDB[[#This Row],[Start Date]]&gt;=$U$14,"New","")</f>
        <v/>
      </c>
      <c r="L299" s="15" t="str">
        <f>IF(OR(ClientDB[[#This Row],[Start Year]]&lt;2016,ClientDB[[#This Row],[Events]]&gt;=6),"Gift","")</f>
        <v>Gift</v>
      </c>
      <c r="M29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299" s="15">
        <v>2</v>
      </c>
      <c r="O299" s="35">
        <f>IF(ClientDB[[#This Row],[Days]]=1,(ClientDB[[#This Row],[Days]]*$V$7),IF(ClientDB[[#This Row],[Days]]&gt;1,(ClientDB[[#This Row],[Days]]*$V$8),""))</f>
        <v>600</v>
      </c>
      <c r="P29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299" s="15" t="s">
        <v>901</v>
      </c>
      <c r="R299" s="15" t="str">
        <f>INDEX(Table4[[Regular]:[Special]],MATCH(ClientDB[[#Data],[Country Code]],Table4[[#Data],[Country]],0),MATCH(ClientDB[[#Data],[Meal]],Table4[[#Headers],[Regular]:[Special]],0))</f>
        <v>F</v>
      </c>
    </row>
    <row r="300" spans="1:18" x14ac:dyDescent="0.2">
      <c r="A300" s="10">
        <v>34153</v>
      </c>
      <c r="B300" t="s">
        <v>255</v>
      </c>
      <c r="C300" t="s">
        <v>451</v>
      </c>
      <c r="D300" s="18">
        <v>43485</v>
      </c>
      <c r="E300" s="34">
        <f>YEAR(ClientDB[[#This Row],[Start Date]])</f>
        <v>2019</v>
      </c>
      <c r="F300" t="s">
        <v>815</v>
      </c>
      <c r="G300" t="str">
        <f>VLOOKUP(ClientDB[[#This Row],[Org Code]],Table2[],2,0)</f>
        <v>Intelligence Systems</v>
      </c>
      <c r="H300" s="10" t="s">
        <v>34</v>
      </c>
      <c r="I300" s="10" t="str">
        <f>_xlfn.XLOOKUP(ClientDB[[#This Row],[Country Code]],Table3[[#All],[Country Codes]],Table3[[#All],[Country]],1,TRUE)</f>
        <v>United States</v>
      </c>
      <c r="J300" s="15">
        <v>1</v>
      </c>
      <c r="K300" s="15" t="str">
        <f>IF(ClientDB[[#This Row],[Start Date]]&gt;=$U$14,"New","")</f>
        <v/>
      </c>
      <c r="L300" s="15" t="str">
        <f>IF(OR(ClientDB[[#This Row],[Start Year]]&lt;2016,ClientDB[[#This Row],[Events]]&gt;=6),"Gift","")</f>
        <v/>
      </c>
      <c r="M30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00" s="15">
        <v>2</v>
      </c>
      <c r="O300" s="35">
        <f>IF(ClientDB[[#This Row],[Days]]=1,(ClientDB[[#This Row],[Days]]*$V$7),IF(ClientDB[[#This Row],[Days]]&gt;1,(ClientDB[[#This Row],[Days]]*$V$8),""))</f>
        <v>600</v>
      </c>
      <c r="P30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00" s="15" t="s">
        <v>901</v>
      </c>
      <c r="R300" s="15" t="str">
        <f>INDEX(Table4[[Regular]:[Special]],MATCH(ClientDB[[#Data],[Country Code]],Table4[[#Data],[Country]],0),MATCH(ClientDB[[#Data],[Meal]],Table4[[#Headers],[Regular]:[Special]],0))</f>
        <v>G</v>
      </c>
    </row>
    <row r="301" spans="1:18" x14ac:dyDescent="0.2">
      <c r="A301" s="10">
        <v>34274</v>
      </c>
      <c r="B301" t="s">
        <v>412</v>
      </c>
      <c r="C301" t="s">
        <v>413</v>
      </c>
      <c r="D301" s="18">
        <v>42411</v>
      </c>
      <c r="E301" s="34">
        <f>YEAR(ClientDB[[#This Row],[Start Date]])</f>
        <v>2016</v>
      </c>
      <c r="F301" t="s">
        <v>823</v>
      </c>
      <c r="G301" t="str">
        <f>VLOOKUP(ClientDB[[#This Row],[Org Code]],Table2[],2,0)</f>
        <v>Pilco Streambank</v>
      </c>
      <c r="H301" s="10" t="s">
        <v>34</v>
      </c>
      <c r="I301" s="10" t="str">
        <f>_xlfn.XLOOKUP(ClientDB[[#This Row],[Country Code]],Table3[[#All],[Country Codes]],Table3[[#All],[Country]],1,TRUE)</f>
        <v>United States</v>
      </c>
      <c r="J301" s="15">
        <v>7</v>
      </c>
      <c r="K301" s="15" t="str">
        <f>IF(ClientDB[[#This Row],[Start Date]]&gt;=$U$14,"New","")</f>
        <v/>
      </c>
      <c r="L301" s="15" t="str">
        <f>IF(OR(ClientDB[[#This Row],[Start Year]]&lt;2016,ClientDB[[#This Row],[Events]]&gt;=6),"Gift","")</f>
        <v>Gift</v>
      </c>
      <c r="M30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01" s="15">
        <v>1</v>
      </c>
      <c r="O301" s="35">
        <f>IF(ClientDB[[#This Row],[Days]]=1,(ClientDB[[#This Row],[Days]]*$V$7),IF(ClientDB[[#This Row],[Days]]&gt;1,(ClientDB[[#This Row],[Days]]*$V$8),""))</f>
        <v>350</v>
      </c>
      <c r="P30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301" s="15" t="s">
        <v>900</v>
      </c>
      <c r="R301" s="15" t="str">
        <f>INDEX(Table4[[Regular]:[Special]],MATCH(ClientDB[[#Data],[Country Code]],Table4[[#Data],[Country]],0),MATCH(ClientDB[[#Data],[Meal]],Table4[[#Headers],[Regular]:[Special]],0))</f>
        <v>F</v>
      </c>
    </row>
    <row r="302" spans="1:18" x14ac:dyDescent="0.2">
      <c r="A302" s="10">
        <v>34403</v>
      </c>
      <c r="B302" t="s">
        <v>372</v>
      </c>
      <c r="C302" t="s">
        <v>426</v>
      </c>
      <c r="D302" s="18">
        <v>42789</v>
      </c>
      <c r="E302" s="34">
        <f>YEAR(ClientDB[[#This Row],[Start Date]])</f>
        <v>2017</v>
      </c>
      <c r="F302" t="s">
        <v>827</v>
      </c>
      <c r="G302" t="str">
        <f>VLOOKUP(ClientDB[[#This Row],[Org Code]],Table2[],2,0)</f>
        <v>Ripple Com</v>
      </c>
      <c r="H302" s="10" t="s">
        <v>15</v>
      </c>
      <c r="I302" s="10" t="str">
        <f>_xlfn.XLOOKUP(ClientDB[[#This Row],[Country Code]],Table3[[#All],[Country Codes]],Table3[[#All],[Country]],1,TRUE)</f>
        <v>United Kingdom</v>
      </c>
      <c r="J302" s="15">
        <v>2</v>
      </c>
      <c r="K302" s="15" t="str">
        <f>IF(ClientDB[[#This Row],[Start Date]]&gt;=$U$14,"New","")</f>
        <v/>
      </c>
      <c r="L302" s="15" t="str">
        <f>IF(OR(ClientDB[[#This Row],[Start Year]]&lt;2016,ClientDB[[#This Row],[Events]]&gt;=6),"Gift","")</f>
        <v/>
      </c>
      <c r="M30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02" s="15">
        <v>1</v>
      </c>
      <c r="O302" s="35">
        <f>IF(ClientDB[[#This Row],[Days]]=1,(ClientDB[[#This Row],[Days]]*$V$7),IF(ClientDB[[#This Row],[Days]]&gt;1,(ClientDB[[#This Row],[Days]]*$V$8),""))</f>
        <v>350</v>
      </c>
      <c r="P30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02" s="15" t="s">
        <v>900</v>
      </c>
      <c r="R302" s="15" t="str">
        <f>INDEX(Table4[[Regular]:[Special]],MATCH(ClientDB[[#Data],[Country Code]],Table4[[#Data],[Country]],0),MATCH(ClientDB[[#Data],[Meal]],Table4[[#Headers],[Regular]:[Special]],0))</f>
        <v>A</v>
      </c>
    </row>
    <row r="303" spans="1:18" x14ac:dyDescent="0.2">
      <c r="A303" s="10">
        <v>34625</v>
      </c>
      <c r="B303" t="s">
        <v>460</v>
      </c>
      <c r="C303" t="s">
        <v>461</v>
      </c>
      <c r="D303" s="18">
        <v>43003</v>
      </c>
      <c r="E303" s="34">
        <f>YEAR(ClientDB[[#This Row],[Start Date]])</f>
        <v>2017</v>
      </c>
      <c r="F303" t="s">
        <v>838</v>
      </c>
      <c r="G303" t="str">
        <f>VLOOKUP(ClientDB[[#This Row],[Org Code]],Table2[],2,0)</f>
        <v>xLAN Internet Exchange</v>
      </c>
      <c r="H303" s="10" t="s">
        <v>54</v>
      </c>
      <c r="I303" s="10" t="str">
        <f>_xlfn.XLOOKUP(ClientDB[[#This Row],[Country Code]],Table3[[#All],[Country Codes]],Table3[[#All],[Country]],1,TRUE)</f>
        <v>Romania</v>
      </c>
      <c r="J303" s="15">
        <v>4</v>
      </c>
      <c r="K303" s="15" t="str">
        <f>IF(ClientDB[[#This Row],[Start Date]]&gt;=$U$14,"New","")</f>
        <v/>
      </c>
      <c r="L303" s="15" t="str">
        <f>IF(OR(ClientDB[[#This Row],[Start Year]]&lt;2016,ClientDB[[#This Row],[Events]]&gt;=6),"Gift","")</f>
        <v/>
      </c>
      <c r="M30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03" s="15">
        <v>2</v>
      </c>
      <c r="O303" s="35">
        <f>IF(ClientDB[[#This Row],[Days]]=1,(ClientDB[[#This Row],[Days]]*$V$7),IF(ClientDB[[#This Row],[Days]]&gt;1,(ClientDB[[#This Row],[Days]]*$V$8),""))</f>
        <v>600</v>
      </c>
      <c r="P30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03" s="15" t="s">
        <v>902</v>
      </c>
      <c r="R303" s="15" t="str">
        <f>INDEX(Table4[[Regular]:[Special]],MATCH(ClientDB[[#Data],[Country Code]],Table4[[#Data],[Country]],0),MATCH(ClientDB[[#Data],[Meal]],Table4[[#Headers],[Regular]:[Special]],0))</f>
        <v>C</v>
      </c>
    </row>
    <row r="304" spans="1:18" x14ac:dyDescent="0.2">
      <c r="A304" s="10">
        <v>34658</v>
      </c>
      <c r="B304" t="s">
        <v>309</v>
      </c>
      <c r="C304" t="s">
        <v>310</v>
      </c>
      <c r="D304" s="18">
        <v>43164</v>
      </c>
      <c r="E304" s="34">
        <f>YEAR(ClientDB[[#This Row],[Start Date]])</f>
        <v>2018</v>
      </c>
      <c r="F304" t="s">
        <v>813</v>
      </c>
      <c r="G304" t="str">
        <f>VLOOKUP(ClientDB[[#This Row],[Org Code]],Table2[],2,0)</f>
        <v>HeatProof</v>
      </c>
      <c r="H304" s="10" t="s">
        <v>311</v>
      </c>
      <c r="I304" s="10" t="str">
        <f>_xlfn.XLOOKUP(ClientDB[[#This Row],[Country Code]],Table3[[#All],[Country Codes]],Table3[[#All],[Country]],1,TRUE)</f>
        <v>France</v>
      </c>
      <c r="J304" s="15">
        <v>5</v>
      </c>
      <c r="K304" s="15" t="str">
        <f>IF(ClientDB[[#This Row],[Start Date]]&gt;=$U$14,"New","")</f>
        <v/>
      </c>
      <c r="L304" s="15" t="str">
        <f>IF(OR(ClientDB[[#This Row],[Start Year]]&lt;2016,ClientDB[[#This Row],[Events]]&gt;=6),"Gift","")</f>
        <v/>
      </c>
      <c r="M30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04" s="15">
        <v>1</v>
      </c>
      <c r="O304" s="35">
        <f>IF(ClientDB[[#This Row],[Days]]=1,(ClientDB[[#This Row],[Days]]*$V$7),IF(ClientDB[[#This Row],[Days]]&gt;1,(ClientDB[[#This Row],[Days]]*$V$8),""))</f>
        <v>350</v>
      </c>
      <c r="P30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304" s="15" t="s">
        <v>901</v>
      </c>
      <c r="R304" s="15" t="str">
        <f>INDEX(Table4[[Regular]:[Special]],MATCH(ClientDB[[#Data],[Country Code]],Table4[[#Data],[Country]],0),MATCH(ClientDB[[#Data],[Meal]],Table4[[#Headers],[Regular]:[Special]],0))</f>
        <v>D</v>
      </c>
    </row>
    <row r="305" spans="1:18" x14ac:dyDescent="0.2">
      <c r="A305" s="10">
        <v>34701</v>
      </c>
      <c r="B305" t="s">
        <v>47</v>
      </c>
      <c r="C305" t="s">
        <v>635</v>
      </c>
      <c r="D305" s="18">
        <v>42675</v>
      </c>
      <c r="E305" s="34">
        <f>YEAR(ClientDB[[#This Row],[Start Date]])</f>
        <v>2016</v>
      </c>
      <c r="F305" t="s">
        <v>805</v>
      </c>
      <c r="G305" t="str">
        <f>VLOOKUP(ClientDB[[#This Row],[Org Code]],Table2[],2,0)</f>
        <v>Data Pro Sys</v>
      </c>
      <c r="H305" s="10" t="s">
        <v>59</v>
      </c>
      <c r="I305" s="10" t="str">
        <f>_xlfn.XLOOKUP(ClientDB[[#This Row],[Country Code]],Table3[[#All],[Country Codes]],Table3[[#All],[Country]],1,TRUE)</f>
        <v>Netherlands</v>
      </c>
      <c r="J305" s="15">
        <v>5</v>
      </c>
      <c r="K305" s="15" t="str">
        <f>IF(ClientDB[[#This Row],[Start Date]]&gt;=$U$14,"New","")</f>
        <v/>
      </c>
      <c r="L305" s="15" t="str">
        <f>IF(OR(ClientDB[[#This Row],[Start Year]]&lt;2016,ClientDB[[#This Row],[Events]]&gt;=6),"Gift","")</f>
        <v/>
      </c>
      <c r="M30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05" s="15">
        <v>2</v>
      </c>
      <c r="O305" s="35">
        <f>IF(ClientDB[[#This Row],[Days]]=1,(ClientDB[[#This Row],[Days]]*$V$7),IF(ClientDB[[#This Row],[Days]]&gt;1,(ClientDB[[#This Row],[Days]]*$V$8),""))</f>
        <v>600</v>
      </c>
      <c r="P30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305" s="15" t="s">
        <v>902</v>
      </c>
      <c r="R305" s="15" t="str">
        <f>INDEX(Table4[[Regular]:[Special]],MATCH(ClientDB[[#Data],[Country Code]],Table4[[#Data],[Country]],0),MATCH(ClientDB[[#Data],[Meal]],Table4[[#Headers],[Regular]:[Special]],0))</f>
        <v>C</v>
      </c>
    </row>
    <row r="306" spans="1:18" x14ac:dyDescent="0.2">
      <c r="A306" s="10">
        <v>34787</v>
      </c>
      <c r="B306" t="s">
        <v>699</v>
      </c>
      <c r="C306" t="s">
        <v>700</v>
      </c>
      <c r="D306" s="18">
        <v>43941</v>
      </c>
      <c r="E306" s="34">
        <f>YEAR(ClientDB[[#This Row],[Start Date]])</f>
        <v>2020</v>
      </c>
      <c r="F306" t="s">
        <v>826</v>
      </c>
      <c r="G306" t="str">
        <f>VLOOKUP(ClientDB[[#This Row],[Org Code]],Table2[],2,0)</f>
        <v>Respira Networks</v>
      </c>
      <c r="H306" s="10" t="s">
        <v>155</v>
      </c>
      <c r="I306" s="10" t="str">
        <f>_xlfn.XLOOKUP(ClientDB[[#This Row],[Country Code]],Table3[[#All],[Country Codes]],Table3[[#All],[Country]],1,TRUE)</f>
        <v>United Arab Emirates</v>
      </c>
      <c r="J306" s="15">
        <v>1</v>
      </c>
      <c r="K306" s="15" t="str">
        <f>IF(ClientDB[[#This Row],[Start Date]]&gt;=$U$14,"New","")</f>
        <v>New</v>
      </c>
      <c r="L306" s="15" t="str">
        <f>IF(OR(ClientDB[[#This Row],[Start Year]]&lt;2016,ClientDB[[#This Row],[Events]]&gt;=6),"Gift","")</f>
        <v/>
      </c>
      <c r="M30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06" s="15">
        <v>1</v>
      </c>
      <c r="O306" s="35">
        <f>IF(ClientDB[[#This Row],[Days]]=1,(ClientDB[[#This Row],[Days]]*$V$7),IF(ClientDB[[#This Row],[Days]]&gt;1,(ClientDB[[#This Row],[Days]]*$V$8),""))</f>
        <v>350</v>
      </c>
      <c r="P30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06" s="15" t="s">
        <v>902</v>
      </c>
      <c r="R306" s="15" t="str">
        <f>INDEX(Table4[[Regular]:[Special]],MATCH(ClientDB[[#Data],[Country Code]],Table4[[#Data],[Country]],0),MATCH(ClientDB[[#Data],[Meal]],Table4[[#Headers],[Regular]:[Special]],0))</f>
        <v>B</v>
      </c>
    </row>
    <row r="307" spans="1:18" x14ac:dyDescent="0.2">
      <c r="A307" s="10">
        <v>34974</v>
      </c>
      <c r="B307" t="s">
        <v>472</v>
      </c>
      <c r="C307" t="s">
        <v>473</v>
      </c>
      <c r="D307" s="18">
        <v>42762</v>
      </c>
      <c r="E307" s="34">
        <f>YEAR(ClientDB[[#This Row],[Start Date]])</f>
        <v>2017</v>
      </c>
      <c r="F307" t="s">
        <v>815</v>
      </c>
      <c r="G307" t="str">
        <f>VLOOKUP(ClientDB[[#This Row],[Org Code]],Table2[],2,0)</f>
        <v>Intelligence Systems</v>
      </c>
      <c r="H307" s="10" t="s">
        <v>124</v>
      </c>
      <c r="I307" s="10" t="str">
        <f>_xlfn.XLOOKUP(ClientDB[[#This Row],[Country Code]],Table3[[#All],[Country Codes]],Table3[[#All],[Country]],1,TRUE)</f>
        <v>Lebanon</v>
      </c>
      <c r="J307" s="15">
        <v>3</v>
      </c>
      <c r="K307" s="15" t="str">
        <f>IF(ClientDB[[#This Row],[Start Date]]&gt;=$U$14,"New","")</f>
        <v/>
      </c>
      <c r="L307" s="15" t="str">
        <f>IF(OR(ClientDB[[#This Row],[Start Year]]&lt;2016,ClientDB[[#This Row],[Events]]&gt;=6),"Gift","")</f>
        <v/>
      </c>
      <c r="M30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07" s="15">
        <v>3</v>
      </c>
      <c r="O307" s="35">
        <f>IF(ClientDB[[#This Row],[Days]]=1,(ClientDB[[#This Row],[Days]]*$V$7),IF(ClientDB[[#This Row],[Days]]&gt;1,(ClientDB[[#This Row],[Days]]*$V$8),""))</f>
        <v>900</v>
      </c>
      <c r="P30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07" s="15" t="s">
        <v>902</v>
      </c>
      <c r="R307" s="15" t="str">
        <f>INDEX(Table4[[Regular]:[Special]],MATCH(ClientDB[[#Data],[Country Code]],Table4[[#Data],[Country]],0),MATCH(ClientDB[[#Data],[Meal]],Table4[[#Headers],[Regular]:[Special]],0))</f>
        <v>C</v>
      </c>
    </row>
    <row r="308" spans="1:18" x14ac:dyDescent="0.2">
      <c r="A308" s="10">
        <v>35066</v>
      </c>
      <c r="B308" t="s">
        <v>406</v>
      </c>
      <c r="C308" t="s">
        <v>482</v>
      </c>
      <c r="D308" s="18">
        <v>42939</v>
      </c>
      <c r="E308" s="34">
        <f>YEAR(ClientDB[[#This Row],[Start Date]])</f>
        <v>2017</v>
      </c>
      <c r="F308" t="s">
        <v>820</v>
      </c>
      <c r="G308" t="str">
        <f>VLOOKUP(ClientDB[[#This Row],[Org Code]],Table2[],2,0)</f>
        <v>Oglev</v>
      </c>
      <c r="H308" s="10" t="s">
        <v>124</v>
      </c>
      <c r="I308" s="10" t="str">
        <f>_xlfn.XLOOKUP(ClientDB[[#This Row],[Country Code]],Table3[[#All],[Country Codes]],Table3[[#All],[Country]],1,TRUE)</f>
        <v>Lebanon</v>
      </c>
      <c r="J308" s="15">
        <v>3</v>
      </c>
      <c r="K308" s="15" t="str">
        <f>IF(ClientDB[[#This Row],[Start Date]]&gt;=$U$14,"New","")</f>
        <v/>
      </c>
      <c r="L308" s="15" t="str">
        <f>IF(OR(ClientDB[[#This Row],[Start Year]]&lt;2016,ClientDB[[#This Row],[Events]]&gt;=6),"Gift","")</f>
        <v/>
      </c>
      <c r="M30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08" s="15">
        <v>2</v>
      </c>
      <c r="O308" s="35">
        <f>IF(ClientDB[[#This Row],[Days]]=1,(ClientDB[[#This Row],[Days]]*$V$7),IF(ClientDB[[#This Row],[Days]]&gt;1,(ClientDB[[#This Row],[Days]]*$V$8),""))</f>
        <v>600</v>
      </c>
      <c r="P30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08" s="15" t="s">
        <v>899</v>
      </c>
      <c r="R308" s="15" t="str">
        <f>INDEX(Table4[[Regular]:[Special]],MATCH(ClientDB[[#Data],[Country Code]],Table4[[#Data],[Country]],0),MATCH(ClientDB[[#Data],[Meal]],Table4[[#Headers],[Regular]:[Special]],0))</f>
        <v>B</v>
      </c>
    </row>
    <row r="309" spans="1:18" x14ac:dyDescent="0.2">
      <c r="A309" s="10">
        <v>35074</v>
      </c>
      <c r="B309" t="s">
        <v>414</v>
      </c>
      <c r="C309" t="s">
        <v>415</v>
      </c>
      <c r="D309" s="18">
        <v>42209</v>
      </c>
      <c r="E309" s="34">
        <f>YEAR(ClientDB[[#This Row],[Start Date]])</f>
        <v>2015</v>
      </c>
      <c r="F309" t="s">
        <v>820</v>
      </c>
      <c r="G309" t="str">
        <f>VLOOKUP(ClientDB[[#This Row],[Org Code]],Table2[],2,0)</f>
        <v>Oglev</v>
      </c>
      <c r="H309" s="10" t="s">
        <v>416</v>
      </c>
      <c r="I309" s="10" t="str">
        <f>_xlfn.XLOOKUP(ClientDB[[#This Row],[Country Code]],Table3[[#All],[Country Codes]],Table3[[#All],[Country]],1,TRUE)</f>
        <v>Kenya</v>
      </c>
      <c r="J309" s="15">
        <v>8</v>
      </c>
      <c r="K309" s="15" t="str">
        <f>IF(ClientDB[[#This Row],[Start Date]]&gt;=$U$14,"New","")</f>
        <v/>
      </c>
      <c r="L309" s="15" t="str">
        <f>IF(OR(ClientDB[[#This Row],[Start Year]]&lt;2016,ClientDB[[#This Row],[Events]]&gt;=6),"Gift","")</f>
        <v>Gift</v>
      </c>
      <c r="M30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09" s="15">
        <v>3</v>
      </c>
      <c r="O309" s="35">
        <f>IF(ClientDB[[#This Row],[Days]]=1,(ClientDB[[#This Row],[Days]]*$V$7),IF(ClientDB[[#This Row],[Days]]&gt;1,(ClientDB[[#This Row],[Days]]*$V$8),""))</f>
        <v>900</v>
      </c>
      <c r="P30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309" s="15" t="s">
        <v>902</v>
      </c>
      <c r="R309" s="15" t="str">
        <f>INDEX(Table4[[Regular]:[Special]],MATCH(ClientDB[[#Data],[Country Code]],Table4[[#Data],[Country]],0),MATCH(ClientDB[[#Data],[Meal]],Table4[[#Headers],[Regular]:[Special]],0))</f>
        <v>C</v>
      </c>
    </row>
    <row r="310" spans="1:18" x14ac:dyDescent="0.2">
      <c r="A310" s="10">
        <v>35075</v>
      </c>
      <c r="B310" t="s">
        <v>466</v>
      </c>
      <c r="C310" t="s">
        <v>458</v>
      </c>
      <c r="D310" s="18">
        <v>42780</v>
      </c>
      <c r="E310" s="34">
        <f>YEAR(ClientDB[[#This Row],[Start Date]])</f>
        <v>2017</v>
      </c>
      <c r="F310" t="s">
        <v>804</v>
      </c>
      <c r="G310" t="str">
        <f>VLOOKUP(ClientDB[[#This Row],[Org Code]],Table2[],2,0)</f>
        <v>Cyber Data Processing</v>
      </c>
      <c r="H310" s="10" t="s">
        <v>155</v>
      </c>
      <c r="I310" s="10" t="str">
        <f>_xlfn.XLOOKUP(ClientDB[[#This Row],[Country Code]],Table3[[#All],[Country Codes]],Table3[[#All],[Country]],1,TRUE)</f>
        <v>United Arab Emirates</v>
      </c>
      <c r="J310" s="15">
        <v>3</v>
      </c>
      <c r="K310" s="15" t="str">
        <f>IF(ClientDB[[#This Row],[Start Date]]&gt;=$U$14,"New","")</f>
        <v/>
      </c>
      <c r="L310" s="15" t="str">
        <f>IF(OR(ClientDB[[#This Row],[Start Year]]&lt;2016,ClientDB[[#This Row],[Events]]&gt;=6),"Gift","")</f>
        <v/>
      </c>
      <c r="M31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10" s="15">
        <v>1</v>
      </c>
      <c r="O310" s="35">
        <f>IF(ClientDB[[#This Row],[Days]]=1,(ClientDB[[#This Row],[Days]]*$V$7),IF(ClientDB[[#This Row],[Days]]&gt;1,(ClientDB[[#This Row],[Days]]*$V$8),""))</f>
        <v>350</v>
      </c>
      <c r="P31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10" s="15" t="s">
        <v>902</v>
      </c>
      <c r="R310" s="15" t="str">
        <f>INDEX(Table4[[Regular]:[Special]],MATCH(ClientDB[[#Data],[Country Code]],Table4[[#Data],[Country]],0),MATCH(ClientDB[[#Data],[Meal]],Table4[[#Headers],[Regular]:[Special]],0))</f>
        <v>B</v>
      </c>
    </row>
    <row r="311" spans="1:18" x14ac:dyDescent="0.2">
      <c r="A311" s="10">
        <v>35131</v>
      </c>
      <c r="B311" t="s">
        <v>67</v>
      </c>
      <c r="C311" t="s">
        <v>68</v>
      </c>
      <c r="D311" s="18">
        <v>42886</v>
      </c>
      <c r="E311" s="34">
        <f>YEAR(ClientDB[[#This Row],[Start Date]])</f>
        <v>2017</v>
      </c>
      <c r="F311" t="s">
        <v>799</v>
      </c>
      <c r="G311" t="str">
        <f>VLOOKUP(ClientDB[[#This Row],[Org Code]],Table2[],2,0)</f>
        <v>ByteSize</v>
      </c>
      <c r="H311" s="10" t="s">
        <v>15</v>
      </c>
      <c r="I311" s="10" t="str">
        <f>_xlfn.XLOOKUP(ClientDB[[#This Row],[Country Code]],Table3[[#All],[Country Codes]],Table3[[#All],[Country]],1,TRUE)</f>
        <v>United Kingdom</v>
      </c>
      <c r="J311" s="15">
        <v>8</v>
      </c>
      <c r="K311" s="15" t="str">
        <f>IF(ClientDB[[#This Row],[Start Date]]&gt;=$U$14,"New","")</f>
        <v/>
      </c>
      <c r="L311" s="15" t="str">
        <f>IF(OR(ClientDB[[#This Row],[Start Year]]&lt;2016,ClientDB[[#This Row],[Events]]&gt;=6),"Gift","")</f>
        <v>Gift</v>
      </c>
      <c r="M31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11" s="15">
        <v>3</v>
      </c>
      <c r="O311" s="35">
        <f>IF(ClientDB[[#This Row],[Days]]=1,(ClientDB[[#This Row],[Days]]*$V$7),IF(ClientDB[[#This Row],[Days]]&gt;1,(ClientDB[[#This Row],[Days]]*$V$8),""))</f>
        <v>900</v>
      </c>
      <c r="P31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311" s="15" t="s">
        <v>902</v>
      </c>
      <c r="R311" s="15" t="str">
        <f>INDEX(Table4[[Regular]:[Special]],MATCH(ClientDB[[#Data],[Country Code]],Table4[[#Data],[Country]],0),MATCH(ClientDB[[#Data],[Meal]],Table4[[#Headers],[Regular]:[Special]],0))</f>
        <v>B</v>
      </c>
    </row>
    <row r="312" spans="1:18" x14ac:dyDescent="0.2">
      <c r="A312" s="10">
        <v>35160</v>
      </c>
      <c r="B312" t="s">
        <v>649</v>
      </c>
      <c r="C312" t="s">
        <v>650</v>
      </c>
      <c r="D312" s="18">
        <v>43954</v>
      </c>
      <c r="E312" s="34">
        <f>YEAR(ClientDB[[#This Row],[Start Date]])</f>
        <v>2020</v>
      </c>
      <c r="F312" t="s">
        <v>798</v>
      </c>
      <c r="G312" t="str">
        <f>VLOOKUP(ClientDB[[#This Row],[Org Code]],Table2[],2,0)</f>
        <v>Axell Group</v>
      </c>
      <c r="H312" s="10" t="s">
        <v>78</v>
      </c>
      <c r="I312" s="10" t="str">
        <f>_xlfn.XLOOKUP(ClientDB[[#This Row],[Country Code]],Table3[[#All],[Country Codes]],Table3[[#All],[Country]],1,TRUE)</f>
        <v>Sweden</v>
      </c>
      <c r="J312" s="15">
        <v>2</v>
      </c>
      <c r="K312" s="15" t="str">
        <f>IF(ClientDB[[#This Row],[Start Date]]&gt;=$U$14,"New","")</f>
        <v>New</v>
      </c>
      <c r="L312" s="15" t="str">
        <f>IF(OR(ClientDB[[#This Row],[Start Year]]&lt;2016,ClientDB[[#This Row],[Events]]&gt;=6),"Gift","")</f>
        <v/>
      </c>
      <c r="M31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12" s="15">
        <v>2</v>
      </c>
      <c r="O312" s="35">
        <f>IF(ClientDB[[#This Row],[Days]]=1,(ClientDB[[#This Row],[Days]]*$V$7),IF(ClientDB[[#This Row],[Days]]&gt;1,(ClientDB[[#This Row],[Days]]*$V$8),""))</f>
        <v>600</v>
      </c>
      <c r="P31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12" s="15" t="s">
        <v>901</v>
      </c>
      <c r="R312" s="15" t="str">
        <f>INDEX(Table4[[Regular]:[Special]],MATCH(ClientDB[[#Data],[Country Code]],Table4[[#Data],[Country]],0),MATCH(ClientDB[[#Data],[Meal]],Table4[[#Headers],[Regular]:[Special]],0))</f>
        <v>G</v>
      </c>
    </row>
    <row r="313" spans="1:18" x14ac:dyDescent="0.2">
      <c r="A313" s="10">
        <v>35181</v>
      </c>
      <c r="B313" t="s">
        <v>55</v>
      </c>
      <c r="C313" t="s">
        <v>56</v>
      </c>
      <c r="D313" s="18">
        <v>43169</v>
      </c>
      <c r="E313" s="34">
        <f>YEAR(ClientDB[[#This Row],[Start Date]])</f>
        <v>2018</v>
      </c>
      <c r="F313" t="s">
        <v>806</v>
      </c>
      <c r="G313" t="str">
        <f>VLOOKUP(ClientDB[[#This Row],[Org Code]],Table2[],2,0)</f>
        <v>DENIL</v>
      </c>
      <c r="H313" s="10" t="s">
        <v>34</v>
      </c>
      <c r="I313" s="10" t="str">
        <f>_xlfn.XLOOKUP(ClientDB[[#This Row],[Country Code]],Table3[[#All],[Country Codes]],Table3[[#All],[Country]],1,TRUE)</f>
        <v>United States</v>
      </c>
      <c r="J313" s="15">
        <v>2</v>
      </c>
      <c r="K313" s="15" t="str">
        <f>IF(ClientDB[[#This Row],[Start Date]]&gt;=$U$14,"New","")</f>
        <v/>
      </c>
      <c r="L313" s="15" t="str">
        <f>IF(OR(ClientDB[[#This Row],[Start Year]]&lt;2016,ClientDB[[#This Row],[Events]]&gt;=6),"Gift","")</f>
        <v/>
      </c>
      <c r="M31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13" s="15">
        <v>2</v>
      </c>
      <c r="O313" s="35">
        <f>IF(ClientDB[[#This Row],[Days]]=1,(ClientDB[[#This Row],[Days]]*$V$7),IF(ClientDB[[#This Row],[Days]]&gt;1,(ClientDB[[#This Row],[Days]]*$V$8),""))</f>
        <v>600</v>
      </c>
      <c r="P31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13" s="15" t="s">
        <v>900</v>
      </c>
      <c r="R313" s="15" t="str">
        <f>INDEX(Table4[[Regular]:[Special]],MATCH(ClientDB[[#Data],[Country Code]],Table4[[#Data],[Country]],0),MATCH(ClientDB[[#Data],[Meal]],Table4[[#Headers],[Regular]:[Special]],0))</f>
        <v>F</v>
      </c>
    </row>
    <row r="314" spans="1:18" x14ac:dyDescent="0.2">
      <c r="A314" s="10">
        <v>35213</v>
      </c>
      <c r="B314" t="s">
        <v>70</v>
      </c>
      <c r="C314" t="s">
        <v>71</v>
      </c>
      <c r="D314" s="18">
        <v>42757</v>
      </c>
      <c r="E314" s="34">
        <f>YEAR(ClientDB[[#This Row],[Start Date]])</f>
        <v>2017</v>
      </c>
      <c r="F314" t="s">
        <v>827</v>
      </c>
      <c r="G314" t="str">
        <f>VLOOKUP(ClientDB[[#This Row],[Org Code]],Table2[],2,0)</f>
        <v>Ripple Com</v>
      </c>
      <c r="H314" s="10" t="s">
        <v>15</v>
      </c>
      <c r="I314" s="10" t="str">
        <f>_xlfn.XLOOKUP(ClientDB[[#This Row],[Country Code]],Table3[[#All],[Country Codes]],Table3[[#All],[Country]],1,TRUE)</f>
        <v>United Kingdom</v>
      </c>
      <c r="J314" s="15">
        <v>3</v>
      </c>
      <c r="K314" s="15" t="str">
        <f>IF(ClientDB[[#This Row],[Start Date]]&gt;=$U$14,"New","")</f>
        <v/>
      </c>
      <c r="L314" s="15" t="str">
        <f>IF(OR(ClientDB[[#This Row],[Start Year]]&lt;2016,ClientDB[[#This Row],[Events]]&gt;=6),"Gift","")</f>
        <v/>
      </c>
      <c r="M31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14" s="15">
        <v>3</v>
      </c>
      <c r="O314" s="35">
        <f>IF(ClientDB[[#This Row],[Days]]=1,(ClientDB[[#This Row],[Days]]*$V$7),IF(ClientDB[[#This Row],[Days]]&gt;1,(ClientDB[[#This Row],[Days]]*$V$8),""))</f>
        <v>900</v>
      </c>
      <c r="P31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14" s="15" t="s">
        <v>899</v>
      </c>
      <c r="R314" s="15" t="str">
        <f>INDEX(Table4[[Regular]:[Special]],MATCH(ClientDB[[#Data],[Country Code]],Table4[[#Data],[Country]],0),MATCH(ClientDB[[#Data],[Meal]],Table4[[#Headers],[Regular]:[Special]],0))</f>
        <v>A</v>
      </c>
    </row>
    <row r="315" spans="1:18" x14ac:dyDescent="0.2">
      <c r="A315" s="10">
        <v>35268</v>
      </c>
      <c r="B315" t="s">
        <v>212</v>
      </c>
      <c r="C315" t="s">
        <v>213</v>
      </c>
      <c r="D315" s="18">
        <v>43677</v>
      </c>
      <c r="E315" s="34">
        <f>YEAR(ClientDB[[#This Row],[Start Date]])</f>
        <v>2019</v>
      </c>
      <c r="F315" t="s">
        <v>796</v>
      </c>
      <c r="G315" t="str">
        <f>VLOOKUP(ClientDB[[#This Row],[Org Code]],Table2[],2,0)</f>
        <v>Ares</v>
      </c>
      <c r="H315" s="10" t="s">
        <v>186</v>
      </c>
      <c r="I315" s="10" t="str">
        <f>_xlfn.XLOOKUP(ClientDB[[#This Row],[Country Code]],Table3[[#All],[Country Codes]],Table3[[#All],[Country]],1,TRUE)</f>
        <v>Slovenia</v>
      </c>
      <c r="J315" s="15">
        <v>4</v>
      </c>
      <c r="K315" s="15" t="str">
        <f>IF(ClientDB[[#This Row],[Start Date]]&gt;=$U$14,"New","")</f>
        <v/>
      </c>
      <c r="L315" s="15" t="str">
        <f>IF(OR(ClientDB[[#This Row],[Start Year]]&lt;2016,ClientDB[[#This Row],[Events]]&gt;=6),"Gift","")</f>
        <v/>
      </c>
      <c r="M31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15" s="15">
        <v>3</v>
      </c>
      <c r="O315" s="35">
        <f>IF(ClientDB[[#This Row],[Days]]=1,(ClientDB[[#This Row],[Days]]*$V$7),IF(ClientDB[[#This Row],[Days]]&gt;1,(ClientDB[[#This Row],[Days]]*$V$8),""))</f>
        <v>900</v>
      </c>
      <c r="P31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15" s="15" t="s">
        <v>902</v>
      </c>
      <c r="R315" s="15" t="str">
        <f>INDEX(Table4[[Regular]:[Special]],MATCH(ClientDB[[#Data],[Country Code]],Table4[[#Data],[Country]],0),MATCH(ClientDB[[#Data],[Meal]],Table4[[#Headers],[Regular]:[Special]],0))</f>
        <v>C</v>
      </c>
    </row>
    <row r="316" spans="1:18" x14ac:dyDescent="0.2">
      <c r="A316" s="10">
        <v>35410</v>
      </c>
      <c r="B316" t="s">
        <v>525</v>
      </c>
      <c r="C316" t="s">
        <v>526</v>
      </c>
      <c r="D316" s="18">
        <v>43462</v>
      </c>
      <c r="E316" s="34">
        <f>YEAR(ClientDB[[#This Row],[Start Date]])</f>
        <v>2018</v>
      </c>
      <c r="F316" t="s">
        <v>820</v>
      </c>
      <c r="G316" t="str">
        <f>VLOOKUP(ClientDB[[#This Row],[Org Code]],Table2[],2,0)</f>
        <v>Oglev</v>
      </c>
      <c r="H316" s="10" t="s">
        <v>42</v>
      </c>
      <c r="I316" s="10" t="str">
        <f>_xlfn.XLOOKUP(ClientDB[[#This Row],[Country Code]],Table3[[#All],[Country Codes]],Table3[[#All],[Country]],1,TRUE)</f>
        <v>Slovakia</v>
      </c>
      <c r="J316" s="15">
        <v>2</v>
      </c>
      <c r="K316" s="15" t="str">
        <f>IF(ClientDB[[#This Row],[Start Date]]&gt;=$U$14,"New","")</f>
        <v/>
      </c>
      <c r="L316" s="15" t="str">
        <f>IF(OR(ClientDB[[#This Row],[Start Year]]&lt;2016,ClientDB[[#This Row],[Events]]&gt;=6),"Gift","")</f>
        <v/>
      </c>
      <c r="M31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16" s="15">
        <v>1</v>
      </c>
      <c r="O316" s="35">
        <f>IF(ClientDB[[#This Row],[Days]]=1,(ClientDB[[#This Row],[Days]]*$V$7),IF(ClientDB[[#This Row],[Days]]&gt;1,(ClientDB[[#This Row],[Days]]*$V$8),""))</f>
        <v>350</v>
      </c>
      <c r="P31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16" s="15" t="s">
        <v>901</v>
      </c>
      <c r="R316" s="15" t="str">
        <f>INDEX(Table4[[Regular]:[Special]],MATCH(ClientDB[[#Data],[Country Code]],Table4[[#Data],[Country]],0),MATCH(ClientDB[[#Data],[Meal]],Table4[[#Headers],[Regular]:[Special]],0))</f>
        <v>G</v>
      </c>
    </row>
    <row r="317" spans="1:18" x14ac:dyDescent="0.2">
      <c r="A317" s="10">
        <v>35444</v>
      </c>
      <c r="B317" t="s">
        <v>263</v>
      </c>
      <c r="C317" t="s">
        <v>606</v>
      </c>
      <c r="D317" s="18">
        <v>43795</v>
      </c>
      <c r="E317" s="34">
        <f>YEAR(ClientDB[[#This Row],[Start Date]])</f>
        <v>2019</v>
      </c>
      <c r="F317" t="s">
        <v>837</v>
      </c>
      <c r="G317" t="str">
        <f>VLOOKUP(ClientDB[[#This Row],[Org Code]],Table2[],2,0)</f>
        <v>WWT</v>
      </c>
      <c r="H317" s="10" t="s">
        <v>46</v>
      </c>
      <c r="I317" s="10" t="str">
        <f>_xlfn.XLOOKUP(ClientDB[[#This Row],[Country Code]],Table3[[#All],[Country Codes]],Table3[[#All],[Country]],1,TRUE)</f>
        <v>Germany</v>
      </c>
      <c r="J317" s="15">
        <v>3</v>
      </c>
      <c r="K317" s="15" t="str">
        <f>IF(ClientDB[[#This Row],[Start Date]]&gt;=$U$14,"New","")</f>
        <v/>
      </c>
      <c r="L317" s="15" t="str">
        <f>IF(OR(ClientDB[[#This Row],[Start Year]]&lt;2016,ClientDB[[#This Row],[Events]]&gt;=6),"Gift","")</f>
        <v/>
      </c>
      <c r="M31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17" s="15">
        <v>2</v>
      </c>
      <c r="O317" s="35">
        <f>IF(ClientDB[[#This Row],[Days]]=1,(ClientDB[[#This Row],[Days]]*$V$7),IF(ClientDB[[#This Row],[Days]]&gt;1,(ClientDB[[#This Row],[Days]]*$V$8),""))</f>
        <v>600</v>
      </c>
      <c r="P31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17" s="15" t="s">
        <v>900</v>
      </c>
      <c r="R317" s="15" t="str">
        <f>INDEX(Table4[[Regular]:[Special]],MATCH(ClientDB[[#Data],[Country Code]],Table4[[#Data],[Country]],0),MATCH(ClientDB[[#Data],[Meal]],Table4[[#Headers],[Regular]:[Special]],0))</f>
        <v>A</v>
      </c>
    </row>
    <row r="318" spans="1:18" x14ac:dyDescent="0.2">
      <c r="A318" s="10">
        <v>35525</v>
      </c>
      <c r="B318" t="s">
        <v>138</v>
      </c>
      <c r="C318" t="s">
        <v>139</v>
      </c>
      <c r="D318" s="18">
        <v>42935</v>
      </c>
      <c r="E318" s="34">
        <f>YEAR(ClientDB[[#This Row],[Start Date]])</f>
        <v>2017</v>
      </c>
      <c r="F318" t="s">
        <v>795</v>
      </c>
      <c r="G318" t="str">
        <f>VLOOKUP(ClientDB[[#This Row],[Org Code]],Table2[],2,0)</f>
        <v>AHA Networks</v>
      </c>
      <c r="H318" s="10" t="s">
        <v>11</v>
      </c>
      <c r="I318" s="10" t="str">
        <f>_xlfn.XLOOKUP(ClientDB[[#This Row],[Country Code]],Table3[[#All],[Country Codes]],Table3[[#All],[Country]],1,TRUE)</f>
        <v>Austria</v>
      </c>
      <c r="J318" s="15">
        <v>11</v>
      </c>
      <c r="K318" s="15" t="str">
        <f>IF(ClientDB[[#This Row],[Start Date]]&gt;=$U$14,"New","")</f>
        <v/>
      </c>
      <c r="L318" s="15" t="str">
        <f>IF(OR(ClientDB[[#This Row],[Start Year]]&lt;2016,ClientDB[[#This Row],[Events]]&gt;=6),"Gift","")</f>
        <v>Gift</v>
      </c>
      <c r="M318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318" s="15">
        <v>1</v>
      </c>
      <c r="O318" s="35">
        <f>IF(ClientDB[[#This Row],[Days]]=1,(ClientDB[[#This Row],[Days]]*$V$7),IF(ClientDB[[#This Row],[Days]]&gt;1,(ClientDB[[#This Row],[Days]]*$V$8),""))</f>
        <v>350</v>
      </c>
      <c r="P31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318" s="15" t="s">
        <v>901</v>
      </c>
      <c r="R318" s="15" t="str">
        <f>INDEX(Table4[[Regular]:[Special]],MATCH(ClientDB[[#Data],[Country Code]],Table4[[#Data],[Country]],0),MATCH(ClientDB[[#Data],[Meal]],Table4[[#Headers],[Regular]:[Special]],0))</f>
        <v>D</v>
      </c>
    </row>
    <row r="319" spans="1:18" x14ac:dyDescent="0.2">
      <c r="A319" s="10">
        <v>35718</v>
      </c>
      <c r="B319" t="s">
        <v>298</v>
      </c>
      <c r="C319" t="s">
        <v>299</v>
      </c>
      <c r="D319" s="18">
        <v>43485</v>
      </c>
      <c r="E319" s="34">
        <f>YEAR(ClientDB[[#This Row],[Start Date]])</f>
        <v>2019</v>
      </c>
      <c r="F319" t="s">
        <v>809</v>
      </c>
      <c r="G319" t="str">
        <f>VLOOKUP(ClientDB[[#This Row],[Org Code]],Table2[],2,0)</f>
        <v>Epsilon Tech</v>
      </c>
      <c r="H319" s="10" t="s">
        <v>15</v>
      </c>
      <c r="I319" s="10" t="str">
        <f>_xlfn.XLOOKUP(ClientDB[[#This Row],[Country Code]],Table3[[#All],[Country Codes]],Table3[[#All],[Country]],1,TRUE)</f>
        <v>United Kingdom</v>
      </c>
      <c r="J319" s="15">
        <v>2</v>
      </c>
      <c r="K319" s="15" t="str">
        <f>IF(ClientDB[[#This Row],[Start Date]]&gt;=$U$14,"New","")</f>
        <v/>
      </c>
      <c r="L319" s="15" t="str">
        <f>IF(OR(ClientDB[[#This Row],[Start Year]]&lt;2016,ClientDB[[#This Row],[Events]]&gt;=6),"Gift","")</f>
        <v/>
      </c>
      <c r="M31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19" s="15">
        <v>1</v>
      </c>
      <c r="O319" s="35">
        <f>IF(ClientDB[[#This Row],[Days]]=1,(ClientDB[[#This Row],[Days]]*$V$7),IF(ClientDB[[#This Row],[Days]]&gt;1,(ClientDB[[#This Row],[Days]]*$V$8),""))</f>
        <v>350</v>
      </c>
      <c r="P31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19" s="15" t="s">
        <v>900</v>
      </c>
      <c r="R319" s="15" t="str">
        <f>INDEX(Table4[[Regular]:[Special]],MATCH(ClientDB[[#Data],[Country Code]],Table4[[#Data],[Country]],0),MATCH(ClientDB[[#Data],[Meal]],Table4[[#Headers],[Regular]:[Special]],0))</f>
        <v>A</v>
      </c>
    </row>
    <row r="320" spans="1:18" x14ac:dyDescent="0.2">
      <c r="A320" s="10">
        <v>35888</v>
      </c>
      <c r="B320" t="s">
        <v>376</v>
      </c>
      <c r="C320" t="s">
        <v>377</v>
      </c>
      <c r="D320" s="18">
        <v>42491</v>
      </c>
      <c r="E320" s="34">
        <f>YEAR(ClientDB[[#This Row],[Start Date]])</f>
        <v>2016</v>
      </c>
      <c r="F320" t="s">
        <v>827</v>
      </c>
      <c r="G320" t="str">
        <f>VLOOKUP(ClientDB[[#This Row],[Org Code]],Table2[],2,0)</f>
        <v>Ripple Com</v>
      </c>
      <c r="H320" s="10" t="s">
        <v>34</v>
      </c>
      <c r="I320" s="10" t="str">
        <f>_xlfn.XLOOKUP(ClientDB[[#This Row],[Country Code]],Table3[[#All],[Country Codes]],Table3[[#All],[Country]],1,TRUE)</f>
        <v>United States</v>
      </c>
      <c r="J320" s="15">
        <v>9</v>
      </c>
      <c r="K320" s="15" t="str">
        <f>IF(ClientDB[[#This Row],[Start Date]]&gt;=$U$14,"New","")</f>
        <v/>
      </c>
      <c r="L320" s="15" t="str">
        <f>IF(OR(ClientDB[[#This Row],[Start Year]]&lt;2016,ClientDB[[#This Row],[Events]]&gt;=6),"Gift","")</f>
        <v>Gift</v>
      </c>
      <c r="M32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20" s="15">
        <v>2</v>
      </c>
      <c r="O320" s="35">
        <f>IF(ClientDB[[#This Row],[Days]]=1,(ClientDB[[#This Row],[Days]]*$V$7),IF(ClientDB[[#This Row],[Days]]&gt;1,(ClientDB[[#This Row],[Days]]*$V$8),""))</f>
        <v>600</v>
      </c>
      <c r="P32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320" s="15" t="s">
        <v>899</v>
      </c>
      <c r="R320" s="15" t="str">
        <f>INDEX(Table4[[Regular]:[Special]],MATCH(ClientDB[[#Data],[Country Code]],Table4[[#Data],[Country]],0),MATCH(ClientDB[[#Data],[Meal]],Table4[[#Headers],[Regular]:[Special]],0))</f>
        <v>F</v>
      </c>
    </row>
    <row r="321" spans="1:18" x14ac:dyDescent="0.2">
      <c r="A321" s="10">
        <v>36037</v>
      </c>
      <c r="B321" t="s">
        <v>12</v>
      </c>
      <c r="C321" t="s">
        <v>13</v>
      </c>
      <c r="D321" s="18">
        <v>43264</v>
      </c>
      <c r="E321" s="34">
        <f>YEAR(ClientDB[[#This Row],[Start Date]])</f>
        <v>2018</v>
      </c>
      <c r="F321" t="s">
        <v>801</v>
      </c>
      <c r="G321" t="str">
        <f>VLOOKUP(ClientDB[[#This Row],[Org Code]],Table2[],2,0)</f>
        <v>Collings University</v>
      </c>
      <c r="H321" s="10" t="s">
        <v>15</v>
      </c>
      <c r="I321" s="10" t="str">
        <f>_xlfn.XLOOKUP(ClientDB[[#This Row],[Country Code]],Table3[[#All],[Country Codes]],Table3[[#All],[Country]],1,TRUE)</f>
        <v>United Kingdom</v>
      </c>
      <c r="J321" s="15">
        <v>3</v>
      </c>
      <c r="K321" s="15" t="str">
        <f>IF(ClientDB[[#This Row],[Start Date]]&gt;=$U$14,"New","")</f>
        <v/>
      </c>
      <c r="L321" s="15" t="str">
        <f>IF(OR(ClientDB[[#This Row],[Start Year]]&lt;2016,ClientDB[[#This Row],[Events]]&gt;=6),"Gift","")</f>
        <v/>
      </c>
      <c r="M32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21" s="15">
        <v>1</v>
      </c>
      <c r="O321" s="35">
        <f>IF(ClientDB[[#This Row],[Days]]=1,(ClientDB[[#This Row],[Days]]*$V$7),IF(ClientDB[[#This Row],[Days]]&gt;1,(ClientDB[[#This Row],[Days]]*$V$8),""))</f>
        <v>350</v>
      </c>
      <c r="P32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21" s="15" t="s">
        <v>899</v>
      </c>
      <c r="R321" s="15" t="str">
        <f>INDEX(Table4[[Regular]:[Special]],MATCH(ClientDB[[#Data],[Country Code]],Table4[[#Data],[Country]],0),MATCH(ClientDB[[#Data],[Meal]],Table4[[#Headers],[Regular]:[Special]],0))</f>
        <v>A</v>
      </c>
    </row>
    <row r="322" spans="1:18" x14ac:dyDescent="0.2">
      <c r="A322" s="10">
        <v>36207</v>
      </c>
      <c r="B322" t="s">
        <v>225</v>
      </c>
      <c r="C322" t="s">
        <v>226</v>
      </c>
      <c r="D322" s="18">
        <v>43054</v>
      </c>
      <c r="E322" s="34">
        <f>YEAR(ClientDB[[#This Row],[Start Date]])</f>
        <v>2017</v>
      </c>
      <c r="F322" t="s">
        <v>810</v>
      </c>
      <c r="G322" t="str">
        <f>VLOOKUP(ClientDB[[#This Row],[Org Code]],Table2[],2,0)</f>
        <v>Euro-M</v>
      </c>
      <c r="H322" s="10" t="s">
        <v>7</v>
      </c>
      <c r="I322" s="10" t="str">
        <f>_xlfn.XLOOKUP(ClientDB[[#This Row],[Country Code]],Table3[[#All],[Country Codes]],Table3[[#All],[Country]],1,TRUE)</f>
        <v>Iran</v>
      </c>
      <c r="J322" s="15">
        <v>11</v>
      </c>
      <c r="K322" s="15" t="str">
        <f>IF(ClientDB[[#This Row],[Start Date]]&gt;=$U$14,"New","")</f>
        <v/>
      </c>
      <c r="L322" s="15" t="str">
        <f>IF(OR(ClientDB[[#This Row],[Start Year]]&lt;2016,ClientDB[[#This Row],[Events]]&gt;=6),"Gift","")</f>
        <v>Gift</v>
      </c>
      <c r="M322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322" s="15">
        <v>2</v>
      </c>
      <c r="O322" s="35">
        <f>IF(ClientDB[[#This Row],[Days]]=1,(ClientDB[[#This Row],[Days]]*$V$7),IF(ClientDB[[#This Row],[Days]]&gt;1,(ClientDB[[#This Row],[Days]]*$V$8),""))</f>
        <v>600</v>
      </c>
      <c r="P32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322" s="15" t="s">
        <v>900</v>
      </c>
      <c r="R322" s="15" t="str">
        <f>INDEX(Table4[[Regular]:[Special]],MATCH(ClientDB[[#Data],[Country Code]],Table4[[#Data],[Country]],0),MATCH(ClientDB[[#Data],[Meal]],Table4[[#Headers],[Regular]:[Special]],0))</f>
        <v>A</v>
      </c>
    </row>
    <row r="323" spans="1:18" x14ac:dyDescent="0.2">
      <c r="A323" s="10">
        <v>36369</v>
      </c>
      <c r="B323" t="s">
        <v>456</v>
      </c>
      <c r="C323" t="s">
        <v>457</v>
      </c>
      <c r="D323" s="18">
        <v>42806</v>
      </c>
      <c r="E323" s="34">
        <f>YEAR(ClientDB[[#This Row],[Start Date]])</f>
        <v>2017</v>
      </c>
      <c r="F323" t="s">
        <v>832</v>
      </c>
      <c r="G323" t="str">
        <f>VLOOKUP(ClientDB[[#This Row],[Org Code]],Table2[],2,0)</f>
        <v>TQ Processes</v>
      </c>
      <c r="H323" s="10" t="s">
        <v>15</v>
      </c>
      <c r="I323" s="10" t="str">
        <f>_xlfn.XLOOKUP(ClientDB[[#This Row],[Country Code]],Table3[[#All],[Country Codes]],Table3[[#All],[Country]],1,TRUE)</f>
        <v>United Kingdom</v>
      </c>
      <c r="J323" s="15">
        <v>5</v>
      </c>
      <c r="K323" s="15" t="str">
        <f>IF(ClientDB[[#This Row],[Start Date]]&gt;=$U$14,"New","")</f>
        <v/>
      </c>
      <c r="L323" s="15" t="str">
        <f>IF(OR(ClientDB[[#This Row],[Start Year]]&lt;2016,ClientDB[[#This Row],[Events]]&gt;=6),"Gift","")</f>
        <v/>
      </c>
      <c r="M32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23" s="15">
        <v>1</v>
      </c>
      <c r="O323" s="35">
        <f>IF(ClientDB[[#This Row],[Days]]=1,(ClientDB[[#This Row],[Days]]*$V$7),IF(ClientDB[[#This Row],[Days]]&gt;1,(ClientDB[[#This Row],[Days]]*$V$8),""))</f>
        <v>350</v>
      </c>
      <c r="P32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323" s="15" t="s">
        <v>899</v>
      </c>
      <c r="R323" s="15" t="str">
        <f>INDEX(Table4[[Regular]:[Special]],MATCH(ClientDB[[#Data],[Country Code]],Table4[[#Data],[Country]],0),MATCH(ClientDB[[#Data],[Meal]],Table4[[#Headers],[Regular]:[Special]],0))</f>
        <v>A</v>
      </c>
    </row>
    <row r="324" spans="1:18" x14ac:dyDescent="0.2">
      <c r="A324" s="10">
        <v>36477</v>
      </c>
      <c r="B324" t="s">
        <v>759</v>
      </c>
      <c r="C324" t="s">
        <v>760</v>
      </c>
      <c r="D324" s="18">
        <v>42121</v>
      </c>
      <c r="E324" s="34">
        <f>YEAR(ClientDB[[#This Row],[Start Date]])</f>
        <v>2015</v>
      </c>
      <c r="F324" t="s">
        <v>817</v>
      </c>
      <c r="G324" t="str">
        <f>VLOOKUP(ClientDB[[#This Row],[Org Code]],Table2[],2,0)</f>
        <v>LACNE</v>
      </c>
      <c r="H324" s="10" t="s">
        <v>761</v>
      </c>
      <c r="I324" s="10" t="str">
        <f>_xlfn.XLOOKUP(ClientDB[[#This Row],[Country Code]],Table3[[#All],[Country Codes]],Table3[[#All],[Country]],1,TRUE)</f>
        <v>Uruguay</v>
      </c>
      <c r="J324" s="15">
        <v>9</v>
      </c>
      <c r="K324" s="15" t="str">
        <f>IF(ClientDB[[#This Row],[Start Date]]&gt;=$U$14,"New","")</f>
        <v/>
      </c>
      <c r="L324" s="15" t="str">
        <f>IF(OR(ClientDB[[#This Row],[Start Year]]&lt;2016,ClientDB[[#This Row],[Events]]&gt;=6),"Gift","")</f>
        <v>Gift</v>
      </c>
      <c r="M32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24" s="15">
        <v>3</v>
      </c>
      <c r="O324" s="35">
        <f>IF(ClientDB[[#This Row],[Days]]=1,(ClientDB[[#This Row],[Days]]*$V$7),IF(ClientDB[[#This Row],[Days]]&gt;1,(ClientDB[[#This Row],[Days]]*$V$8),""))</f>
        <v>900</v>
      </c>
      <c r="P32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324" s="15" t="s">
        <v>901</v>
      </c>
      <c r="R324" s="15" t="str">
        <f>INDEX(Table4[[Regular]:[Special]],MATCH(ClientDB[[#Data],[Country Code]],Table4[[#Data],[Country]],0),MATCH(ClientDB[[#Data],[Meal]],Table4[[#Headers],[Regular]:[Special]],0))</f>
        <v>G</v>
      </c>
    </row>
    <row r="325" spans="1:18" x14ac:dyDescent="0.2">
      <c r="A325" s="10">
        <v>36495</v>
      </c>
      <c r="B325" t="s">
        <v>317</v>
      </c>
      <c r="C325" t="s">
        <v>318</v>
      </c>
      <c r="D325" s="18">
        <v>43731</v>
      </c>
      <c r="E325" s="34">
        <f>YEAR(ClientDB[[#This Row],[Start Date]])</f>
        <v>2019</v>
      </c>
      <c r="F325" t="s">
        <v>839</v>
      </c>
      <c r="G325" t="str">
        <f>VLOOKUP(ClientDB[[#This Row],[Org Code]],Table2[],2,0)</f>
        <v>Zconnect, Inc</v>
      </c>
      <c r="H325" s="10" t="s">
        <v>34</v>
      </c>
      <c r="I325" s="10" t="str">
        <f>_xlfn.XLOOKUP(ClientDB[[#This Row],[Country Code]],Table3[[#All],[Country Codes]],Table3[[#All],[Country]],1,TRUE)</f>
        <v>United States</v>
      </c>
      <c r="J325" s="15">
        <v>2</v>
      </c>
      <c r="K325" s="15" t="str">
        <f>IF(ClientDB[[#This Row],[Start Date]]&gt;=$U$14,"New","")</f>
        <v/>
      </c>
      <c r="L325" s="15" t="str">
        <f>IF(OR(ClientDB[[#This Row],[Start Year]]&lt;2016,ClientDB[[#This Row],[Events]]&gt;=6),"Gift","")</f>
        <v/>
      </c>
      <c r="M32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25" s="15">
        <v>1</v>
      </c>
      <c r="O325" s="35">
        <f>IF(ClientDB[[#This Row],[Days]]=1,(ClientDB[[#This Row],[Days]]*$V$7),IF(ClientDB[[#This Row],[Days]]&gt;1,(ClientDB[[#This Row],[Days]]*$V$8),""))</f>
        <v>350</v>
      </c>
      <c r="P32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25" s="15" t="s">
        <v>902</v>
      </c>
      <c r="R325" s="15" t="str">
        <f>INDEX(Table4[[Regular]:[Special]],MATCH(ClientDB[[#Data],[Country Code]],Table4[[#Data],[Country]],0),MATCH(ClientDB[[#Data],[Meal]],Table4[[#Headers],[Regular]:[Special]],0))</f>
        <v>F</v>
      </c>
    </row>
    <row r="326" spans="1:18" x14ac:dyDescent="0.2">
      <c r="A326" s="10">
        <v>36563</v>
      </c>
      <c r="B326" t="s">
        <v>348</v>
      </c>
      <c r="C326" t="s">
        <v>349</v>
      </c>
      <c r="D326" s="18">
        <v>43110</v>
      </c>
      <c r="E326" s="34">
        <f>YEAR(ClientDB[[#This Row],[Start Date]])</f>
        <v>2018</v>
      </c>
      <c r="F326" t="s">
        <v>827</v>
      </c>
      <c r="G326" t="str">
        <f>VLOOKUP(ClientDB[[#This Row],[Org Code]],Table2[],2,0)</f>
        <v>Ripple Com</v>
      </c>
      <c r="H326" s="10" t="s">
        <v>15</v>
      </c>
      <c r="I326" s="10" t="str">
        <f>_xlfn.XLOOKUP(ClientDB[[#This Row],[Country Code]],Table3[[#All],[Country Codes]],Table3[[#All],[Country]],1,TRUE)</f>
        <v>United Kingdom</v>
      </c>
      <c r="J326" s="15">
        <v>11</v>
      </c>
      <c r="K326" s="15" t="str">
        <f>IF(ClientDB[[#This Row],[Start Date]]&gt;=$U$14,"New","")</f>
        <v/>
      </c>
      <c r="L326" s="15" t="str">
        <f>IF(OR(ClientDB[[#This Row],[Start Year]]&lt;2016,ClientDB[[#This Row],[Events]]&gt;=6),"Gift","")</f>
        <v>Gift</v>
      </c>
      <c r="M326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326" s="15">
        <v>1</v>
      </c>
      <c r="O326" s="35">
        <f>IF(ClientDB[[#This Row],[Days]]=1,(ClientDB[[#This Row],[Days]]*$V$7),IF(ClientDB[[#This Row],[Days]]&gt;1,(ClientDB[[#This Row],[Days]]*$V$8),""))</f>
        <v>350</v>
      </c>
      <c r="P32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326" s="15" t="s">
        <v>901</v>
      </c>
      <c r="R326" s="15" t="str">
        <f>INDEX(Table4[[Regular]:[Special]],MATCH(ClientDB[[#Data],[Country Code]],Table4[[#Data],[Country]],0),MATCH(ClientDB[[#Data],[Meal]],Table4[[#Headers],[Regular]:[Special]],0))</f>
        <v>E</v>
      </c>
    </row>
    <row r="327" spans="1:18" x14ac:dyDescent="0.2">
      <c r="A327" s="10">
        <v>36573</v>
      </c>
      <c r="B327" t="s">
        <v>64</v>
      </c>
      <c r="C327" t="s">
        <v>65</v>
      </c>
      <c r="D327" s="18">
        <v>42658</v>
      </c>
      <c r="E327" s="34">
        <f>YEAR(ClientDB[[#This Row],[Start Date]])</f>
        <v>2016</v>
      </c>
      <c r="F327" t="s">
        <v>809</v>
      </c>
      <c r="G327" t="str">
        <f>VLOOKUP(ClientDB[[#This Row],[Org Code]],Table2[],2,0)</f>
        <v>Epsilon Tech</v>
      </c>
      <c r="H327" s="10" t="s">
        <v>7</v>
      </c>
      <c r="I327" s="10" t="str">
        <f>_xlfn.XLOOKUP(ClientDB[[#This Row],[Country Code]],Table3[[#All],[Country Codes]],Table3[[#All],[Country]],1,TRUE)</f>
        <v>Iran</v>
      </c>
      <c r="J327" s="15">
        <v>3</v>
      </c>
      <c r="K327" s="15" t="str">
        <f>IF(ClientDB[[#This Row],[Start Date]]&gt;=$U$14,"New","")</f>
        <v/>
      </c>
      <c r="L327" s="15" t="str">
        <f>IF(OR(ClientDB[[#This Row],[Start Year]]&lt;2016,ClientDB[[#This Row],[Events]]&gt;=6),"Gift","")</f>
        <v/>
      </c>
      <c r="M32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27" s="15">
        <v>2</v>
      </c>
      <c r="O327" s="35">
        <f>IF(ClientDB[[#This Row],[Days]]=1,(ClientDB[[#This Row],[Days]]*$V$7),IF(ClientDB[[#This Row],[Days]]&gt;1,(ClientDB[[#This Row],[Days]]*$V$8),""))</f>
        <v>600</v>
      </c>
      <c r="P32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27" s="15" t="s">
        <v>902</v>
      </c>
      <c r="R327" s="15" t="str">
        <f>INDEX(Table4[[Regular]:[Special]],MATCH(ClientDB[[#Data],[Country Code]],Table4[[#Data],[Country]],0),MATCH(ClientDB[[#Data],[Meal]],Table4[[#Headers],[Regular]:[Special]],0))</f>
        <v>C</v>
      </c>
    </row>
    <row r="328" spans="1:18" x14ac:dyDescent="0.2">
      <c r="A328" s="10">
        <v>36642</v>
      </c>
      <c r="B328" t="s">
        <v>620</v>
      </c>
      <c r="C328" t="s">
        <v>621</v>
      </c>
      <c r="D328" s="18">
        <v>42098</v>
      </c>
      <c r="E328" s="34">
        <f>YEAR(ClientDB[[#This Row],[Start Date]])</f>
        <v>2015</v>
      </c>
      <c r="F328" t="s">
        <v>840</v>
      </c>
      <c r="G328" t="str">
        <f>VLOOKUP(ClientDB[[#This Row],[Org Code]],Table2[],2,0)</f>
        <v>Zim Sales</v>
      </c>
      <c r="H328" s="10" t="s">
        <v>34</v>
      </c>
      <c r="I328" s="10" t="str">
        <f>_xlfn.XLOOKUP(ClientDB[[#This Row],[Country Code]],Table3[[#All],[Country Codes]],Table3[[#All],[Country]],1,TRUE)</f>
        <v>United States</v>
      </c>
      <c r="J328" s="15">
        <v>7</v>
      </c>
      <c r="K328" s="15" t="str">
        <f>IF(ClientDB[[#This Row],[Start Date]]&gt;=$U$14,"New","")</f>
        <v/>
      </c>
      <c r="L328" s="15" t="str">
        <f>IF(OR(ClientDB[[#This Row],[Start Year]]&lt;2016,ClientDB[[#This Row],[Events]]&gt;=6),"Gift","")</f>
        <v>Gift</v>
      </c>
      <c r="M32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28" s="15">
        <v>2</v>
      </c>
      <c r="O328" s="35">
        <f>IF(ClientDB[[#This Row],[Days]]=1,(ClientDB[[#This Row],[Days]]*$V$7),IF(ClientDB[[#This Row],[Days]]&gt;1,(ClientDB[[#This Row],[Days]]*$V$8),""))</f>
        <v>600</v>
      </c>
      <c r="P32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328" s="15" t="s">
        <v>901</v>
      </c>
      <c r="R328" s="15" t="str">
        <f>INDEX(Table4[[Regular]:[Special]],MATCH(ClientDB[[#Data],[Country Code]],Table4[[#Data],[Country]],0),MATCH(ClientDB[[#Data],[Meal]],Table4[[#Headers],[Regular]:[Special]],0))</f>
        <v>G</v>
      </c>
    </row>
    <row r="329" spans="1:18" x14ac:dyDescent="0.2">
      <c r="A329" s="10">
        <v>36681</v>
      </c>
      <c r="B329" t="s">
        <v>663</v>
      </c>
      <c r="C329" t="s">
        <v>664</v>
      </c>
      <c r="D329" s="18">
        <v>43120</v>
      </c>
      <c r="E329" s="34">
        <f>YEAR(ClientDB[[#This Row],[Start Date]])</f>
        <v>2018</v>
      </c>
      <c r="F329" t="s">
        <v>828</v>
      </c>
      <c r="G329" t="str">
        <f>VLOOKUP(ClientDB[[#This Row],[Org Code]],Table2[],2,0)</f>
        <v>Shaw Construction</v>
      </c>
      <c r="H329" s="10" t="s">
        <v>26</v>
      </c>
      <c r="I329" s="10" t="str">
        <f>_xlfn.XLOOKUP(ClientDB[[#This Row],[Country Code]],Table3[[#All],[Country Codes]],Table3[[#All],[Country]],1,TRUE)</f>
        <v>Ukraine</v>
      </c>
      <c r="J329" s="15">
        <v>3</v>
      </c>
      <c r="K329" s="15" t="str">
        <f>IF(ClientDB[[#This Row],[Start Date]]&gt;=$U$14,"New","")</f>
        <v/>
      </c>
      <c r="L329" s="15" t="str">
        <f>IF(OR(ClientDB[[#This Row],[Start Year]]&lt;2016,ClientDB[[#This Row],[Events]]&gt;=6),"Gift","")</f>
        <v/>
      </c>
      <c r="M32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29" s="15">
        <v>1</v>
      </c>
      <c r="O329" s="35">
        <f>IF(ClientDB[[#This Row],[Days]]=1,(ClientDB[[#This Row],[Days]]*$V$7),IF(ClientDB[[#This Row],[Days]]&gt;1,(ClientDB[[#This Row],[Days]]*$V$8),""))</f>
        <v>350</v>
      </c>
      <c r="P32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29" s="15" t="s">
        <v>899</v>
      </c>
      <c r="R329" s="15" t="str">
        <f>INDEX(Table4[[Regular]:[Special]],MATCH(ClientDB[[#Data],[Country Code]],Table4[[#Data],[Country]],0),MATCH(ClientDB[[#Data],[Meal]],Table4[[#Headers],[Regular]:[Special]],0))</f>
        <v>B</v>
      </c>
    </row>
    <row r="330" spans="1:18" x14ac:dyDescent="0.2">
      <c r="A330" s="10">
        <v>36774</v>
      </c>
      <c r="B330" t="s">
        <v>23</v>
      </c>
      <c r="C330" t="s">
        <v>267</v>
      </c>
      <c r="D330" s="18">
        <v>43028</v>
      </c>
      <c r="E330" s="34">
        <f>YEAR(ClientDB[[#This Row],[Start Date]])</f>
        <v>2017</v>
      </c>
      <c r="F330" t="s">
        <v>804</v>
      </c>
      <c r="G330" t="str">
        <f>VLOOKUP(ClientDB[[#This Row],[Org Code]],Table2[],2,0)</f>
        <v>Cyber Data Processing</v>
      </c>
      <c r="H330" s="10" t="s">
        <v>26</v>
      </c>
      <c r="I330" s="10" t="str">
        <f>_xlfn.XLOOKUP(ClientDB[[#This Row],[Country Code]],Table3[[#All],[Country Codes]],Table3[[#All],[Country]],1,TRUE)</f>
        <v>Ukraine</v>
      </c>
      <c r="J330" s="15">
        <v>3</v>
      </c>
      <c r="K330" s="15" t="str">
        <f>IF(ClientDB[[#This Row],[Start Date]]&gt;=$U$14,"New","")</f>
        <v/>
      </c>
      <c r="L330" s="15" t="str">
        <f>IF(OR(ClientDB[[#This Row],[Start Year]]&lt;2016,ClientDB[[#This Row],[Events]]&gt;=6),"Gift","")</f>
        <v/>
      </c>
      <c r="M33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30" s="15">
        <v>1</v>
      </c>
      <c r="O330" s="35">
        <f>IF(ClientDB[[#This Row],[Days]]=1,(ClientDB[[#This Row],[Days]]*$V$7),IF(ClientDB[[#This Row],[Days]]&gt;1,(ClientDB[[#This Row],[Days]]*$V$8),""))</f>
        <v>350</v>
      </c>
      <c r="P33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30" s="15" t="s">
        <v>901</v>
      </c>
      <c r="R330" s="15" t="str">
        <f>INDEX(Table4[[Regular]:[Special]],MATCH(ClientDB[[#Data],[Country Code]],Table4[[#Data],[Country]],0),MATCH(ClientDB[[#Data],[Meal]],Table4[[#Headers],[Regular]:[Special]],0))</f>
        <v>G</v>
      </c>
    </row>
    <row r="331" spans="1:18" x14ac:dyDescent="0.2">
      <c r="A331" s="10">
        <v>36799</v>
      </c>
      <c r="B331" t="s">
        <v>87</v>
      </c>
      <c r="C331" t="s">
        <v>88</v>
      </c>
      <c r="D331" s="18">
        <v>43099</v>
      </c>
      <c r="E331" s="34">
        <f>YEAR(ClientDB[[#This Row],[Start Date]])</f>
        <v>2017</v>
      </c>
      <c r="F331" t="s">
        <v>827</v>
      </c>
      <c r="G331" t="str">
        <f>VLOOKUP(ClientDB[[#This Row],[Org Code]],Table2[],2,0)</f>
        <v>Ripple Com</v>
      </c>
      <c r="H331" s="10" t="s">
        <v>15</v>
      </c>
      <c r="I331" s="10" t="str">
        <f>_xlfn.XLOOKUP(ClientDB[[#This Row],[Country Code]],Table3[[#All],[Country Codes]],Table3[[#All],[Country]],1,TRUE)</f>
        <v>United Kingdom</v>
      </c>
      <c r="J331" s="15">
        <v>4</v>
      </c>
      <c r="K331" s="15" t="str">
        <f>IF(ClientDB[[#This Row],[Start Date]]&gt;=$U$14,"New","")</f>
        <v/>
      </c>
      <c r="L331" s="15" t="str">
        <f>IF(OR(ClientDB[[#This Row],[Start Year]]&lt;2016,ClientDB[[#This Row],[Events]]&gt;=6),"Gift","")</f>
        <v/>
      </c>
      <c r="M33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31" s="15">
        <v>1</v>
      </c>
      <c r="O331" s="35">
        <f>IF(ClientDB[[#This Row],[Days]]=1,(ClientDB[[#This Row],[Days]]*$V$7),IF(ClientDB[[#This Row],[Days]]&gt;1,(ClientDB[[#This Row],[Days]]*$V$8),""))</f>
        <v>350</v>
      </c>
      <c r="P33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31" s="15" t="s">
        <v>900</v>
      </c>
      <c r="R331" s="15" t="str">
        <f>INDEX(Table4[[Regular]:[Special]],MATCH(ClientDB[[#Data],[Country Code]],Table4[[#Data],[Country]],0),MATCH(ClientDB[[#Data],[Meal]],Table4[[#Headers],[Regular]:[Special]],0))</f>
        <v>A</v>
      </c>
    </row>
    <row r="332" spans="1:18" x14ac:dyDescent="0.2">
      <c r="A332" s="10">
        <v>36870</v>
      </c>
      <c r="B332" t="s">
        <v>669</v>
      </c>
      <c r="C332" t="s">
        <v>670</v>
      </c>
      <c r="D332" s="18">
        <v>42134</v>
      </c>
      <c r="E332" s="34">
        <f>YEAR(ClientDB[[#This Row],[Start Date]])</f>
        <v>2015</v>
      </c>
      <c r="F332" t="s">
        <v>799</v>
      </c>
      <c r="G332" t="str">
        <f>VLOOKUP(ClientDB[[#This Row],[Org Code]],Table2[],2,0)</f>
        <v>ByteSize</v>
      </c>
      <c r="H332" s="10" t="s">
        <v>155</v>
      </c>
      <c r="I332" s="10" t="str">
        <f>_xlfn.XLOOKUP(ClientDB[[#This Row],[Country Code]],Table3[[#All],[Country Codes]],Table3[[#All],[Country]],1,TRUE)</f>
        <v>United Arab Emirates</v>
      </c>
      <c r="J332" s="15">
        <v>14</v>
      </c>
      <c r="K332" s="15" t="str">
        <f>IF(ClientDB[[#This Row],[Start Date]]&gt;=$U$14,"New","")</f>
        <v/>
      </c>
      <c r="L332" s="15" t="str">
        <f>IF(OR(ClientDB[[#This Row],[Start Year]]&lt;2016,ClientDB[[#This Row],[Events]]&gt;=6),"Gift","")</f>
        <v>Gift</v>
      </c>
      <c r="M332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332" s="15">
        <v>1</v>
      </c>
      <c r="O332" s="35">
        <f>IF(ClientDB[[#This Row],[Days]]=1,(ClientDB[[#This Row],[Days]]*$V$7),IF(ClientDB[[#This Row],[Days]]&gt;1,(ClientDB[[#This Row],[Days]]*$V$8),""))</f>
        <v>350</v>
      </c>
      <c r="P33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332" s="15" t="s">
        <v>902</v>
      </c>
      <c r="R332" s="15" t="str">
        <f>INDEX(Table4[[Regular]:[Special]],MATCH(ClientDB[[#Data],[Country Code]],Table4[[#Data],[Country]],0),MATCH(ClientDB[[#Data],[Meal]],Table4[[#Headers],[Regular]:[Special]],0))</f>
        <v>B</v>
      </c>
    </row>
    <row r="333" spans="1:18" x14ac:dyDescent="0.2">
      <c r="A333" s="10">
        <v>36941</v>
      </c>
      <c r="B333" t="s">
        <v>8</v>
      </c>
      <c r="C333" t="s">
        <v>9</v>
      </c>
      <c r="D333" s="18">
        <v>42100</v>
      </c>
      <c r="E333" s="34">
        <f>YEAR(ClientDB[[#This Row],[Start Date]])</f>
        <v>2015</v>
      </c>
      <c r="F333" t="s">
        <v>806</v>
      </c>
      <c r="G333" t="str">
        <f>VLOOKUP(ClientDB[[#This Row],[Org Code]],Table2[],2,0)</f>
        <v>DENIL</v>
      </c>
      <c r="H333" s="10" t="s">
        <v>11</v>
      </c>
      <c r="I333" s="10" t="str">
        <f>_xlfn.XLOOKUP(ClientDB[[#This Row],[Country Code]],Table3[[#All],[Country Codes]],Table3[[#All],[Country]],1,TRUE)</f>
        <v>Austria</v>
      </c>
      <c r="J333" s="15">
        <v>10</v>
      </c>
      <c r="K333" s="15" t="str">
        <f>IF(ClientDB[[#This Row],[Start Date]]&gt;=$U$14,"New","")</f>
        <v/>
      </c>
      <c r="L333" s="15" t="str">
        <f>IF(OR(ClientDB[[#This Row],[Start Year]]&lt;2016,ClientDB[[#This Row],[Events]]&gt;=6),"Gift","")</f>
        <v>Gift</v>
      </c>
      <c r="M333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333" s="15">
        <v>2</v>
      </c>
      <c r="O333" s="35">
        <f>IF(ClientDB[[#This Row],[Days]]=1,(ClientDB[[#This Row],[Days]]*$V$7),IF(ClientDB[[#This Row],[Days]]&gt;1,(ClientDB[[#This Row],[Days]]*$V$8),""))</f>
        <v>600</v>
      </c>
      <c r="P33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333" s="15" t="s">
        <v>901</v>
      </c>
      <c r="R333" s="15" t="str">
        <f>INDEX(Table4[[Regular]:[Special]],MATCH(ClientDB[[#Data],[Country Code]],Table4[[#Data],[Country]],0),MATCH(ClientDB[[#Data],[Meal]],Table4[[#Headers],[Regular]:[Special]],0))</f>
        <v>D</v>
      </c>
    </row>
    <row r="334" spans="1:18" x14ac:dyDescent="0.2">
      <c r="A334" s="10">
        <v>37017</v>
      </c>
      <c r="B334" t="s">
        <v>399</v>
      </c>
      <c r="C334" t="s">
        <v>400</v>
      </c>
      <c r="D334" s="18">
        <v>42116</v>
      </c>
      <c r="E334" s="34">
        <f>YEAR(ClientDB[[#This Row],[Start Date]])</f>
        <v>2015</v>
      </c>
      <c r="F334" t="s">
        <v>818</v>
      </c>
      <c r="G334" t="str">
        <f>VLOOKUP(ClientDB[[#This Row],[Org Code]],Table2[],2,0)</f>
        <v>Mojbal</v>
      </c>
      <c r="H334" s="10" t="s">
        <v>30</v>
      </c>
      <c r="I334" s="10" t="str">
        <f>_xlfn.XLOOKUP(ClientDB[[#This Row],[Country Code]],Table3[[#All],[Country Codes]],Table3[[#All],[Country]],1,TRUE)</f>
        <v>Bahrain</v>
      </c>
      <c r="J334" s="15">
        <v>3</v>
      </c>
      <c r="K334" s="15" t="str">
        <f>IF(ClientDB[[#This Row],[Start Date]]&gt;=$U$14,"New","")</f>
        <v/>
      </c>
      <c r="L334" s="15" t="str">
        <f>IF(OR(ClientDB[[#This Row],[Start Year]]&lt;2016,ClientDB[[#This Row],[Events]]&gt;=6),"Gift","")</f>
        <v>Gift</v>
      </c>
      <c r="M33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34" s="15">
        <v>3</v>
      </c>
      <c r="O334" s="35">
        <f>IF(ClientDB[[#This Row],[Days]]=1,(ClientDB[[#This Row],[Days]]*$V$7),IF(ClientDB[[#This Row],[Days]]&gt;1,(ClientDB[[#This Row],[Days]]*$V$8),""))</f>
        <v>900</v>
      </c>
      <c r="P33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34" s="15" t="s">
        <v>901</v>
      </c>
      <c r="R334" s="15" t="str">
        <f>INDEX(Table4[[Regular]:[Special]],MATCH(ClientDB[[#Data],[Country Code]],Table4[[#Data],[Country]],0),MATCH(ClientDB[[#Data],[Meal]],Table4[[#Headers],[Regular]:[Special]],0))</f>
        <v>D</v>
      </c>
    </row>
    <row r="335" spans="1:18" x14ac:dyDescent="0.2">
      <c r="A335" s="10">
        <v>37188</v>
      </c>
      <c r="B335" t="s">
        <v>328</v>
      </c>
      <c r="C335" t="s">
        <v>329</v>
      </c>
      <c r="D335" s="18">
        <v>42406</v>
      </c>
      <c r="E335" s="34">
        <f>YEAR(ClientDB[[#This Row],[Start Date]])</f>
        <v>2016</v>
      </c>
      <c r="F335" t="s">
        <v>823</v>
      </c>
      <c r="G335" t="str">
        <f>VLOOKUP(ClientDB[[#This Row],[Org Code]],Table2[],2,0)</f>
        <v>Pilco Streambank</v>
      </c>
      <c r="H335" s="10" t="s">
        <v>59</v>
      </c>
      <c r="I335" s="10" t="str">
        <f>_xlfn.XLOOKUP(ClientDB[[#This Row],[Country Code]],Table3[[#All],[Country Codes]],Table3[[#All],[Country]],1,TRUE)</f>
        <v>Netherlands</v>
      </c>
      <c r="J335" s="15">
        <v>7</v>
      </c>
      <c r="K335" s="15" t="str">
        <f>IF(ClientDB[[#This Row],[Start Date]]&gt;=$U$14,"New","")</f>
        <v/>
      </c>
      <c r="L335" s="15" t="str">
        <f>IF(OR(ClientDB[[#This Row],[Start Year]]&lt;2016,ClientDB[[#This Row],[Events]]&gt;=6),"Gift","")</f>
        <v>Gift</v>
      </c>
      <c r="M33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35" s="15">
        <v>1</v>
      </c>
      <c r="O335" s="35">
        <f>IF(ClientDB[[#This Row],[Days]]=1,(ClientDB[[#This Row],[Days]]*$V$7),IF(ClientDB[[#This Row],[Days]]&gt;1,(ClientDB[[#This Row],[Days]]*$V$8),""))</f>
        <v>350</v>
      </c>
      <c r="P33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335" s="15" t="s">
        <v>901</v>
      </c>
      <c r="R335" s="15" t="str">
        <f>INDEX(Table4[[Regular]:[Special]],MATCH(ClientDB[[#Data],[Country Code]],Table4[[#Data],[Country]],0),MATCH(ClientDB[[#Data],[Meal]],Table4[[#Headers],[Regular]:[Special]],0))</f>
        <v>F</v>
      </c>
    </row>
    <row r="336" spans="1:18" x14ac:dyDescent="0.2">
      <c r="A336" s="10">
        <v>37250</v>
      </c>
      <c r="B336" t="s">
        <v>470</v>
      </c>
      <c r="C336" t="s">
        <v>471</v>
      </c>
      <c r="D336" s="18">
        <v>42880</v>
      </c>
      <c r="E336" s="34">
        <f>YEAR(ClientDB[[#This Row],[Start Date]])</f>
        <v>2017</v>
      </c>
      <c r="F336" t="s">
        <v>819</v>
      </c>
      <c r="G336" t="str">
        <f>VLOOKUP(ClientDB[[#This Row],[Org Code]],Table2[],2,0)</f>
        <v>NetaAssist</v>
      </c>
      <c r="H336" s="10" t="s">
        <v>26</v>
      </c>
      <c r="I336" s="10" t="str">
        <f>_xlfn.XLOOKUP(ClientDB[[#This Row],[Country Code]],Table3[[#All],[Country Codes]],Table3[[#All],[Country]],1,TRUE)</f>
        <v>Ukraine</v>
      </c>
      <c r="J336" s="15">
        <v>8</v>
      </c>
      <c r="K336" s="15" t="str">
        <f>IF(ClientDB[[#This Row],[Start Date]]&gt;=$U$14,"New","")</f>
        <v/>
      </c>
      <c r="L336" s="15" t="str">
        <f>IF(OR(ClientDB[[#This Row],[Start Year]]&lt;2016,ClientDB[[#This Row],[Events]]&gt;=6),"Gift","")</f>
        <v>Gift</v>
      </c>
      <c r="M33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36" s="15">
        <v>3</v>
      </c>
      <c r="O336" s="35">
        <f>IF(ClientDB[[#This Row],[Days]]=1,(ClientDB[[#This Row],[Days]]*$V$7),IF(ClientDB[[#This Row],[Days]]&gt;1,(ClientDB[[#This Row],[Days]]*$V$8),""))</f>
        <v>900</v>
      </c>
      <c r="P33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336" s="15" t="s">
        <v>901</v>
      </c>
      <c r="R336" s="15" t="str">
        <f>INDEX(Table4[[Regular]:[Special]],MATCH(ClientDB[[#Data],[Country Code]],Table4[[#Data],[Country]],0),MATCH(ClientDB[[#Data],[Meal]],Table4[[#Headers],[Regular]:[Special]],0))</f>
        <v>G</v>
      </c>
    </row>
    <row r="337" spans="1:18" x14ac:dyDescent="0.2">
      <c r="A337" s="10">
        <v>37373</v>
      </c>
      <c r="B337" t="s">
        <v>410</v>
      </c>
      <c r="C337" t="s">
        <v>411</v>
      </c>
      <c r="D337" s="18">
        <v>43184</v>
      </c>
      <c r="E337" s="34">
        <f>YEAR(ClientDB[[#This Row],[Start Date]])</f>
        <v>2018</v>
      </c>
      <c r="F337" t="s">
        <v>832</v>
      </c>
      <c r="G337" t="str">
        <f>VLOOKUP(ClientDB[[#This Row],[Org Code]],Table2[],2,0)</f>
        <v>TQ Processes</v>
      </c>
      <c r="H337" s="10" t="s">
        <v>15</v>
      </c>
      <c r="I337" s="10" t="str">
        <f>_xlfn.XLOOKUP(ClientDB[[#This Row],[Country Code]],Table3[[#All],[Country Codes]],Table3[[#All],[Country]],1,TRUE)</f>
        <v>United Kingdom</v>
      </c>
      <c r="J337" s="15">
        <v>2</v>
      </c>
      <c r="K337" s="15" t="str">
        <f>IF(ClientDB[[#This Row],[Start Date]]&gt;=$U$14,"New","")</f>
        <v/>
      </c>
      <c r="L337" s="15" t="str">
        <f>IF(OR(ClientDB[[#This Row],[Start Year]]&lt;2016,ClientDB[[#This Row],[Events]]&gt;=6),"Gift","")</f>
        <v/>
      </c>
      <c r="M33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37" s="15">
        <v>3</v>
      </c>
      <c r="O337" s="35">
        <f>IF(ClientDB[[#This Row],[Days]]=1,(ClientDB[[#This Row],[Days]]*$V$7),IF(ClientDB[[#This Row],[Days]]&gt;1,(ClientDB[[#This Row],[Days]]*$V$8),""))</f>
        <v>900</v>
      </c>
      <c r="P33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37" s="15" t="s">
        <v>901</v>
      </c>
      <c r="R337" s="15" t="str">
        <f>INDEX(Table4[[Regular]:[Special]],MATCH(ClientDB[[#Data],[Country Code]],Table4[[#Data],[Country]],0),MATCH(ClientDB[[#Data],[Meal]],Table4[[#Headers],[Regular]:[Special]],0))</f>
        <v>E</v>
      </c>
    </row>
    <row r="338" spans="1:18" x14ac:dyDescent="0.2">
      <c r="A338" s="10">
        <v>37393</v>
      </c>
      <c r="B338" t="s">
        <v>280</v>
      </c>
      <c r="C338" t="s">
        <v>281</v>
      </c>
      <c r="D338" s="18">
        <v>42384</v>
      </c>
      <c r="E338" s="34">
        <f>YEAR(ClientDB[[#This Row],[Start Date]])</f>
        <v>2016</v>
      </c>
      <c r="F338" t="s">
        <v>829</v>
      </c>
      <c r="G338" t="str">
        <f>VLOOKUP(ClientDB[[#This Row],[Org Code]],Table2[],2,0)</f>
        <v>StepAhead</v>
      </c>
      <c r="H338" s="10" t="s">
        <v>282</v>
      </c>
      <c r="I338" s="10" t="str">
        <f>_xlfn.XLOOKUP(ClientDB[[#This Row],[Country Code]],Table3[[#All],[Country Codes]],Table3[[#All],[Country]],1,TRUE)</f>
        <v>Italy</v>
      </c>
      <c r="J338" s="15">
        <v>9</v>
      </c>
      <c r="K338" s="15" t="str">
        <f>IF(ClientDB[[#This Row],[Start Date]]&gt;=$U$14,"New","")</f>
        <v/>
      </c>
      <c r="L338" s="15" t="str">
        <f>IF(OR(ClientDB[[#This Row],[Start Year]]&lt;2016,ClientDB[[#This Row],[Events]]&gt;=6),"Gift","")</f>
        <v>Gift</v>
      </c>
      <c r="M33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38" s="15">
        <v>2</v>
      </c>
      <c r="O338" s="35">
        <f>IF(ClientDB[[#This Row],[Days]]=1,(ClientDB[[#This Row],[Days]]*$V$7),IF(ClientDB[[#This Row],[Days]]&gt;1,(ClientDB[[#This Row],[Days]]*$V$8),""))</f>
        <v>600</v>
      </c>
      <c r="P33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338" s="15" t="s">
        <v>901</v>
      </c>
      <c r="R338" s="15" t="str">
        <f>INDEX(Table4[[Regular]:[Special]],MATCH(ClientDB[[#Data],[Country Code]],Table4[[#Data],[Country]],0),MATCH(ClientDB[[#Data],[Meal]],Table4[[#Headers],[Regular]:[Special]],0))</f>
        <v>F</v>
      </c>
    </row>
    <row r="339" spans="1:18" x14ac:dyDescent="0.2">
      <c r="A339" s="10">
        <v>37460</v>
      </c>
      <c r="B339" t="s">
        <v>70</v>
      </c>
      <c r="C339" t="s">
        <v>467</v>
      </c>
      <c r="D339" s="18">
        <v>42324</v>
      </c>
      <c r="E339" s="34">
        <f>YEAR(ClientDB[[#This Row],[Start Date]])</f>
        <v>2015</v>
      </c>
      <c r="F339" t="s">
        <v>801</v>
      </c>
      <c r="G339" t="str">
        <f>VLOOKUP(ClientDB[[#This Row],[Org Code]],Table2[],2,0)</f>
        <v>Collings University</v>
      </c>
      <c r="H339" s="10" t="s">
        <v>363</v>
      </c>
      <c r="I339" s="10" t="str">
        <f>_xlfn.XLOOKUP(ClientDB[[#This Row],[Country Code]],Table3[[#All],[Country Codes]],Table3[[#All],[Country]],1,TRUE)</f>
        <v>Hong Kong</v>
      </c>
      <c r="J339" s="15">
        <v>4</v>
      </c>
      <c r="K339" s="15" t="str">
        <f>IF(ClientDB[[#This Row],[Start Date]]&gt;=$U$14,"New","")</f>
        <v/>
      </c>
      <c r="L339" s="15" t="str">
        <f>IF(OR(ClientDB[[#This Row],[Start Year]]&lt;2016,ClientDB[[#This Row],[Events]]&gt;=6),"Gift","")</f>
        <v>Gift</v>
      </c>
      <c r="M33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39" s="15">
        <v>2</v>
      </c>
      <c r="O339" s="35">
        <f>IF(ClientDB[[#This Row],[Days]]=1,(ClientDB[[#This Row],[Days]]*$V$7),IF(ClientDB[[#This Row],[Days]]&gt;1,(ClientDB[[#This Row],[Days]]*$V$8),""))</f>
        <v>600</v>
      </c>
      <c r="P33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39" s="15" t="s">
        <v>899</v>
      </c>
      <c r="R339" s="15" t="str">
        <f>INDEX(Table4[[Regular]:[Special]],MATCH(ClientDB[[#Data],[Country Code]],Table4[[#Data],[Country]],0),MATCH(ClientDB[[#Data],[Meal]],Table4[[#Headers],[Regular]:[Special]],0))</f>
        <v>A</v>
      </c>
    </row>
    <row r="340" spans="1:18" x14ac:dyDescent="0.2">
      <c r="A340" s="10">
        <v>37498</v>
      </c>
      <c r="B340" t="s">
        <v>609</v>
      </c>
      <c r="C340" t="s">
        <v>610</v>
      </c>
      <c r="D340" s="18">
        <v>43689</v>
      </c>
      <c r="E340" s="34">
        <f>YEAR(ClientDB[[#This Row],[Start Date]])</f>
        <v>2019</v>
      </c>
      <c r="F340" t="s">
        <v>801</v>
      </c>
      <c r="G340" t="str">
        <f>VLOOKUP(ClientDB[[#This Row],[Org Code]],Table2[],2,0)</f>
        <v>Collings University</v>
      </c>
      <c r="H340" s="10" t="s">
        <v>7</v>
      </c>
      <c r="I340" s="10" t="str">
        <f>_xlfn.XLOOKUP(ClientDB[[#This Row],[Country Code]],Table3[[#All],[Country Codes]],Table3[[#All],[Country]],1,TRUE)</f>
        <v>Iran</v>
      </c>
      <c r="J340" s="15">
        <v>3</v>
      </c>
      <c r="K340" s="15" t="str">
        <f>IF(ClientDB[[#This Row],[Start Date]]&gt;=$U$14,"New","")</f>
        <v/>
      </c>
      <c r="L340" s="15" t="str">
        <f>IF(OR(ClientDB[[#This Row],[Start Year]]&lt;2016,ClientDB[[#This Row],[Events]]&gt;=6),"Gift","")</f>
        <v/>
      </c>
      <c r="M34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40" s="15">
        <v>2</v>
      </c>
      <c r="O340" s="35">
        <f>IF(ClientDB[[#This Row],[Days]]=1,(ClientDB[[#This Row],[Days]]*$V$7),IF(ClientDB[[#This Row],[Days]]&gt;1,(ClientDB[[#This Row],[Days]]*$V$8),""))</f>
        <v>600</v>
      </c>
      <c r="P34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40" s="15" t="s">
        <v>901</v>
      </c>
      <c r="R340" s="15" t="str">
        <f>INDEX(Table4[[Regular]:[Special]],MATCH(ClientDB[[#Data],[Country Code]],Table4[[#Data],[Country]],0),MATCH(ClientDB[[#Data],[Meal]],Table4[[#Headers],[Regular]:[Special]],0))</f>
        <v>F</v>
      </c>
    </row>
    <row r="341" spans="1:18" x14ac:dyDescent="0.2">
      <c r="A341" s="10">
        <v>37529</v>
      </c>
      <c r="B341" t="s">
        <v>491</v>
      </c>
      <c r="C341" t="s">
        <v>492</v>
      </c>
      <c r="D341" s="18">
        <v>42193</v>
      </c>
      <c r="E341" s="34">
        <f>YEAR(ClientDB[[#This Row],[Start Date]])</f>
        <v>2015</v>
      </c>
      <c r="F341" t="s">
        <v>825</v>
      </c>
      <c r="G341" t="str">
        <f>VLOOKUP(ClientDB[[#This Row],[Org Code]],Table2[],2,0)</f>
        <v>Qinisar</v>
      </c>
      <c r="H341" s="10" t="s">
        <v>26</v>
      </c>
      <c r="I341" s="10" t="str">
        <f>_xlfn.XLOOKUP(ClientDB[[#This Row],[Country Code]],Table3[[#All],[Country Codes]],Table3[[#All],[Country]],1,TRUE)</f>
        <v>Ukraine</v>
      </c>
      <c r="J341" s="15">
        <v>21</v>
      </c>
      <c r="K341" s="15" t="str">
        <f>IF(ClientDB[[#This Row],[Start Date]]&gt;=$U$14,"New","")</f>
        <v/>
      </c>
      <c r="L341" s="15" t="str">
        <f>IF(OR(ClientDB[[#This Row],[Start Year]]&lt;2016,ClientDB[[#This Row],[Events]]&gt;=6),"Gift","")</f>
        <v>Gift</v>
      </c>
      <c r="M341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341" s="15">
        <v>2</v>
      </c>
      <c r="O341" s="35">
        <f>IF(ClientDB[[#This Row],[Days]]=1,(ClientDB[[#This Row],[Days]]*$V$7),IF(ClientDB[[#This Row],[Days]]&gt;1,(ClientDB[[#This Row],[Days]]*$V$8),""))</f>
        <v>600</v>
      </c>
      <c r="P34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341" s="15" t="s">
        <v>901</v>
      </c>
      <c r="R341" s="15" t="str">
        <f>INDEX(Table4[[Regular]:[Special]],MATCH(ClientDB[[#Data],[Country Code]],Table4[[#Data],[Country]],0),MATCH(ClientDB[[#Data],[Meal]],Table4[[#Headers],[Regular]:[Special]],0))</f>
        <v>G</v>
      </c>
    </row>
    <row r="342" spans="1:18" x14ac:dyDescent="0.2">
      <c r="A342" s="10">
        <v>37563</v>
      </c>
      <c r="B342" t="s">
        <v>646</v>
      </c>
      <c r="C342" t="s">
        <v>647</v>
      </c>
      <c r="D342" s="18">
        <v>42784</v>
      </c>
      <c r="E342" s="34">
        <f>YEAR(ClientDB[[#This Row],[Start Date]])</f>
        <v>2017</v>
      </c>
      <c r="F342" t="s">
        <v>803</v>
      </c>
      <c r="G342" t="str">
        <f>VLOOKUP(ClientDB[[#This Row],[Org Code]],Table2[],2,0)</f>
        <v>CTX</v>
      </c>
      <c r="H342" s="10" t="s">
        <v>648</v>
      </c>
      <c r="I342" s="10" t="str">
        <f>_xlfn.XLOOKUP(ClientDB[[#This Row],[Country Code]],Table3[[#All],[Country Codes]],Table3[[#All],[Country]],1,TRUE)</f>
        <v>Iraq</v>
      </c>
      <c r="J342" s="15">
        <v>7</v>
      </c>
      <c r="K342" s="15" t="str">
        <f>IF(ClientDB[[#This Row],[Start Date]]&gt;=$U$14,"New","")</f>
        <v/>
      </c>
      <c r="L342" s="15" t="str">
        <f>IF(OR(ClientDB[[#This Row],[Start Year]]&lt;2016,ClientDB[[#This Row],[Events]]&gt;=6),"Gift","")</f>
        <v>Gift</v>
      </c>
      <c r="M34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42" s="15">
        <v>2</v>
      </c>
      <c r="O342" s="35">
        <f>IF(ClientDB[[#This Row],[Days]]=1,(ClientDB[[#This Row],[Days]]*$V$7),IF(ClientDB[[#This Row],[Days]]&gt;1,(ClientDB[[#This Row],[Days]]*$V$8),""))</f>
        <v>600</v>
      </c>
      <c r="P34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342" s="15" t="s">
        <v>900</v>
      </c>
      <c r="R342" s="15" t="str">
        <f>INDEX(Table4[[Regular]:[Special]],MATCH(ClientDB[[#Data],[Country Code]],Table4[[#Data],[Country]],0),MATCH(ClientDB[[#Data],[Meal]],Table4[[#Headers],[Regular]:[Special]],0))</f>
        <v>A</v>
      </c>
    </row>
    <row r="343" spans="1:18" x14ac:dyDescent="0.2">
      <c r="A343" s="10">
        <v>37567</v>
      </c>
      <c r="B343" t="s">
        <v>602</v>
      </c>
      <c r="C343" t="s">
        <v>603</v>
      </c>
      <c r="D343" s="18">
        <v>43150</v>
      </c>
      <c r="E343" s="34">
        <f>YEAR(ClientDB[[#This Row],[Start Date]])</f>
        <v>2018</v>
      </c>
      <c r="F343" t="s">
        <v>816</v>
      </c>
      <c r="G343" t="str">
        <f>VLOOKUP(ClientDB[[#This Row],[Org Code]],Table2[],2,0)</f>
        <v>IPI Bucharest</v>
      </c>
      <c r="H343" s="10" t="s">
        <v>54</v>
      </c>
      <c r="I343" s="10" t="str">
        <f>_xlfn.XLOOKUP(ClientDB[[#This Row],[Country Code]],Table3[[#All],[Country Codes]],Table3[[#All],[Country]],1,TRUE)</f>
        <v>Romania</v>
      </c>
      <c r="J343" s="15">
        <v>9</v>
      </c>
      <c r="K343" s="15" t="str">
        <f>IF(ClientDB[[#This Row],[Start Date]]&gt;=$U$14,"New","")</f>
        <v/>
      </c>
      <c r="L343" s="15" t="str">
        <f>IF(OR(ClientDB[[#This Row],[Start Year]]&lt;2016,ClientDB[[#This Row],[Events]]&gt;=6),"Gift","")</f>
        <v>Gift</v>
      </c>
      <c r="M34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43" s="15">
        <v>3</v>
      </c>
      <c r="O343" s="35">
        <f>IF(ClientDB[[#This Row],[Days]]=1,(ClientDB[[#This Row],[Days]]*$V$7),IF(ClientDB[[#This Row],[Days]]&gt;1,(ClientDB[[#This Row],[Days]]*$V$8),""))</f>
        <v>900</v>
      </c>
      <c r="P34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343" s="15" t="s">
        <v>901</v>
      </c>
      <c r="R343" s="15" t="str">
        <f>INDEX(Table4[[Regular]:[Special]],MATCH(ClientDB[[#Data],[Country Code]],Table4[[#Data],[Country]],0),MATCH(ClientDB[[#Data],[Meal]],Table4[[#Headers],[Regular]:[Special]],0))</f>
        <v>G</v>
      </c>
    </row>
    <row r="344" spans="1:18" x14ac:dyDescent="0.2">
      <c r="A344" s="10">
        <v>37571</v>
      </c>
      <c r="B344" t="s">
        <v>85</v>
      </c>
      <c r="C344" t="s">
        <v>86</v>
      </c>
      <c r="D344" s="18">
        <v>43273</v>
      </c>
      <c r="E344" s="34">
        <f>YEAR(ClientDB[[#This Row],[Start Date]])</f>
        <v>2018</v>
      </c>
      <c r="F344" t="s">
        <v>799</v>
      </c>
      <c r="G344" t="str">
        <f>VLOOKUP(ClientDB[[#This Row],[Org Code]],Table2[],2,0)</f>
        <v>ByteSize</v>
      </c>
      <c r="H344" s="10" t="s">
        <v>7</v>
      </c>
      <c r="I344" s="10" t="str">
        <f>_xlfn.XLOOKUP(ClientDB[[#This Row],[Country Code]],Table3[[#All],[Country Codes]],Table3[[#All],[Country]],1,TRUE)</f>
        <v>Iran</v>
      </c>
      <c r="J344" s="15">
        <v>5</v>
      </c>
      <c r="K344" s="15" t="str">
        <f>IF(ClientDB[[#This Row],[Start Date]]&gt;=$U$14,"New","")</f>
        <v/>
      </c>
      <c r="L344" s="15" t="str">
        <f>IF(OR(ClientDB[[#This Row],[Start Year]]&lt;2016,ClientDB[[#This Row],[Events]]&gt;=6),"Gift","")</f>
        <v/>
      </c>
      <c r="M34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44" s="15">
        <v>3</v>
      </c>
      <c r="O344" s="35">
        <f>IF(ClientDB[[#This Row],[Days]]=1,(ClientDB[[#This Row],[Days]]*$V$7),IF(ClientDB[[#This Row],[Days]]&gt;1,(ClientDB[[#This Row],[Days]]*$V$8),""))</f>
        <v>900</v>
      </c>
      <c r="P34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344" s="15" t="s">
        <v>901</v>
      </c>
      <c r="R344" s="15" t="str">
        <f>INDEX(Table4[[Regular]:[Special]],MATCH(ClientDB[[#Data],[Country Code]],Table4[[#Data],[Country]],0),MATCH(ClientDB[[#Data],[Meal]],Table4[[#Headers],[Regular]:[Special]],0))</f>
        <v>F</v>
      </c>
    </row>
    <row r="345" spans="1:18" x14ac:dyDescent="0.2">
      <c r="A345" s="10">
        <v>37598</v>
      </c>
      <c r="B345" t="s">
        <v>552</v>
      </c>
      <c r="C345" t="s">
        <v>553</v>
      </c>
      <c r="D345" s="18">
        <v>42313</v>
      </c>
      <c r="E345" s="34">
        <f>YEAR(ClientDB[[#This Row],[Start Date]])</f>
        <v>2015</v>
      </c>
      <c r="F345" t="s">
        <v>831</v>
      </c>
      <c r="G345" t="str">
        <f>VLOOKUP(ClientDB[[#This Row],[Org Code]],Table2[],2,0)</f>
        <v>TatSan</v>
      </c>
      <c r="H345" s="10" t="s">
        <v>15</v>
      </c>
      <c r="I345" s="10" t="str">
        <f>_xlfn.XLOOKUP(ClientDB[[#This Row],[Country Code]],Table3[[#All],[Country Codes]],Table3[[#All],[Country]],1,TRUE)</f>
        <v>United Kingdom</v>
      </c>
      <c r="J345" s="15">
        <v>4</v>
      </c>
      <c r="K345" s="15" t="str">
        <f>IF(ClientDB[[#This Row],[Start Date]]&gt;=$U$14,"New","")</f>
        <v/>
      </c>
      <c r="L345" s="15" t="str">
        <f>IF(OR(ClientDB[[#This Row],[Start Year]]&lt;2016,ClientDB[[#This Row],[Events]]&gt;=6),"Gift","")</f>
        <v>Gift</v>
      </c>
      <c r="M34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45" s="15">
        <v>3</v>
      </c>
      <c r="O345" s="35">
        <f>IF(ClientDB[[#This Row],[Days]]=1,(ClientDB[[#This Row],[Days]]*$V$7),IF(ClientDB[[#This Row],[Days]]&gt;1,(ClientDB[[#This Row],[Days]]*$V$8),""))</f>
        <v>900</v>
      </c>
      <c r="P34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45" s="15" t="s">
        <v>902</v>
      </c>
      <c r="R345" s="15" t="str">
        <f>INDEX(Table4[[Regular]:[Special]],MATCH(ClientDB[[#Data],[Country Code]],Table4[[#Data],[Country]],0),MATCH(ClientDB[[#Data],[Meal]],Table4[[#Headers],[Regular]:[Special]],0))</f>
        <v>B</v>
      </c>
    </row>
    <row r="346" spans="1:18" x14ac:dyDescent="0.2">
      <c r="A346" s="10">
        <v>37603</v>
      </c>
      <c r="B346" t="s">
        <v>474</v>
      </c>
      <c r="C346" t="s">
        <v>475</v>
      </c>
      <c r="D346" s="18">
        <v>43876</v>
      </c>
      <c r="E346" s="34">
        <f>YEAR(ClientDB[[#This Row],[Start Date]])</f>
        <v>2020</v>
      </c>
      <c r="F346" t="s">
        <v>810</v>
      </c>
      <c r="G346" t="str">
        <f>VLOOKUP(ClientDB[[#This Row],[Org Code]],Table2[],2,0)</f>
        <v>Euro-M</v>
      </c>
      <c r="H346" s="10" t="s">
        <v>7</v>
      </c>
      <c r="I346" s="10" t="str">
        <f>_xlfn.XLOOKUP(ClientDB[[#This Row],[Country Code]],Table3[[#All],[Country Codes]],Table3[[#All],[Country]],1,TRUE)</f>
        <v>Iran</v>
      </c>
      <c r="J346" s="15">
        <v>1</v>
      </c>
      <c r="K346" s="15" t="str">
        <f>IF(ClientDB[[#This Row],[Start Date]]&gt;=$U$14,"New","")</f>
        <v>New</v>
      </c>
      <c r="L346" s="15" t="str">
        <f>IF(OR(ClientDB[[#This Row],[Start Year]]&lt;2016,ClientDB[[#This Row],[Events]]&gt;=6),"Gift","")</f>
        <v/>
      </c>
      <c r="M34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46" s="15">
        <v>1</v>
      </c>
      <c r="O346" s="35">
        <f>IF(ClientDB[[#This Row],[Days]]=1,(ClientDB[[#This Row],[Days]]*$V$7),IF(ClientDB[[#This Row],[Days]]&gt;1,(ClientDB[[#This Row],[Days]]*$V$8),""))</f>
        <v>350</v>
      </c>
      <c r="P34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46" s="15" t="s">
        <v>901</v>
      </c>
      <c r="R346" s="15" t="str">
        <f>INDEX(Table4[[Regular]:[Special]],MATCH(ClientDB[[#Data],[Country Code]],Table4[[#Data],[Country]],0),MATCH(ClientDB[[#Data],[Meal]],Table4[[#Headers],[Regular]:[Special]],0))</f>
        <v>F</v>
      </c>
    </row>
    <row r="347" spans="1:18" x14ac:dyDescent="0.2">
      <c r="A347" s="10">
        <v>37742</v>
      </c>
      <c r="B347" t="s">
        <v>255</v>
      </c>
      <c r="C347" t="s">
        <v>256</v>
      </c>
      <c r="D347" s="18">
        <v>43493</v>
      </c>
      <c r="E347" s="34">
        <f>YEAR(ClientDB[[#This Row],[Start Date]])</f>
        <v>2019</v>
      </c>
      <c r="F347" t="s">
        <v>834</v>
      </c>
      <c r="G347" t="str">
        <f>VLOOKUP(ClientDB[[#This Row],[Org Code]],Table2[],2,0)</f>
        <v>Verisize</v>
      </c>
      <c r="H347" s="10" t="s">
        <v>34</v>
      </c>
      <c r="I347" s="10" t="str">
        <f>_xlfn.XLOOKUP(ClientDB[[#This Row],[Country Code]],Table3[[#All],[Country Codes]],Table3[[#All],[Country]],1,TRUE)</f>
        <v>United States</v>
      </c>
      <c r="J347" s="15">
        <v>2</v>
      </c>
      <c r="K347" s="15" t="str">
        <f>IF(ClientDB[[#This Row],[Start Date]]&gt;=$U$14,"New","")</f>
        <v/>
      </c>
      <c r="L347" s="15" t="str">
        <f>IF(OR(ClientDB[[#This Row],[Start Year]]&lt;2016,ClientDB[[#This Row],[Events]]&gt;=6),"Gift","")</f>
        <v/>
      </c>
      <c r="M34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47" s="15">
        <v>1</v>
      </c>
      <c r="O347" s="35">
        <f>IF(ClientDB[[#This Row],[Days]]=1,(ClientDB[[#This Row],[Days]]*$V$7),IF(ClientDB[[#This Row],[Days]]&gt;1,(ClientDB[[#This Row],[Days]]*$V$8),""))</f>
        <v>350</v>
      </c>
      <c r="P34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47" s="15" t="s">
        <v>901</v>
      </c>
      <c r="R347" s="15" t="str">
        <f>INDEX(Table4[[Regular]:[Special]],MATCH(ClientDB[[#Data],[Country Code]],Table4[[#Data],[Country]],0),MATCH(ClientDB[[#Data],[Meal]],Table4[[#Headers],[Regular]:[Special]],0))</f>
        <v>G</v>
      </c>
    </row>
    <row r="348" spans="1:18" x14ac:dyDescent="0.2">
      <c r="A348" s="10">
        <v>37780</v>
      </c>
      <c r="B348" t="s">
        <v>487</v>
      </c>
      <c r="C348" t="s">
        <v>488</v>
      </c>
      <c r="D348" s="18">
        <v>43356</v>
      </c>
      <c r="E348" s="34">
        <f>YEAR(ClientDB[[#This Row],[Start Date]])</f>
        <v>2018</v>
      </c>
      <c r="F348" t="s">
        <v>821</v>
      </c>
      <c r="G348" t="str">
        <f>VLOOKUP(ClientDB[[#This Row],[Org Code]],Table2[],2,0)</f>
        <v>Parmis Technologies</v>
      </c>
      <c r="H348" s="10" t="s">
        <v>63</v>
      </c>
      <c r="I348" s="10" t="str">
        <f>_xlfn.XLOOKUP(ClientDB[[#This Row],[Country Code]],Table3[[#All],[Country Codes]],Table3[[#All],[Country]],1,TRUE)</f>
        <v>Armenia</v>
      </c>
      <c r="J348" s="15">
        <v>4</v>
      </c>
      <c r="K348" s="15" t="str">
        <f>IF(ClientDB[[#This Row],[Start Date]]&gt;=$U$14,"New","")</f>
        <v/>
      </c>
      <c r="L348" s="15" t="str">
        <f>IF(OR(ClientDB[[#This Row],[Start Year]]&lt;2016,ClientDB[[#This Row],[Events]]&gt;=6),"Gift","")</f>
        <v/>
      </c>
      <c r="M34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48" s="15">
        <v>1</v>
      </c>
      <c r="O348" s="35">
        <f>IF(ClientDB[[#This Row],[Days]]=1,(ClientDB[[#This Row],[Days]]*$V$7),IF(ClientDB[[#This Row],[Days]]&gt;1,(ClientDB[[#This Row],[Days]]*$V$8),""))</f>
        <v>350</v>
      </c>
      <c r="P34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48" s="15" t="s">
        <v>901</v>
      </c>
      <c r="R348" s="15" t="str">
        <f>INDEX(Table4[[Regular]:[Special]],MATCH(ClientDB[[#Data],[Country Code]],Table4[[#Data],[Country]],0),MATCH(ClientDB[[#Data],[Meal]],Table4[[#Headers],[Regular]:[Special]],0))</f>
        <v>D</v>
      </c>
    </row>
    <row r="349" spans="1:18" x14ac:dyDescent="0.2">
      <c r="A349" s="10">
        <v>37797</v>
      </c>
      <c r="B349" t="s">
        <v>75</v>
      </c>
      <c r="C349" t="s">
        <v>76</v>
      </c>
      <c r="D349" s="18">
        <v>43413</v>
      </c>
      <c r="E349" s="34">
        <f>YEAR(ClientDB[[#This Row],[Start Date]])</f>
        <v>2018</v>
      </c>
      <c r="F349" t="s">
        <v>798</v>
      </c>
      <c r="G349" t="str">
        <f>VLOOKUP(ClientDB[[#This Row],[Org Code]],Table2[],2,0)</f>
        <v>Axell Group</v>
      </c>
      <c r="H349" s="10" t="s">
        <v>78</v>
      </c>
      <c r="I349" s="10" t="str">
        <f>_xlfn.XLOOKUP(ClientDB[[#This Row],[Country Code]],Table3[[#All],[Country Codes]],Table3[[#All],[Country]],1,TRUE)</f>
        <v>Sweden</v>
      </c>
      <c r="J349" s="15">
        <v>2</v>
      </c>
      <c r="K349" s="15" t="str">
        <f>IF(ClientDB[[#This Row],[Start Date]]&gt;=$U$14,"New","")</f>
        <v/>
      </c>
      <c r="L349" s="15" t="str">
        <f>IF(OR(ClientDB[[#This Row],[Start Year]]&lt;2016,ClientDB[[#This Row],[Events]]&gt;=6),"Gift","")</f>
        <v/>
      </c>
      <c r="M34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49" s="15">
        <v>3</v>
      </c>
      <c r="O349" s="35">
        <f>IF(ClientDB[[#This Row],[Days]]=1,(ClientDB[[#This Row],[Days]]*$V$7),IF(ClientDB[[#This Row],[Days]]&gt;1,(ClientDB[[#This Row],[Days]]*$V$8),""))</f>
        <v>900</v>
      </c>
      <c r="P34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49" s="15" t="s">
        <v>900</v>
      </c>
      <c r="R349" s="15" t="str">
        <f>INDEX(Table4[[Regular]:[Special]],MATCH(ClientDB[[#Data],[Country Code]],Table4[[#Data],[Country]],0),MATCH(ClientDB[[#Data],[Meal]],Table4[[#Headers],[Regular]:[Special]],0))</f>
        <v>C</v>
      </c>
    </row>
    <row r="350" spans="1:18" x14ac:dyDescent="0.2">
      <c r="A350" s="10">
        <v>37895</v>
      </c>
      <c r="B350" t="s">
        <v>341</v>
      </c>
      <c r="C350" t="s">
        <v>342</v>
      </c>
      <c r="D350" s="18">
        <v>42261</v>
      </c>
      <c r="E350" s="34">
        <f>YEAR(ClientDB[[#This Row],[Start Date]])</f>
        <v>2015</v>
      </c>
      <c r="F350" t="s">
        <v>827</v>
      </c>
      <c r="G350" t="str">
        <f>VLOOKUP(ClientDB[[#This Row],[Org Code]],Table2[],2,0)</f>
        <v>Ripple Com</v>
      </c>
      <c r="H350" s="10" t="s">
        <v>15</v>
      </c>
      <c r="I350" s="10" t="str">
        <f>_xlfn.XLOOKUP(ClientDB[[#This Row],[Country Code]],Table3[[#All],[Country Codes]],Table3[[#All],[Country]],1,TRUE)</f>
        <v>United Kingdom</v>
      </c>
      <c r="J350" s="15">
        <v>7</v>
      </c>
      <c r="K350" s="15" t="str">
        <f>IF(ClientDB[[#This Row],[Start Date]]&gt;=$U$14,"New","")</f>
        <v/>
      </c>
      <c r="L350" s="15" t="str">
        <f>IF(OR(ClientDB[[#This Row],[Start Year]]&lt;2016,ClientDB[[#This Row],[Events]]&gt;=6),"Gift","")</f>
        <v>Gift</v>
      </c>
      <c r="M350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50" s="15">
        <v>2</v>
      </c>
      <c r="O350" s="35">
        <f>IF(ClientDB[[#This Row],[Days]]=1,(ClientDB[[#This Row],[Days]]*$V$7),IF(ClientDB[[#This Row],[Days]]&gt;1,(ClientDB[[#This Row],[Days]]*$V$8),""))</f>
        <v>600</v>
      </c>
      <c r="P35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350" s="15" t="s">
        <v>901</v>
      </c>
      <c r="R350" s="15" t="str">
        <f>INDEX(Table4[[Regular]:[Special]],MATCH(ClientDB[[#Data],[Country Code]],Table4[[#Data],[Country]],0),MATCH(ClientDB[[#Data],[Meal]],Table4[[#Headers],[Regular]:[Special]],0))</f>
        <v>E</v>
      </c>
    </row>
    <row r="351" spans="1:18" x14ac:dyDescent="0.2">
      <c r="A351" s="10">
        <v>37902</v>
      </c>
      <c r="B351" t="s">
        <v>296</v>
      </c>
      <c r="C351" t="s">
        <v>297</v>
      </c>
      <c r="D351" s="18">
        <v>42815</v>
      </c>
      <c r="E351" s="34">
        <f>YEAR(ClientDB[[#This Row],[Start Date]])</f>
        <v>2017</v>
      </c>
      <c r="F351" t="s">
        <v>796</v>
      </c>
      <c r="G351" t="str">
        <f>VLOOKUP(ClientDB[[#This Row],[Org Code]],Table2[],2,0)</f>
        <v>Ares</v>
      </c>
      <c r="H351" s="10" t="s">
        <v>46</v>
      </c>
      <c r="I351" s="10" t="str">
        <f>_xlfn.XLOOKUP(ClientDB[[#This Row],[Country Code]],Table3[[#All],[Country Codes]],Table3[[#All],[Country]],1,TRUE)</f>
        <v>Germany</v>
      </c>
      <c r="J351" s="15">
        <v>9</v>
      </c>
      <c r="K351" s="15" t="str">
        <f>IF(ClientDB[[#This Row],[Start Date]]&gt;=$U$14,"New","")</f>
        <v/>
      </c>
      <c r="L351" s="15" t="str">
        <f>IF(OR(ClientDB[[#This Row],[Start Year]]&lt;2016,ClientDB[[#This Row],[Events]]&gt;=6),"Gift","")</f>
        <v>Gift</v>
      </c>
      <c r="M351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51" s="15">
        <v>3</v>
      </c>
      <c r="O351" s="35">
        <f>IF(ClientDB[[#This Row],[Days]]=1,(ClientDB[[#This Row],[Days]]*$V$7),IF(ClientDB[[#This Row],[Days]]&gt;1,(ClientDB[[#This Row],[Days]]*$V$8),""))</f>
        <v>900</v>
      </c>
      <c r="P35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351" s="15" t="s">
        <v>901</v>
      </c>
      <c r="R351" s="15" t="str">
        <f>INDEX(Table4[[Regular]:[Special]],MATCH(ClientDB[[#Data],[Country Code]],Table4[[#Data],[Country]],0),MATCH(ClientDB[[#Data],[Meal]],Table4[[#Headers],[Regular]:[Special]],0))</f>
        <v>D</v>
      </c>
    </row>
    <row r="352" spans="1:18" x14ac:dyDescent="0.2">
      <c r="A352" s="10">
        <v>37959</v>
      </c>
      <c r="B352" t="s">
        <v>221</v>
      </c>
      <c r="C352" t="s">
        <v>222</v>
      </c>
      <c r="D352" s="18">
        <v>43259</v>
      </c>
      <c r="E352" s="34">
        <f>YEAR(ClientDB[[#This Row],[Start Date]])</f>
        <v>2018</v>
      </c>
      <c r="F352" t="s">
        <v>821</v>
      </c>
      <c r="G352" t="str">
        <f>VLOOKUP(ClientDB[[#This Row],[Org Code]],Table2[],2,0)</f>
        <v>Parmis Technologies</v>
      </c>
      <c r="H352" s="10" t="s">
        <v>34</v>
      </c>
      <c r="I352" s="10" t="str">
        <f>_xlfn.XLOOKUP(ClientDB[[#This Row],[Country Code]],Table3[[#All],[Country Codes]],Table3[[#All],[Country]],1,TRUE)</f>
        <v>United States</v>
      </c>
      <c r="J352" s="15">
        <v>6</v>
      </c>
      <c r="K352" s="15" t="str">
        <f>IF(ClientDB[[#This Row],[Start Date]]&gt;=$U$14,"New","")</f>
        <v/>
      </c>
      <c r="L352" s="15" t="str">
        <f>IF(OR(ClientDB[[#This Row],[Start Year]]&lt;2016,ClientDB[[#This Row],[Events]]&gt;=6),"Gift","")</f>
        <v>Gift</v>
      </c>
      <c r="M352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52" s="15">
        <v>1</v>
      </c>
      <c r="O352" s="35">
        <f>IF(ClientDB[[#This Row],[Days]]=1,(ClientDB[[#This Row],[Days]]*$V$7),IF(ClientDB[[#This Row],[Days]]&gt;1,(ClientDB[[#This Row],[Days]]*$V$8),""))</f>
        <v>350</v>
      </c>
      <c r="P35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300</v>
      </c>
      <c r="Q352" s="15" t="s">
        <v>902</v>
      </c>
      <c r="R352" s="15" t="str">
        <f>INDEX(Table4[[Regular]:[Special]],MATCH(ClientDB[[#Data],[Country Code]],Table4[[#Data],[Country]],0),MATCH(ClientDB[[#Data],[Meal]],Table4[[#Headers],[Regular]:[Special]],0))</f>
        <v>F</v>
      </c>
    </row>
    <row r="353" spans="1:18" x14ac:dyDescent="0.2">
      <c r="A353" s="10">
        <v>37974</v>
      </c>
      <c r="B353" t="s">
        <v>614</v>
      </c>
      <c r="C353" t="s">
        <v>615</v>
      </c>
      <c r="D353" s="18">
        <v>43951</v>
      </c>
      <c r="E353" s="34">
        <f>YEAR(ClientDB[[#This Row],[Start Date]])</f>
        <v>2020</v>
      </c>
      <c r="F353" t="s">
        <v>799</v>
      </c>
      <c r="G353" t="str">
        <f>VLOOKUP(ClientDB[[#This Row],[Org Code]],Table2[],2,0)</f>
        <v>ByteSize</v>
      </c>
      <c r="H353" s="10" t="s">
        <v>38</v>
      </c>
      <c r="I353" s="10" t="str">
        <f>_xlfn.XLOOKUP(ClientDB[[#This Row],[Country Code]],Table3[[#All],[Country Codes]],Table3[[#All],[Country]],1,TRUE)</f>
        <v>Czech Republic</v>
      </c>
      <c r="J353" s="15">
        <v>2</v>
      </c>
      <c r="K353" s="15" t="str">
        <f>IF(ClientDB[[#This Row],[Start Date]]&gt;=$U$14,"New","")</f>
        <v>New</v>
      </c>
      <c r="L353" s="15" t="str">
        <f>IF(OR(ClientDB[[#This Row],[Start Year]]&lt;2016,ClientDB[[#This Row],[Events]]&gt;=6),"Gift","")</f>
        <v/>
      </c>
      <c r="M35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53" s="15">
        <v>3</v>
      </c>
      <c r="O353" s="35">
        <f>IF(ClientDB[[#This Row],[Days]]=1,(ClientDB[[#This Row],[Days]]*$V$7),IF(ClientDB[[#This Row],[Days]]&gt;1,(ClientDB[[#This Row],[Days]]*$V$8),""))</f>
        <v>900</v>
      </c>
      <c r="P35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53" s="15" t="s">
        <v>901</v>
      </c>
      <c r="R353" s="15" t="str">
        <f>INDEX(Table4[[Regular]:[Special]],MATCH(ClientDB[[#Data],[Country Code]],Table4[[#Data],[Country]],0),MATCH(ClientDB[[#Data],[Meal]],Table4[[#Headers],[Regular]:[Special]],0))</f>
        <v>D</v>
      </c>
    </row>
    <row r="354" spans="1:18" x14ac:dyDescent="0.2">
      <c r="A354" s="10">
        <v>38307</v>
      </c>
      <c r="B354" t="s">
        <v>677</v>
      </c>
      <c r="C354" t="s">
        <v>678</v>
      </c>
      <c r="D354" s="18">
        <v>43579</v>
      </c>
      <c r="E354" s="34">
        <f>YEAR(ClientDB[[#This Row],[Start Date]])</f>
        <v>2019</v>
      </c>
      <c r="F354" t="s">
        <v>831</v>
      </c>
      <c r="G354" t="str">
        <f>VLOOKUP(ClientDB[[#This Row],[Org Code]],Table2[],2,0)</f>
        <v>TatSan</v>
      </c>
      <c r="H354" s="10" t="s">
        <v>155</v>
      </c>
      <c r="I354" s="10" t="str">
        <f>_xlfn.XLOOKUP(ClientDB[[#This Row],[Country Code]],Table3[[#All],[Country Codes]],Table3[[#All],[Country]],1,TRUE)</f>
        <v>United Arab Emirates</v>
      </c>
      <c r="J354" s="15">
        <v>3</v>
      </c>
      <c r="K354" s="15" t="str">
        <f>IF(ClientDB[[#This Row],[Start Date]]&gt;=$U$14,"New","")</f>
        <v/>
      </c>
      <c r="L354" s="15" t="str">
        <f>IF(OR(ClientDB[[#This Row],[Start Year]]&lt;2016,ClientDB[[#This Row],[Events]]&gt;=6),"Gift","")</f>
        <v/>
      </c>
      <c r="M35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54" s="15">
        <v>1</v>
      </c>
      <c r="O354" s="35">
        <f>IF(ClientDB[[#This Row],[Days]]=1,(ClientDB[[#This Row],[Days]]*$V$7),IF(ClientDB[[#This Row],[Days]]&gt;1,(ClientDB[[#This Row],[Days]]*$V$8),""))</f>
        <v>350</v>
      </c>
      <c r="P35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54" s="15" t="s">
        <v>902</v>
      </c>
      <c r="R354" s="15" t="str">
        <f>INDEX(Table4[[Regular]:[Special]],MATCH(ClientDB[[#Data],[Country Code]],Table4[[#Data],[Country]],0),MATCH(ClientDB[[#Data],[Meal]],Table4[[#Headers],[Regular]:[Special]],0))</f>
        <v>B</v>
      </c>
    </row>
    <row r="355" spans="1:18" x14ac:dyDescent="0.2">
      <c r="A355" s="10">
        <v>38372</v>
      </c>
      <c r="B355" t="s">
        <v>679</v>
      </c>
      <c r="C355" t="s">
        <v>680</v>
      </c>
      <c r="D355" s="18">
        <v>42668</v>
      </c>
      <c r="E355" s="34">
        <f>YEAR(ClientDB[[#This Row],[Start Date]])</f>
        <v>2016</v>
      </c>
      <c r="F355" t="s">
        <v>825</v>
      </c>
      <c r="G355" t="str">
        <f>VLOOKUP(ClientDB[[#This Row],[Org Code]],Table2[],2,0)</f>
        <v>Qinisar</v>
      </c>
      <c r="H355" s="10" t="s">
        <v>54</v>
      </c>
      <c r="I355" s="10" t="str">
        <f>_xlfn.XLOOKUP(ClientDB[[#This Row],[Country Code]],Table3[[#All],[Country Codes]],Table3[[#All],[Country]],1,TRUE)</f>
        <v>Romania</v>
      </c>
      <c r="J355" s="15">
        <v>5</v>
      </c>
      <c r="K355" s="15" t="str">
        <f>IF(ClientDB[[#This Row],[Start Date]]&gt;=$U$14,"New","")</f>
        <v/>
      </c>
      <c r="L355" s="15" t="str">
        <f>IF(OR(ClientDB[[#This Row],[Start Year]]&lt;2016,ClientDB[[#This Row],[Events]]&gt;=6),"Gift","")</f>
        <v/>
      </c>
      <c r="M35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55" s="15">
        <v>2</v>
      </c>
      <c r="O355" s="35">
        <f>IF(ClientDB[[#This Row],[Days]]=1,(ClientDB[[#This Row],[Days]]*$V$7),IF(ClientDB[[#This Row],[Days]]&gt;1,(ClientDB[[#This Row],[Days]]*$V$8),""))</f>
        <v>600</v>
      </c>
      <c r="P35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550</v>
      </c>
      <c r="Q355" s="15" t="s">
        <v>902</v>
      </c>
      <c r="R355" s="15" t="str">
        <f>INDEX(Table4[[Regular]:[Special]],MATCH(ClientDB[[#Data],[Country Code]],Table4[[#Data],[Country]],0),MATCH(ClientDB[[#Data],[Meal]],Table4[[#Headers],[Regular]:[Special]],0))</f>
        <v>C</v>
      </c>
    </row>
    <row r="356" spans="1:18" x14ac:dyDescent="0.2">
      <c r="A356" s="10">
        <v>38639</v>
      </c>
      <c r="B356" t="s">
        <v>206</v>
      </c>
      <c r="C356" t="s">
        <v>207</v>
      </c>
      <c r="D356" s="18">
        <v>43365</v>
      </c>
      <c r="E356" s="34">
        <f>YEAR(ClientDB[[#This Row],[Start Date]])</f>
        <v>2018</v>
      </c>
      <c r="F356" t="s">
        <v>817</v>
      </c>
      <c r="G356" t="str">
        <f>VLOOKUP(ClientDB[[#This Row],[Org Code]],Table2[],2,0)</f>
        <v>LACNE</v>
      </c>
      <c r="H356" s="10" t="s">
        <v>15</v>
      </c>
      <c r="I356" s="10" t="str">
        <f>_xlfn.XLOOKUP(ClientDB[[#This Row],[Country Code]],Table3[[#All],[Country Codes]],Table3[[#All],[Country]],1,TRUE)</f>
        <v>United Kingdom</v>
      </c>
      <c r="J356" s="15">
        <v>12</v>
      </c>
      <c r="K356" s="15" t="str">
        <f>IF(ClientDB[[#This Row],[Start Date]]&gt;=$U$14,"New","")</f>
        <v/>
      </c>
      <c r="L356" s="15" t="str">
        <f>IF(OR(ClientDB[[#This Row],[Start Year]]&lt;2016,ClientDB[[#This Row],[Events]]&gt;=6),"Gift","")</f>
        <v>Gift</v>
      </c>
      <c r="M356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356" s="15">
        <v>1</v>
      </c>
      <c r="O356" s="35">
        <f>IF(ClientDB[[#This Row],[Days]]=1,(ClientDB[[#This Row],[Days]]*$V$7),IF(ClientDB[[#This Row],[Days]]&gt;1,(ClientDB[[#This Row],[Days]]*$V$8),""))</f>
        <v>350</v>
      </c>
      <c r="P35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356" s="15" t="s">
        <v>901</v>
      </c>
      <c r="R356" s="15" t="str">
        <f>INDEX(Table4[[Regular]:[Special]],MATCH(ClientDB[[#Data],[Country Code]],Table4[[#Data],[Country]],0),MATCH(ClientDB[[#Data],[Meal]],Table4[[#Headers],[Regular]:[Special]],0))</f>
        <v>E</v>
      </c>
    </row>
    <row r="357" spans="1:18" x14ac:dyDescent="0.2">
      <c r="A357" s="10">
        <v>38726</v>
      </c>
      <c r="B357" t="s">
        <v>350</v>
      </c>
      <c r="C357" t="s">
        <v>351</v>
      </c>
      <c r="D357" s="18">
        <v>43379</v>
      </c>
      <c r="E357" s="34">
        <f>YEAR(ClientDB[[#This Row],[Start Date]])</f>
        <v>2018</v>
      </c>
      <c r="F357" t="s">
        <v>796</v>
      </c>
      <c r="G357" t="str">
        <f>VLOOKUP(ClientDB[[#This Row],[Org Code]],Table2[],2,0)</f>
        <v>Ares</v>
      </c>
      <c r="H357" s="10" t="s">
        <v>38</v>
      </c>
      <c r="I357" s="10" t="str">
        <f>_xlfn.XLOOKUP(ClientDB[[#This Row],[Country Code]],Table3[[#All],[Country Codes]],Table3[[#All],[Country]],1,TRUE)</f>
        <v>Czech Republic</v>
      </c>
      <c r="J357" s="15">
        <v>30</v>
      </c>
      <c r="K357" s="15" t="str">
        <f>IF(ClientDB[[#This Row],[Start Date]]&gt;=$U$14,"New","")</f>
        <v/>
      </c>
      <c r="L357" s="15" t="str">
        <f>IF(OR(ClientDB[[#This Row],[Start Year]]&lt;2016,ClientDB[[#This Row],[Events]]&gt;=6),"Gift","")</f>
        <v>Gift</v>
      </c>
      <c r="M357" s="15" t="str">
        <f>IF(AND(ClientDB[Events]&gt;0,ClientDB[Events]&lt;10),"Bronze",IF(AND(ClientDB[Events]&gt;9,ClientDB[Events]&lt;20),"Silver",IF(AND(ClientDB[Events]&gt;19,ClientDB[Events]&lt;30),"Gold",IF(ClientDB[Events]&gt;30,"Platinum",""))))</f>
        <v/>
      </c>
      <c r="N357" s="15">
        <v>1</v>
      </c>
      <c r="O357" s="35">
        <f>IF(ClientDB[[#This Row],[Days]]=1,(ClientDB[[#This Row],[Days]]*$V$7),IF(ClientDB[[#This Row],[Days]]&gt;1,(ClientDB[[#This Row],[Days]]*$V$8),""))</f>
        <v>350</v>
      </c>
      <c r="P35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357" s="15" t="s">
        <v>901</v>
      </c>
      <c r="R357" s="15" t="str">
        <f>INDEX(Table4[[Regular]:[Special]],MATCH(ClientDB[[#Data],[Country Code]],Table4[[#Data],[Country]],0),MATCH(ClientDB[[#Data],[Meal]],Table4[[#Headers],[Regular]:[Special]],0))</f>
        <v>D</v>
      </c>
    </row>
    <row r="358" spans="1:18" x14ac:dyDescent="0.2">
      <c r="A358" s="10">
        <v>38761</v>
      </c>
      <c r="B358" t="s">
        <v>263</v>
      </c>
      <c r="C358" t="s">
        <v>264</v>
      </c>
      <c r="D358" s="18">
        <v>42839</v>
      </c>
      <c r="E358" s="34">
        <f>YEAR(ClientDB[[#This Row],[Start Date]])</f>
        <v>2017</v>
      </c>
      <c r="F358" t="s">
        <v>805</v>
      </c>
      <c r="G358" t="str">
        <f>VLOOKUP(ClientDB[[#This Row],[Org Code]],Table2[],2,0)</f>
        <v>Data Pro Sys</v>
      </c>
      <c r="H358" s="10" t="s">
        <v>46</v>
      </c>
      <c r="I358" s="10" t="str">
        <f>_xlfn.XLOOKUP(ClientDB[[#This Row],[Country Code]],Table3[[#All],[Country Codes]],Table3[[#All],[Country]],1,TRUE)</f>
        <v>Germany</v>
      </c>
      <c r="J358" s="15">
        <v>16</v>
      </c>
      <c r="K358" s="15" t="str">
        <f>IF(ClientDB[[#This Row],[Start Date]]&gt;=$U$14,"New","")</f>
        <v/>
      </c>
      <c r="L358" s="15" t="str">
        <f>IF(OR(ClientDB[[#This Row],[Start Year]]&lt;2016,ClientDB[[#This Row],[Events]]&gt;=6),"Gift","")</f>
        <v>Gift</v>
      </c>
      <c r="M358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358" s="15">
        <v>1</v>
      </c>
      <c r="O358" s="35">
        <f>IF(ClientDB[[#This Row],[Days]]=1,(ClientDB[[#This Row],[Days]]*$V$7),IF(ClientDB[[#This Row],[Days]]&gt;1,(ClientDB[[#This Row],[Days]]*$V$8),""))</f>
        <v>350</v>
      </c>
      <c r="P35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358" s="15" t="s">
        <v>902</v>
      </c>
      <c r="R358" s="15" t="str">
        <f>INDEX(Table4[[Regular]:[Special]],MATCH(ClientDB[[#Data],[Country Code]],Table4[[#Data],[Country]],0),MATCH(ClientDB[[#Data],[Meal]],Table4[[#Headers],[Regular]:[Special]],0))</f>
        <v>B</v>
      </c>
    </row>
    <row r="359" spans="1:18" x14ac:dyDescent="0.2">
      <c r="A359" s="10">
        <v>38839</v>
      </c>
      <c r="B359" t="s">
        <v>176</v>
      </c>
      <c r="C359" t="s">
        <v>177</v>
      </c>
      <c r="D359" s="18">
        <v>44050</v>
      </c>
      <c r="E359" s="34">
        <f>YEAR(ClientDB[[#This Row],[Start Date]])</f>
        <v>2020</v>
      </c>
      <c r="F359" t="s">
        <v>809</v>
      </c>
      <c r="G359" t="str">
        <f>VLOOKUP(ClientDB[[#This Row],[Org Code]],Table2[],2,0)</f>
        <v>Epsilon Tech</v>
      </c>
      <c r="H359" s="10" t="s">
        <v>178</v>
      </c>
      <c r="I359" s="10" t="str">
        <f>_xlfn.XLOOKUP(ClientDB[[#This Row],[Country Code]],Table3[[#All],[Country Codes]],Table3[[#All],[Country]],1,TRUE)</f>
        <v>Mauritius</v>
      </c>
      <c r="J359" s="15">
        <v>1</v>
      </c>
      <c r="K359" s="15" t="str">
        <f>IF(ClientDB[[#This Row],[Start Date]]&gt;=$U$14,"New","")</f>
        <v>New</v>
      </c>
      <c r="L359" s="15" t="str">
        <f>IF(OR(ClientDB[[#This Row],[Start Year]]&lt;2016,ClientDB[[#This Row],[Events]]&gt;=6),"Gift","")</f>
        <v/>
      </c>
      <c r="M359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59" s="15">
        <v>3</v>
      </c>
      <c r="O359" s="35">
        <f>IF(ClientDB[[#This Row],[Days]]=1,(ClientDB[[#This Row],[Days]]*$V$7),IF(ClientDB[[#This Row],[Days]]&gt;1,(ClientDB[[#This Row],[Days]]*$V$8),""))</f>
        <v>900</v>
      </c>
      <c r="P359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59" s="15" t="s">
        <v>901</v>
      </c>
      <c r="R359" s="15" t="str">
        <f>INDEX(Table4[[Regular]:[Special]],MATCH(ClientDB[[#Data],[Country Code]],Table4[[#Data],[Country]],0),MATCH(ClientDB[[#Data],[Meal]],Table4[[#Headers],[Regular]:[Special]],0))</f>
        <v>F</v>
      </c>
    </row>
    <row r="360" spans="1:18" x14ac:dyDescent="0.2">
      <c r="A360" s="10">
        <v>38892</v>
      </c>
      <c r="B360" t="s">
        <v>661</v>
      </c>
      <c r="C360" t="s">
        <v>662</v>
      </c>
      <c r="D360" s="18">
        <v>42402</v>
      </c>
      <c r="E360" s="34">
        <f>YEAR(ClientDB[[#This Row],[Start Date]])</f>
        <v>2016</v>
      </c>
      <c r="F360" t="s">
        <v>820</v>
      </c>
      <c r="G360" t="str">
        <f>VLOOKUP(ClientDB[[#This Row],[Org Code]],Table2[],2,0)</f>
        <v>Oglev</v>
      </c>
      <c r="H360" s="10" t="s">
        <v>124</v>
      </c>
      <c r="I360" s="10" t="str">
        <f>_xlfn.XLOOKUP(ClientDB[[#This Row],[Country Code]],Table3[[#All],[Country Codes]],Table3[[#All],[Country]],1,TRUE)</f>
        <v>Lebanon</v>
      </c>
      <c r="J360" s="15">
        <v>18</v>
      </c>
      <c r="K360" s="15" t="str">
        <f>IF(ClientDB[[#This Row],[Start Date]]&gt;=$U$14,"New","")</f>
        <v/>
      </c>
      <c r="L360" s="15" t="str">
        <f>IF(OR(ClientDB[[#This Row],[Start Year]]&lt;2016,ClientDB[[#This Row],[Events]]&gt;=6),"Gift","")</f>
        <v>Gift</v>
      </c>
      <c r="M360" s="15" t="str">
        <f>IF(AND(ClientDB[Events]&gt;0,ClientDB[Events]&lt;10),"Bronze",IF(AND(ClientDB[Events]&gt;9,ClientDB[Events]&lt;20),"Silver",IF(AND(ClientDB[Events]&gt;19,ClientDB[Events]&lt;30),"Gold",IF(ClientDB[Events]&gt;30,"Platinum",""))))</f>
        <v>Silver</v>
      </c>
      <c r="N360" s="15">
        <v>1</v>
      </c>
      <c r="O360" s="35">
        <f>IF(ClientDB[[#This Row],[Days]]=1,(ClientDB[[#This Row],[Days]]*$V$7),IF(ClientDB[[#This Row],[Days]]&gt;1,(ClientDB[[#This Row],[Days]]*$V$8),""))</f>
        <v>350</v>
      </c>
      <c r="P360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280</v>
      </c>
      <c r="Q360" s="15" t="s">
        <v>900</v>
      </c>
      <c r="R360" s="15" t="str">
        <f>INDEX(Table4[[Regular]:[Special]],MATCH(ClientDB[[#Data],[Country Code]],Table4[[#Data],[Country]],0),MATCH(ClientDB[[#Data],[Meal]],Table4[[#Headers],[Regular]:[Special]],0))</f>
        <v>C</v>
      </c>
    </row>
    <row r="361" spans="1:18" x14ac:dyDescent="0.2">
      <c r="A361" s="10">
        <v>39126</v>
      </c>
      <c r="B361" t="s">
        <v>654</v>
      </c>
      <c r="C361" t="s">
        <v>655</v>
      </c>
      <c r="D361" s="18">
        <v>42272</v>
      </c>
      <c r="E361" s="34">
        <f>YEAR(ClientDB[[#This Row],[Start Date]])</f>
        <v>2015</v>
      </c>
      <c r="F361" t="s">
        <v>827</v>
      </c>
      <c r="G361" t="str">
        <f>VLOOKUP(ClientDB[[#This Row],[Org Code]],Table2[],2,0)</f>
        <v>Ripple Com</v>
      </c>
      <c r="H361" s="10" t="s">
        <v>78</v>
      </c>
      <c r="I361" s="10" t="str">
        <f>_xlfn.XLOOKUP(ClientDB[[#This Row],[Country Code]],Table3[[#All],[Country Codes]],Table3[[#All],[Country]],1,TRUE)</f>
        <v>Sweden</v>
      </c>
      <c r="J361" s="15">
        <v>20</v>
      </c>
      <c r="K361" s="15" t="str">
        <f>IF(ClientDB[[#This Row],[Start Date]]&gt;=$U$14,"New","")</f>
        <v/>
      </c>
      <c r="L361" s="15" t="str">
        <f>IF(OR(ClientDB[[#This Row],[Start Year]]&lt;2016,ClientDB[[#This Row],[Events]]&gt;=6),"Gift","")</f>
        <v>Gift</v>
      </c>
      <c r="M361" s="15" t="str">
        <f>IF(AND(ClientDB[Events]&gt;0,ClientDB[Events]&lt;10),"Bronze",IF(AND(ClientDB[Events]&gt;9,ClientDB[Events]&lt;20),"Silver",IF(AND(ClientDB[Events]&gt;19,ClientDB[Events]&lt;30),"Gold",IF(ClientDB[Events]&gt;30,"Platinum",""))))</f>
        <v>Gold</v>
      </c>
      <c r="N361" s="15">
        <v>2</v>
      </c>
      <c r="O361" s="35">
        <f>IF(ClientDB[[#This Row],[Days]]=1,(ClientDB[[#This Row],[Days]]*$V$7),IF(ClientDB[[#This Row],[Days]]&gt;1,(ClientDB[[#This Row],[Days]]*$V$8),""))</f>
        <v>600</v>
      </c>
      <c r="P361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361" s="15" t="s">
        <v>902</v>
      </c>
      <c r="R361" s="15" t="str">
        <f>INDEX(Table4[[Regular]:[Special]],MATCH(ClientDB[[#Data],[Country Code]],Table4[[#Data],[Country]],0),MATCH(ClientDB[[#Data],[Meal]],Table4[[#Headers],[Regular]:[Special]],0))</f>
        <v>C</v>
      </c>
    </row>
    <row r="362" spans="1:18" x14ac:dyDescent="0.2">
      <c r="A362" s="10">
        <v>39356</v>
      </c>
      <c r="B362" t="s">
        <v>291</v>
      </c>
      <c r="C362" t="s">
        <v>292</v>
      </c>
      <c r="D362" s="18">
        <v>42265</v>
      </c>
      <c r="E362" s="34">
        <f>YEAR(ClientDB[[#This Row],[Start Date]])</f>
        <v>2015</v>
      </c>
      <c r="F362" t="s">
        <v>814</v>
      </c>
      <c r="G362" t="str">
        <f>VLOOKUP(ClientDB[[#This Row],[Org Code]],Table2[],2,0)</f>
        <v>ICANT</v>
      </c>
      <c r="H362" s="10" t="s">
        <v>15</v>
      </c>
      <c r="I362" s="10" t="str">
        <f>_xlfn.XLOOKUP(ClientDB[[#This Row],[Country Code]],Table3[[#All],[Country Codes]],Table3[[#All],[Country]],1,TRUE)</f>
        <v>United Kingdom</v>
      </c>
      <c r="J362" s="15">
        <v>36</v>
      </c>
      <c r="K362" s="15" t="str">
        <f>IF(ClientDB[[#This Row],[Start Date]]&gt;=$U$14,"New","")</f>
        <v/>
      </c>
      <c r="L362" s="15" t="str">
        <f>IF(OR(ClientDB[[#This Row],[Start Year]]&lt;2016,ClientDB[[#This Row],[Events]]&gt;=6),"Gift","")</f>
        <v>Gift</v>
      </c>
      <c r="M362" s="15" t="str">
        <f>IF(AND(ClientDB[Events]&gt;0,ClientDB[Events]&lt;10),"Bronze",IF(AND(ClientDB[Events]&gt;9,ClientDB[Events]&lt;20),"Silver",IF(AND(ClientDB[Events]&gt;19,ClientDB[Events]&lt;30),"Gold",IF(ClientDB[Events]&gt;30,"Platinum",""))))</f>
        <v>Platinum</v>
      </c>
      <c r="N362" s="15">
        <v>2</v>
      </c>
      <c r="O362" s="35">
        <f>IF(ClientDB[[#This Row],[Days]]=1,(ClientDB[[#This Row],[Days]]*$V$7),IF(ClientDB[[#This Row],[Days]]&gt;1,(ClientDB[[#This Row],[Days]]*$V$8),""))</f>
        <v>600</v>
      </c>
      <c r="P362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480</v>
      </c>
      <c r="Q362" s="15" t="s">
        <v>902</v>
      </c>
      <c r="R362" s="15" t="str">
        <f>INDEX(Table4[[Regular]:[Special]],MATCH(ClientDB[[#Data],[Country Code]],Table4[[#Data],[Country]],0),MATCH(ClientDB[[#Data],[Meal]],Table4[[#Headers],[Regular]:[Special]],0))</f>
        <v>B</v>
      </c>
    </row>
    <row r="363" spans="1:18" x14ac:dyDescent="0.2">
      <c r="A363" s="10">
        <v>39376</v>
      </c>
      <c r="B363" t="s">
        <v>403</v>
      </c>
      <c r="C363" t="s">
        <v>404</v>
      </c>
      <c r="D363" s="18">
        <v>43976</v>
      </c>
      <c r="E363" s="34">
        <f>YEAR(ClientDB[[#This Row],[Start Date]])</f>
        <v>2020</v>
      </c>
      <c r="F363" t="s">
        <v>817</v>
      </c>
      <c r="G363" t="str">
        <f>VLOOKUP(ClientDB[[#This Row],[Org Code]],Table2[],2,0)</f>
        <v>LACNE</v>
      </c>
      <c r="H363" s="10" t="s">
        <v>155</v>
      </c>
      <c r="I363" s="10" t="str">
        <f>_xlfn.XLOOKUP(ClientDB[[#This Row],[Country Code]],Table3[[#All],[Country Codes]],Table3[[#All],[Country]],1,TRUE)</f>
        <v>United Arab Emirates</v>
      </c>
      <c r="J363" s="15">
        <v>2</v>
      </c>
      <c r="K363" s="15" t="str">
        <f>IF(ClientDB[[#This Row],[Start Date]]&gt;=$U$14,"New","")</f>
        <v>New</v>
      </c>
      <c r="L363" s="15" t="str">
        <f>IF(OR(ClientDB[[#This Row],[Start Year]]&lt;2016,ClientDB[[#This Row],[Events]]&gt;=6),"Gift","")</f>
        <v/>
      </c>
      <c r="M363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63" s="15">
        <v>3</v>
      </c>
      <c r="O363" s="35">
        <f>IF(ClientDB[[#This Row],[Days]]=1,(ClientDB[[#This Row],[Days]]*$V$7),IF(ClientDB[[#This Row],[Days]]&gt;1,(ClientDB[[#This Row],[Days]]*$V$8),""))</f>
        <v>900</v>
      </c>
      <c r="P363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63" s="15" t="s">
        <v>901</v>
      </c>
      <c r="R363" s="15" t="str">
        <f>INDEX(Table4[[Regular]:[Special]],MATCH(ClientDB[[#Data],[Country Code]],Table4[[#Data],[Country]],0),MATCH(ClientDB[[#Data],[Meal]],Table4[[#Headers],[Regular]:[Special]],0))</f>
        <v>D</v>
      </c>
    </row>
    <row r="364" spans="1:18" x14ac:dyDescent="0.2">
      <c r="A364" s="10">
        <v>39407</v>
      </c>
      <c r="B364" t="s">
        <v>197</v>
      </c>
      <c r="C364" t="s">
        <v>198</v>
      </c>
      <c r="D364" s="18">
        <v>42756</v>
      </c>
      <c r="E364" s="34">
        <f>YEAR(ClientDB[[#This Row],[Start Date]])</f>
        <v>2017</v>
      </c>
      <c r="F364" t="s">
        <v>795</v>
      </c>
      <c r="G364" t="str">
        <f>VLOOKUP(ClientDB[[#This Row],[Org Code]],Table2[],2,0)</f>
        <v>AHA Networks</v>
      </c>
      <c r="H364" s="10" t="s">
        <v>59</v>
      </c>
      <c r="I364" s="10" t="str">
        <f>_xlfn.XLOOKUP(ClientDB[[#This Row],[Country Code]],Table3[[#All],[Country Codes]],Table3[[#All],[Country]],1,TRUE)</f>
        <v>Netherlands</v>
      </c>
      <c r="J364" s="15">
        <v>2</v>
      </c>
      <c r="K364" s="15" t="str">
        <f>IF(ClientDB[[#This Row],[Start Date]]&gt;=$U$14,"New","")</f>
        <v/>
      </c>
      <c r="L364" s="15" t="str">
        <f>IF(OR(ClientDB[[#This Row],[Start Year]]&lt;2016,ClientDB[[#This Row],[Events]]&gt;=6),"Gift","")</f>
        <v/>
      </c>
      <c r="M364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64" s="15">
        <v>1</v>
      </c>
      <c r="O364" s="35">
        <f>IF(ClientDB[[#This Row],[Days]]=1,(ClientDB[[#This Row],[Days]]*$V$7),IF(ClientDB[[#This Row],[Days]]&gt;1,(ClientDB[[#This Row],[Days]]*$V$8),""))</f>
        <v>350</v>
      </c>
      <c r="P364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350</v>
      </c>
      <c r="Q364" s="15" t="s">
        <v>899</v>
      </c>
      <c r="R364" s="15" t="str">
        <f>INDEX(Table4[[Regular]:[Special]],MATCH(ClientDB[[#Data],[Country Code]],Table4[[#Data],[Country]],0),MATCH(ClientDB[[#Data],[Meal]],Table4[[#Headers],[Regular]:[Special]],0))</f>
        <v>B</v>
      </c>
    </row>
    <row r="365" spans="1:18" x14ac:dyDescent="0.2">
      <c r="A365" s="10">
        <v>39500</v>
      </c>
      <c r="B365" t="s">
        <v>600</v>
      </c>
      <c r="C365" t="s">
        <v>601</v>
      </c>
      <c r="D365" s="18">
        <v>43662</v>
      </c>
      <c r="E365" s="34">
        <f>YEAR(ClientDB[[#This Row],[Start Date]])</f>
        <v>2019</v>
      </c>
      <c r="F365" t="s">
        <v>805</v>
      </c>
      <c r="G365" t="str">
        <f>VLOOKUP(ClientDB[[#This Row],[Org Code]],Table2[],2,0)</f>
        <v>Data Pro Sys</v>
      </c>
      <c r="H365" s="10" t="s">
        <v>15</v>
      </c>
      <c r="I365" s="10" t="str">
        <f>_xlfn.XLOOKUP(ClientDB[[#This Row],[Country Code]],Table3[[#All],[Country Codes]],Table3[[#All],[Country]],1,TRUE)</f>
        <v>United Kingdom</v>
      </c>
      <c r="J365" s="15">
        <v>3</v>
      </c>
      <c r="K365" s="15" t="str">
        <f>IF(ClientDB[[#This Row],[Start Date]]&gt;=$U$14,"New","")</f>
        <v/>
      </c>
      <c r="L365" s="15" t="str">
        <f>IF(OR(ClientDB[[#This Row],[Start Year]]&lt;2016,ClientDB[[#This Row],[Events]]&gt;=6),"Gift","")</f>
        <v/>
      </c>
      <c r="M365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65" s="15">
        <v>2</v>
      </c>
      <c r="O365" s="35">
        <f>IF(ClientDB[[#This Row],[Days]]=1,(ClientDB[[#This Row],[Days]]*$V$7),IF(ClientDB[[#This Row],[Days]]&gt;1,(ClientDB[[#This Row],[Days]]*$V$8),""))</f>
        <v>600</v>
      </c>
      <c r="P365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65" s="15" t="s">
        <v>901</v>
      </c>
      <c r="R365" s="15" t="str">
        <f>INDEX(Table4[[Regular]:[Special]],MATCH(ClientDB[[#Data],[Country Code]],Table4[[#Data],[Country]],0),MATCH(ClientDB[[#Data],[Meal]],Table4[[#Headers],[Regular]:[Special]],0))</f>
        <v>E</v>
      </c>
    </row>
    <row r="366" spans="1:18" x14ac:dyDescent="0.2">
      <c r="A366" s="10">
        <v>39668</v>
      </c>
      <c r="B366" t="s">
        <v>189</v>
      </c>
      <c r="C366" t="s">
        <v>190</v>
      </c>
      <c r="D366" s="18">
        <v>42773</v>
      </c>
      <c r="E366" s="34">
        <f>YEAR(ClientDB[[#This Row],[Start Date]])</f>
        <v>2017</v>
      </c>
      <c r="F366" t="s">
        <v>835</v>
      </c>
      <c r="G366" t="str">
        <f>VLOOKUP(ClientDB[[#This Row],[Org Code]],Table2[],2,0)</f>
        <v>West Telco</v>
      </c>
      <c r="H366" s="10" t="s">
        <v>192</v>
      </c>
      <c r="I366" s="10" t="str">
        <f>_xlfn.XLOOKUP(ClientDB[[#This Row],[Country Code]],Table3[[#All],[Country Codes]],Table3[[#All],[Country]],1,TRUE)</f>
        <v>Malaysia</v>
      </c>
      <c r="J366" s="15">
        <v>3</v>
      </c>
      <c r="K366" s="15" t="str">
        <f>IF(ClientDB[[#This Row],[Start Date]]&gt;=$U$14,"New","")</f>
        <v/>
      </c>
      <c r="L366" s="15" t="str">
        <f>IF(OR(ClientDB[[#This Row],[Start Year]]&lt;2016,ClientDB[[#This Row],[Events]]&gt;=6),"Gift","")</f>
        <v/>
      </c>
      <c r="M366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66" s="15">
        <v>3</v>
      </c>
      <c r="O366" s="35">
        <f>IF(ClientDB[[#This Row],[Days]]=1,(ClientDB[[#This Row],[Days]]*$V$7),IF(ClientDB[[#This Row],[Days]]&gt;1,(ClientDB[[#This Row],[Days]]*$V$8),""))</f>
        <v>900</v>
      </c>
      <c r="P366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900</v>
      </c>
      <c r="Q366" s="15" t="s">
        <v>899</v>
      </c>
      <c r="R366" s="15" t="str">
        <f>INDEX(Table4[[Regular]:[Special]],MATCH(ClientDB[[#Data],[Country Code]],Table4[[#Data],[Country]],0),MATCH(ClientDB[[#Data],[Meal]],Table4[[#Headers],[Regular]:[Special]],0))</f>
        <v>B</v>
      </c>
    </row>
    <row r="367" spans="1:18" x14ac:dyDescent="0.2">
      <c r="A367" s="10">
        <v>39680</v>
      </c>
      <c r="B367" t="s">
        <v>585</v>
      </c>
      <c r="C367" t="s">
        <v>586</v>
      </c>
      <c r="D367" s="18">
        <v>43561</v>
      </c>
      <c r="E367" s="34">
        <f>YEAR(ClientDB[[#This Row],[Start Date]])</f>
        <v>2019</v>
      </c>
      <c r="F367" t="s">
        <v>800</v>
      </c>
      <c r="G367" t="str">
        <f>VLOOKUP(ClientDB[[#This Row],[Org Code]],Table2[],2,0)</f>
        <v>Chirah Technologies</v>
      </c>
      <c r="H367" s="10" t="s">
        <v>15</v>
      </c>
      <c r="I367" s="10" t="str">
        <f>_xlfn.XLOOKUP(ClientDB[[#This Row],[Country Code]],Table3[[#All],[Country Codes]],Table3[[#All],[Country]],1,TRUE)</f>
        <v>United Kingdom</v>
      </c>
      <c r="J367" s="15">
        <v>4</v>
      </c>
      <c r="K367" s="15" t="str">
        <f>IF(ClientDB[[#This Row],[Start Date]]&gt;=$U$14,"New","")</f>
        <v/>
      </c>
      <c r="L367" s="15" t="str">
        <f>IF(OR(ClientDB[[#This Row],[Start Year]]&lt;2016,ClientDB[[#This Row],[Events]]&gt;=6),"Gift","")</f>
        <v/>
      </c>
      <c r="M367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67" s="15">
        <v>2</v>
      </c>
      <c r="O367" s="35">
        <f>IF(ClientDB[[#This Row],[Days]]=1,(ClientDB[[#This Row],[Days]]*$V$7),IF(ClientDB[[#This Row],[Days]]&gt;1,(ClientDB[[#This Row],[Days]]*$V$8),""))</f>
        <v>600</v>
      </c>
      <c r="P367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600</v>
      </c>
      <c r="Q367" s="15" t="s">
        <v>901</v>
      </c>
      <c r="R367" s="15" t="str">
        <f>INDEX(Table4[[Regular]:[Special]],MATCH(ClientDB[[#Data],[Country Code]],Table4[[#Data],[Country]],0),MATCH(ClientDB[[#Data],[Meal]],Table4[[#Headers],[Regular]:[Special]],0))</f>
        <v>E</v>
      </c>
    </row>
    <row r="368" spans="1:18" x14ac:dyDescent="0.2">
      <c r="A368" s="10">
        <v>39830</v>
      </c>
      <c r="B368" t="s">
        <v>707</v>
      </c>
      <c r="C368" t="s">
        <v>708</v>
      </c>
      <c r="D368" s="18">
        <v>43771</v>
      </c>
      <c r="E368" s="34">
        <f>YEAR(ClientDB[[#This Row],[Start Date]])</f>
        <v>2019</v>
      </c>
      <c r="F368" t="s">
        <v>827</v>
      </c>
      <c r="G368" t="str">
        <f>VLOOKUP(ClientDB[[#This Row],[Org Code]],Table2[],2,0)</f>
        <v>Ripple Com</v>
      </c>
      <c r="H368" s="10" t="s">
        <v>15</v>
      </c>
      <c r="I368" s="10" t="str">
        <f>_xlfn.XLOOKUP(ClientDB[[#This Row],[Country Code]],Table3[[#All],[Country Codes]],Table3[[#All],[Country]],1,TRUE)</f>
        <v>United Kingdom</v>
      </c>
      <c r="J368" s="15">
        <v>6</v>
      </c>
      <c r="K368" s="15" t="str">
        <f>IF(ClientDB[[#This Row],[Start Date]]&gt;=$U$14,"New","")</f>
        <v/>
      </c>
      <c r="L368" s="15" t="str">
        <f>IF(OR(ClientDB[[#This Row],[Start Year]]&lt;2016,ClientDB[[#This Row],[Events]]&gt;=6),"Gift","")</f>
        <v>Gift</v>
      </c>
      <c r="M368" s="15" t="str">
        <f>IF(AND(ClientDB[Events]&gt;0,ClientDB[Events]&lt;10),"Bronze",IF(AND(ClientDB[Events]&gt;9,ClientDB[Events]&lt;20),"Silver",IF(AND(ClientDB[Events]&gt;19,ClientDB[Events]&lt;30),"Gold",IF(ClientDB[Events]&gt;30,"Platinum",""))))</f>
        <v>Bronze</v>
      </c>
      <c r="N368" s="15">
        <v>3</v>
      </c>
      <c r="O368" s="35">
        <f>IF(ClientDB[[#This Row],[Days]]=1,(ClientDB[[#This Row],[Days]]*$V$7),IF(ClientDB[[#This Row],[Days]]&gt;1,(ClientDB[[#This Row],[Days]]*$V$8),""))</f>
        <v>900</v>
      </c>
      <c r="P368" s="35">
        <f>IF(ClientDB[[#This Row],[Events]]&gt;=10,(ClientDB[[#This Row],[Price]]-(ClientDB[[#This Row],[Price]]/5)),IF(AND(ClientDB[[#This Row],[Events]]&gt;4,ClientDB[[#This Row],[Events]]&lt;10),(ClientDB[[#This Row],[Price]]-50),ClientDB[[#This Row],[Price]]))</f>
        <v>850</v>
      </c>
      <c r="Q368" s="15" t="s">
        <v>900</v>
      </c>
      <c r="R368" s="15" t="str">
        <f>INDEX(Table4[[Regular]:[Special]],MATCH(ClientDB[[#Data],[Country Code]],Table4[[#Data],[Country]],0),MATCH(ClientDB[[#Data],[Meal]],Table4[[#Headers],[Regular]:[Special]],0))</f>
        <v>A</v>
      </c>
    </row>
  </sheetData>
  <sortState xmlns:xlrd2="http://schemas.microsoft.com/office/spreadsheetml/2017/richdata2" ref="A7:R369">
    <sortCondition ref="A8"/>
  </sortState>
  <phoneticPr fontId="5" type="noConversion"/>
  <pageMargins left="0.7" right="0.7" top="0.75" bottom="0.75" header="0.3" footer="0.3"/>
  <pageSetup paperSize="9" orientation="portrait" horizontalDpi="75" verticalDpi="7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6A45-3A47-4B48-BC0B-478B05A52E0A}">
  <dimension ref="A1:M59"/>
  <sheetViews>
    <sheetView zoomScale="70" zoomScaleNormal="70" workbookViewId="0">
      <selection activeCell="N12" sqref="N12"/>
    </sheetView>
  </sheetViews>
  <sheetFormatPr defaultRowHeight="14.25" x14ac:dyDescent="0.2"/>
  <cols>
    <col min="1" max="1" width="20.625" customWidth="1"/>
    <col min="2" max="2" width="21" customWidth="1"/>
    <col min="3" max="3" width="5.125" customWidth="1"/>
    <col min="4" max="4" width="17.25" customWidth="1"/>
    <col min="5" max="5" width="17.25" style="15" customWidth="1"/>
    <col min="6" max="6" width="9" customWidth="1"/>
    <col min="7" max="7" width="10.5" customWidth="1"/>
    <col min="8" max="8" width="10.25" customWidth="1"/>
    <col min="9" max="9" width="13" customWidth="1"/>
    <col min="11" max="11" width="9.75" customWidth="1"/>
  </cols>
  <sheetData>
    <row r="1" spans="1:13" s="2" customFormat="1" x14ac:dyDescent="0.2">
      <c r="A1" s="6"/>
      <c r="E1" s="11"/>
      <c r="L1"/>
      <c r="M1"/>
    </row>
    <row r="2" spans="1:13" s="2" customFormat="1" ht="6" customHeight="1" x14ac:dyDescent="0.2">
      <c r="A2" s="7"/>
      <c r="B2" s="3"/>
      <c r="C2" s="3"/>
      <c r="D2" s="3"/>
      <c r="E2" s="12"/>
      <c r="F2" s="12"/>
      <c r="G2" s="12"/>
      <c r="H2" s="12"/>
      <c r="I2" s="12"/>
      <c r="J2" s="12"/>
      <c r="K2" s="12"/>
      <c r="L2"/>
      <c r="M2"/>
    </row>
    <row r="3" spans="1:13" s="2" customFormat="1" ht="53.25" customHeight="1" x14ac:dyDescent="0.2">
      <c r="A3" s="8" t="s">
        <v>771</v>
      </c>
      <c r="B3" s="4"/>
      <c r="C3" s="4"/>
      <c r="D3" s="4"/>
      <c r="E3" s="13"/>
      <c r="F3" s="13"/>
      <c r="G3" s="13"/>
      <c r="H3" s="13"/>
      <c r="I3" s="13"/>
      <c r="J3" s="13"/>
      <c r="K3" s="13"/>
      <c r="L3"/>
      <c r="M3"/>
    </row>
    <row r="4" spans="1:13" s="2" customFormat="1" ht="14.25" customHeight="1" x14ac:dyDescent="0.2">
      <c r="A4" s="7"/>
      <c r="B4" s="3"/>
      <c r="C4" s="3"/>
      <c r="D4" s="3"/>
      <c r="E4" s="12"/>
      <c r="F4" s="12"/>
      <c r="G4" s="12"/>
      <c r="H4" s="12"/>
      <c r="I4" s="12"/>
      <c r="J4" s="12"/>
      <c r="K4" s="12"/>
      <c r="L4"/>
      <c r="M4"/>
    </row>
    <row r="5" spans="1:13" x14ac:dyDescent="0.2">
      <c r="A5" s="10"/>
      <c r="C5" s="1"/>
      <c r="D5" s="1"/>
    </row>
    <row r="6" spans="1:13" ht="16.5" thickBot="1" x14ac:dyDescent="0.25">
      <c r="A6" s="5" t="s">
        <v>793</v>
      </c>
      <c r="B6" s="5" t="s">
        <v>794</v>
      </c>
      <c r="D6" s="9" t="s">
        <v>3</v>
      </c>
      <c r="E6" s="9" t="s">
        <v>772</v>
      </c>
      <c r="G6" s="14" t="s">
        <v>3</v>
      </c>
      <c r="H6" s="14" t="s">
        <v>901</v>
      </c>
      <c r="I6" s="14" t="s">
        <v>902</v>
      </c>
      <c r="J6" s="14" t="s">
        <v>899</v>
      </c>
      <c r="K6" s="14" t="s">
        <v>900</v>
      </c>
    </row>
    <row r="7" spans="1:13" x14ac:dyDescent="0.2">
      <c r="A7" t="s">
        <v>795</v>
      </c>
      <c r="B7" t="s">
        <v>33</v>
      </c>
      <c r="D7" t="s">
        <v>844</v>
      </c>
      <c r="E7" s="15" t="s">
        <v>698</v>
      </c>
      <c r="G7" s="45" t="s">
        <v>155</v>
      </c>
      <c r="H7" s="28" t="s">
        <v>787</v>
      </c>
      <c r="I7" s="28" t="s">
        <v>776</v>
      </c>
      <c r="J7" s="28" t="s">
        <v>775</v>
      </c>
      <c r="K7" s="22" t="s">
        <v>775</v>
      </c>
    </row>
    <row r="8" spans="1:13" x14ac:dyDescent="0.2">
      <c r="A8" t="s">
        <v>796</v>
      </c>
      <c r="B8" t="s">
        <v>158</v>
      </c>
      <c r="D8" t="s">
        <v>843</v>
      </c>
      <c r="E8" s="15" t="s">
        <v>63</v>
      </c>
      <c r="G8" s="46" t="s">
        <v>63</v>
      </c>
      <c r="H8" s="30" t="s">
        <v>787</v>
      </c>
      <c r="I8" s="30" t="s">
        <v>776</v>
      </c>
      <c r="J8" s="30" t="s">
        <v>775</v>
      </c>
      <c r="K8" s="24" t="s">
        <v>775</v>
      </c>
    </row>
    <row r="9" spans="1:13" x14ac:dyDescent="0.2">
      <c r="A9" t="s">
        <v>797</v>
      </c>
      <c r="B9" t="s">
        <v>62</v>
      </c>
      <c r="D9" t="s">
        <v>846</v>
      </c>
      <c r="E9" s="15" t="s">
        <v>175</v>
      </c>
      <c r="G9" s="46" t="s">
        <v>698</v>
      </c>
      <c r="H9" s="30" t="s">
        <v>787</v>
      </c>
      <c r="I9" s="30" t="s">
        <v>776</v>
      </c>
      <c r="J9" s="30" t="s">
        <v>775</v>
      </c>
      <c r="K9" s="24" t="s">
        <v>775</v>
      </c>
    </row>
    <row r="10" spans="1:13" x14ac:dyDescent="0.2">
      <c r="A10" t="s">
        <v>798</v>
      </c>
      <c r="B10" t="s">
        <v>77</v>
      </c>
      <c r="D10" t="s">
        <v>845</v>
      </c>
      <c r="E10" s="15" t="s">
        <v>11</v>
      </c>
      <c r="G10" s="46" t="s">
        <v>11</v>
      </c>
      <c r="H10" s="30" t="s">
        <v>787</v>
      </c>
      <c r="I10" s="30" t="s">
        <v>776</v>
      </c>
      <c r="J10" s="30" t="s">
        <v>775</v>
      </c>
      <c r="K10" s="24" t="s">
        <v>775</v>
      </c>
    </row>
    <row r="11" spans="1:13" x14ac:dyDescent="0.2">
      <c r="A11" t="s">
        <v>799</v>
      </c>
      <c r="B11" t="s">
        <v>69</v>
      </c>
      <c r="D11" t="s">
        <v>849</v>
      </c>
      <c r="E11" s="15" t="s">
        <v>30</v>
      </c>
      <c r="G11" s="46" t="s">
        <v>175</v>
      </c>
      <c r="H11" s="30" t="s">
        <v>787</v>
      </c>
      <c r="I11" s="30" t="s">
        <v>776</v>
      </c>
      <c r="J11" s="30" t="s">
        <v>775</v>
      </c>
      <c r="K11" s="24" t="s">
        <v>775</v>
      </c>
    </row>
    <row r="12" spans="1:13" x14ac:dyDescent="0.2">
      <c r="A12" t="s">
        <v>800</v>
      </c>
      <c r="B12" t="s">
        <v>154</v>
      </c>
      <c r="D12" t="s">
        <v>847</v>
      </c>
      <c r="E12" s="15" t="s">
        <v>386</v>
      </c>
      <c r="G12" s="46" t="s">
        <v>386</v>
      </c>
      <c r="H12" s="30" t="s">
        <v>787</v>
      </c>
      <c r="I12" s="30" t="s">
        <v>776</v>
      </c>
      <c r="J12" s="30" t="s">
        <v>775</v>
      </c>
      <c r="K12" s="24" t="s">
        <v>775</v>
      </c>
    </row>
    <row r="13" spans="1:13" x14ac:dyDescent="0.2">
      <c r="A13" t="s">
        <v>801</v>
      </c>
      <c r="B13" t="s">
        <v>14</v>
      </c>
      <c r="D13" t="s">
        <v>848</v>
      </c>
      <c r="E13" s="15" t="s">
        <v>340</v>
      </c>
      <c r="G13" s="46" t="s">
        <v>340</v>
      </c>
      <c r="H13" s="30" t="s">
        <v>787</v>
      </c>
      <c r="I13" s="30" t="s">
        <v>776</v>
      </c>
      <c r="J13" s="30" t="s">
        <v>775</v>
      </c>
      <c r="K13" s="24" t="s">
        <v>775</v>
      </c>
    </row>
    <row r="14" spans="1:13" x14ac:dyDescent="0.2">
      <c r="A14" t="s">
        <v>802</v>
      </c>
      <c r="B14" t="s">
        <v>108</v>
      </c>
      <c r="D14" t="s">
        <v>850</v>
      </c>
      <c r="E14" s="15" t="s">
        <v>578</v>
      </c>
      <c r="G14" s="46" t="s">
        <v>30</v>
      </c>
      <c r="H14" s="30" t="s">
        <v>787</v>
      </c>
      <c r="I14" s="30" t="s">
        <v>776</v>
      </c>
      <c r="J14" s="30" t="s">
        <v>775</v>
      </c>
      <c r="K14" s="24" t="s">
        <v>775</v>
      </c>
    </row>
    <row r="15" spans="1:13" x14ac:dyDescent="0.2">
      <c r="A15" t="s">
        <v>804</v>
      </c>
      <c r="B15" t="s">
        <v>305</v>
      </c>
      <c r="D15" t="s">
        <v>852</v>
      </c>
      <c r="E15" s="15" t="s">
        <v>38</v>
      </c>
      <c r="G15" s="46" t="s">
        <v>578</v>
      </c>
      <c r="H15" s="30" t="s">
        <v>787</v>
      </c>
      <c r="I15" s="30" t="s">
        <v>776</v>
      </c>
      <c r="J15" s="30" t="s">
        <v>775</v>
      </c>
      <c r="K15" s="24" t="s">
        <v>775</v>
      </c>
    </row>
    <row r="16" spans="1:13" x14ac:dyDescent="0.2">
      <c r="A16" t="s">
        <v>805</v>
      </c>
      <c r="B16" t="s">
        <v>265</v>
      </c>
      <c r="D16" t="s">
        <v>854</v>
      </c>
      <c r="E16" s="15" t="s">
        <v>658</v>
      </c>
      <c r="G16" s="46" t="s">
        <v>239</v>
      </c>
      <c r="H16" s="30" t="s">
        <v>787</v>
      </c>
      <c r="I16" s="30" t="s">
        <v>776</v>
      </c>
      <c r="J16" s="30" t="s">
        <v>775</v>
      </c>
      <c r="K16" s="24" t="s">
        <v>775</v>
      </c>
    </row>
    <row r="17" spans="1:11" x14ac:dyDescent="0.2">
      <c r="A17" t="s">
        <v>806</v>
      </c>
      <c r="B17" t="s">
        <v>10</v>
      </c>
      <c r="D17" t="s">
        <v>855</v>
      </c>
      <c r="E17" s="15" t="s">
        <v>218</v>
      </c>
      <c r="G17" s="46" t="s">
        <v>38</v>
      </c>
      <c r="H17" s="30" t="s">
        <v>787</v>
      </c>
      <c r="I17" s="30" t="s">
        <v>776</v>
      </c>
      <c r="J17" s="30" t="s">
        <v>775</v>
      </c>
      <c r="K17" s="24" t="s">
        <v>775</v>
      </c>
    </row>
    <row r="18" spans="1:11" x14ac:dyDescent="0.2">
      <c r="A18" t="s">
        <v>807</v>
      </c>
      <c r="B18" t="s">
        <v>29</v>
      </c>
      <c r="D18" t="s">
        <v>857</v>
      </c>
      <c r="E18" s="15" t="s">
        <v>50</v>
      </c>
      <c r="G18" s="46" t="s">
        <v>46</v>
      </c>
      <c r="H18" s="30" t="s">
        <v>787</v>
      </c>
      <c r="I18" s="30" t="s">
        <v>776</v>
      </c>
      <c r="J18" s="30" t="s">
        <v>775</v>
      </c>
      <c r="K18" s="24" t="s">
        <v>775</v>
      </c>
    </row>
    <row r="19" spans="1:11" x14ac:dyDescent="0.2">
      <c r="A19" t="s">
        <v>808</v>
      </c>
      <c r="B19" t="s">
        <v>120</v>
      </c>
      <c r="D19" t="s">
        <v>858</v>
      </c>
      <c r="E19" s="15" t="s">
        <v>311</v>
      </c>
      <c r="G19" s="46" t="s">
        <v>658</v>
      </c>
      <c r="H19" s="30" t="s">
        <v>787</v>
      </c>
      <c r="I19" s="30" t="s">
        <v>776</v>
      </c>
      <c r="J19" s="30" t="s">
        <v>775</v>
      </c>
      <c r="K19" s="24" t="s">
        <v>775</v>
      </c>
    </row>
    <row r="20" spans="1:11" x14ac:dyDescent="0.2">
      <c r="A20" t="s">
        <v>809</v>
      </c>
      <c r="B20" t="s">
        <v>66</v>
      </c>
      <c r="D20" t="s">
        <v>853</v>
      </c>
      <c r="E20" s="15" t="s">
        <v>46</v>
      </c>
      <c r="G20" s="46" t="s">
        <v>218</v>
      </c>
      <c r="H20" s="30" t="s">
        <v>787</v>
      </c>
      <c r="I20" s="30" t="s">
        <v>776</v>
      </c>
      <c r="J20" s="30" t="s">
        <v>775</v>
      </c>
      <c r="K20" s="24" t="s">
        <v>775</v>
      </c>
    </row>
    <row r="21" spans="1:11" x14ac:dyDescent="0.2">
      <c r="A21" t="s">
        <v>810</v>
      </c>
      <c r="B21" t="s">
        <v>117</v>
      </c>
      <c r="D21" t="s">
        <v>860</v>
      </c>
      <c r="E21" s="15" t="s">
        <v>109</v>
      </c>
      <c r="G21" s="46" t="s">
        <v>274</v>
      </c>
      <c r="H21" s="30" t="s">
        <v>787</v>
      </c>
      <c r="I21" s="30" t="s">
        <v>776</v>
      </c>
      <c r="J21" s="30" t="s">
        <v>775</v>
      </c>
      <c r="K21" s="24" t="s">
        <v>775</v>
      </c>
    </row>
    <row r="22" spans="1:11" x14ac:dyDescent="0.2">
      <c r="A22" t="s">
        <v>811</v>
      </c>
      <c r="B22" t="s">
        <v>421</v>
      </c>
      <c r="D22" t="s">
        <v>861</v>
      </c>
      <c r="E22" s="15" t="s">
        <v>363</v>
      </c>
      <c r="G22" s="46" t="s">
        <v>50</v>
      </c>
      <c r="H22" s="30" t="s">
        <v>787</v>
      </c>
      <c r="I22" s="30" t="s">
        <v>776</v>
      </c>
      <c r="J22" s="30" t="s">
        <v>775</v>
      </c>
      <c r="K22" s="24" t="s">
        <v>775</v>
      </c>
    </row>
    <row r="23" spans="1:11" x14ac:dyDescent="0.2">
      <c r="A23" t="s">
        <v>812</v>
      </c>
      <c r="B23" t="s">
        <v>429</v>
      </c>
      <c r="D23" t="s">
        <v>862</v>
      </c>
      <c r="E23" s="15" t="s">
        <v>419</v>
      </c>
      <c r="G23" s="46" t="s">
        <v>311</v>
      </c>
      <c r="H23" s="30" t="s">
        <v>787</v>
      </c>
      <c r="I23" s="30" t="s">
        <v>776</v>
      </c>
      <c r="J23" s="30" t="s">
        <v>775</v>
      </c>
      <c r="K23" s="24" t="s">
        <v>775</v>
      </c>
    </row>
    <row r="24" spans="1:11" x14ac:dyDescent="0.2">
      <c r="A24" t="s">
        <v>813</v>
      </c>
      <c r="B24" t="s">
        <v>96</v>
      </c>
      <c r="D24" t="s">
        <v>865</v>
      </c>
      <c r="E24" s="15" t="s">
        <v>7</v>
      </c>
      <c r="G24" s="46" t="s">
        <v>15</v>
      </c>
      <c r="H24" s="30" t="s">
        <v>788</v>
      </c>
      <c r="I24" s="30" t="s">
        <v>776</v>
      </c>
      <c r="J24" s="30" t="s">
        <v>775</v>
      </c>
      <c r="K24" s="24" t="s">
        <v>775</v>
      </c>
    </row>
    <row r="25" spans="1:11" x14ac:dyDescent="0.2">
      <c r="A25" t="s">
        <v>814</v>
      </c>
      <c r="B25" t="s">
        <v>18</v>
      </c>
      <c r="D25" t="s">
        <v>864</v>
      </c>
      <c r="E25" s="15" t="s">
        <v>648</v>
      </c>
      <c r="G25" s="46" t="s">
        <v>109</v>
      </c>
      <c r="H25" s="30" t="s">
        <v>788</v>
      </c>
      <c r="I25" s="30" t="s">
        <v>774</v>
      </c>
      <c r="J25" s="30" t="s">
        <v>775</v>
      </c>
      <c r="K25" s="24" t="s">
        <v>775</v>
      </c>
    </row>
    <row r="26" spans="1:11" x14ac:dyDescent="0.2">
      <c r="A26" t="s">
        <v>815</v>
      </c>
      <c r="B26" t="s">
        <v>129</v>
      </c>
      <c r="D26" t="s">
        <v>863</v>
      </c>
      <c r="E26" s="15" t="s">
        <v>97</v>
      </c>
      <c r="G26" s="46" t="s">
        <v>363</v>
      </c>
      <c r="H26" s="30" t="s">
        <v>788</v>
      </c>
      <c r="I26" s="30" t="s">
        <v>774</v>
      </c>
      <c r="J26" s="30" t="s">
        <v>775</v>
      </c>
      <c r="K26" s="24" t="s">
        <v>775</v>
      </c>
    </row>
    <row r="27" spans="1:11" x14ac:dyDescent="0.2">
      <c r="A27" t="s">
        <v>816</v>
      </c>
      <c r="B27" t="s">
        <v>233</v>
      </c>
      <c r="D27" t="s">
        <v>866</v>
      </c>
      <c r="E27" s="15" t="s">
        <v>282</v>
      </c>
      <c r="G27" s="46" t="s">
        <v>419</v>
      </c>
      <c r="H27" s="30" t="s">
        <v>788</v>
      </c>
      <c r="I27" s="30" t="s">
        <v>774</v>
      </c>
      <c r="J27" s="30" t="s">
        <v>775</v>
      </c>
      <c r="K27" s="24" t="s">
        <v>775</v>
      </c>
    </row>
    <row r="28" spans="1:11" x14ac:dyDescent="0.2">
      <c r="A28" t="s">
        <v>817</v>
      </c>
      <c r="B28" t="s">
        <v>100</v>
      </c>
      <c r="D28" t="s">
        <v>868</v>
      </c>
      <c r="E28" s="15" t="s">
        <v>19</v>
      </c>
      <c r="G28" s="46" t="s">
        <v>97</v>
      </c>
      <c r="H28" s="30" t="s">
        <v>789</v>
      </c>
      <c r="I28" s="30" t="s">
        <v>774</v>
      </c>
      <c r="J28" s="30" t="s">
        <v>775</v>
      </c>
      <c r="K28" s="24" t="s">
        <v>775</v>
      </c>
    </row>
    <row r="29" spans="1:11" x14ac:dyDescent="0.2">
      <c r="A29" t="s">
        <v>818</v>
      </c>
      <c r="B29" t="s">
        <v>295</v>
      </c>
      <c r="D29" t="s">
        <v>867</v>
      </c>
      <c r="E29" s="15" t="s">
        <v>163</v>
      </c>
      <c r="G29" s="46" t="s">
        <v>648</v>
      </c>
      <c r="H29" s="30" t="s">
        <v>789</v>
      </c>
      <c r="I29" s="30" t="s">
        <v>774</v>
      </c>
      <c r="J29" s="30" t="s">
        <v>775</v>
      </c>
      <c r="K29" s="24" t="s">
        <v>775</v>
      </c>
    </row>
    <row r="30" spans="1:11" x14ac:dyDescent="0.2">
      <c r="A30" t="s">
        <v>819</v>
      </c>
      <c r="B30" t="s">
        <v>137</v>
      </c>
      <c r="D30" t="s">
        <v>869</v>
      </c>
      <c r="E30" s="15" t="s">
        <v>416</v>
      </c>
      <c r="G30" s="46" t="s">
        <v>7</v>
      </c>
      <c r="H30" s="30" t="s">
        <v>789</v>
      </c>
      <c r="I30" s="30" t="s">
        <v>774</v>
      </c>
      <c r="J30" s="30" t="s">
        <v>775</v>
      </c>
      <c r="K30" s="24" t="s">
        <v>775</v>
      </c>
    </row>
    <row r="31" spans="1:11" x14ac:dyDescent="0.2">
      <c r="A31" t="s">
        <v>820</v>
      </c>
      <c r="B31" t="s">
        <v>41</v>
      </c>
      <c r="D31" t="s">
        <v>870</v>
      </c>
      <c r="E31" s="15" t="s">
        <v>302</v>
      </c>
      <c r="G31" s="46" t="s">
        <v>282</v>
      </c>
      <c r="H31" s="30" t="s">
        <v>789</v>
      </c>
      <c r="I31" s="30" t="s">
        <v>774</v>
      </c>
      <c r="J31" s="30" t="s">
        <v>775</v>
      </c>
      <c r="K31" s="24" t="s">
        <v>775</v>
      </c>
    </row>
    <row r="32" spans="1:11" x14ac:dyDescent="0.2">
      <c r="A32" t="s">
        <v>821</v>
      </c>
      <c r="B32" t="s">
        <v>74</v>
      </c>
      <c r="D32" t="s">
        <v>871</v>
      </c>
      <c r="E32" s="15" t="s">
        <v>124</v>
      </c>
      <c r="G32" s="46" t="s">
        <v>163</v>
      </c>
      <c r="H32" s="30" t="s">
        <v>789</v>
      </c>
      <c r="I32" s="30" t="s">
        <v>774</v>
      </c>
      <c r="J32" s="30" t="s">
        <v>775</v>
      </c>
      <c r="K32" s="24" t="s">
        <v>775</v>
      </c>
    </row>
    <row r="33" spans="1:11" x14ac:dyDescent="0.2">
      <c r="A33" t="s">
        <v>822</v>
      </c>
      <c r="B33" t="s">
        <v>114</v>
      </c>
      <c r="D33" t="s">
        <v>872</v>
      </c>
      <c r="E33" s="15" t="s">
        <v>396</v>
      </c>
      <c r="G33" s="46" t="s">
        <v>19</v>
      </c>
      <c r="H33" s="30" t="s">
        <v>789</v>
      </c>
      <c r="I33" s="30" t="s">
        <v>774</v>
      </c>
      <c r="J33" s="30" t="s">
        <v>776</v>
      </c>
      <c r="K33" s="24" t="s">
        <v>774</v>
      </c>
    </row>
    <row r="34" spans="1:11" x14ac:dyDescent="0.2">
      <c r="A34" t="s">
        <v>823</v>
      </c>
      <c r="B34" t="s">
        <v>105</v>
      </c>
      <c r="D34" t="s">
        <v>874</v>
      </c>
      <c r="E34" s="15" t="s">
        <v>192</v>
      </c>
      <c r="G34" s="46" t="s">
        <v>416</v>
      </c>
      <c r="H34" s="30" t="s">
        <v>789</v>
      </c>
      <c r="I34" s="30" t="s">
        <v>774</v>
      </c>
      <c r="J34" s="30" t="s">
        <v>776</v>
      </c>
      <c r="K34" s="24" t="s">
        <v>774</v>
      </c>
    </row>
    <row r="35" spans="1:11" x14ac:dyDescent="0.2">
      <c r="A35" t="s">
        <v>824</v>
      </c>
      <c r="B35" t="s">
        <v>37</v>
      </c>
      <c r="D35" t="s">
        <v>873</v>
      </c>
      <c r="E35" s="15" t="s">
        <v>178</v>
      </c>
      <c r="G35" s="46" t="s">
        <v>302</v>
      </c>
      <c r="H35" s="30" t="s">
        <v>789</v>
      </c>
      <c r="I35" s="30" t="s">
        <v>774</v>
      </c>
      <c r="J35" s="30" t="s">
        <v>776</v>
      </c>
      <c r="K35" s="24" t="s">
        <v>774</v>
      </c>
    </row>
    <row r="36" spans="1:11" x14ac:dyDescent="0.2">
      <c r="A36" t="s">
        <v>825</v>
      </c>
      <c r="B36" t="s">
        <v>308</v>
      </c>
      <c r="D36" t="s">
        <v>875</v>
      </c>
      <c r="E36" s="15" t="s">
        <v>59</v>
      </c>
      <c r="G36" s="46" t="s">
        <v>124</v>
      </c>
      <c r="H36" s="30" t="s">
        <v>789</v>
      </c>
      <c r="I36" s="30" t="s">
        <v>774</v>
      </c>
      <c r="J36" s="30" t="s">
        <v>776</v>
      </c>
      <c r="K36" s="24" t="s">
        <v>774</v>
      </c>
    </row>
    <row r="37" spans="1:11" x14ac:dyDescent="0.2">
      <c r="A37" t="s">
        <v>826</v>
      </c>
      <c r="B37" t="s">
        <v>6</v>
      </c>
      <c r="D37" t="s">
        <v>877</v>
      </c>
      <c r="E37" s="15" t="s">
        <v>325</v>
      </c>
      <c r="G37" s="46" t="s">
        <v>396</v>
      </c>
      <c r="H37" s="30" t="s">
        <v>789</v>
      </c>
      <c r="I37" s="30" t="s">
        <v>774</v>
      </c>
      <c r="J37" s="30" t="s">
        <v>776</v>
      </c>
      <c r="K37" s="24" t="s">
        <v>774</v>
      </c>
    </row>
    <row r="38" spans="1:11" x14ac:dyDescent="0.2">
      <c r="A38" t="s">
        <v>827</v>
      </c>
      <c r="B38" t="s">
        <v>22</v>
      </c>
      <c r="D38" t="s">
        <v>876</v>
      </c>
      <c r="E38" s="15" t="s">
        <v>84</v>
      </c>
      <c r="G38" s="46" t="s">
        <v>178</v>
      </c>
      <c r="H38" s="30" t="s">
        <v>789</v>
      </c>
      <c r="I38" s="30" t="s">
        <v>774</v>
      </c>
      <c r="J38" s="30" t="s">
        <v>776</v>
      </c>
      <c r="K38" s="24" t="s">
        <v>774</v>
      </c>
    </row>
    <row r="39" spans="1:11" x14ac:dyDescent="0.2">
      <c r="A39" t="s">
        <v>828</v>
      </c>
      <c r="B39" t="s">
        <v>83</v>
      </c>
      <c r="D39" t="s">
        <v>878</v>
      </c>
      <c r="E39" s="15" t="s">
        <v>143</v>
      </c>
      <c r="G39" s="46" t="s">
        <v>192</v>
      </c>
      <c r="H39" s="30" t="s">
        <v>789</v>
      </c>
      <c r="I39" s="30" t="s">
        <v>774</v>
      </c>
      <c r="J39" s="30" t="s">
        <v>776</v>
      </c>
      <c r="K39" s="24" t="s">
        <v>774</v>
      </c>
    </row>
    <row r="40" spans="1:11" x14ac:dyDescent="0.2">
      <c r="A40" t="s">
        <v>829</v>
      </c>
      <c r="B40" t="s">
        <v>181</v>
      </c>
      <c r="D40" t="s">
        <v>880</v>
      </c>
      <c r="E40" s="15" t="s">
        <v>252</v>
      </c>
      <c r="G40" s="46" t="s">
        <v>59</v>
      </c>
      <c r="H40" s="30" t="s">
        <v>789</v>
      </c>
      <c r="I40" s="30" t="s">
        <v>774</v>
      </c>
      <c r="J40" s="30" t="s">
        <v>776</v>
      </c>
      <c r="K40" s="24" t="s">
        <v>774</v>
      </c>
    </row>
    <row r="41" spans="1:11" x14ac:dyDescent="0.2">
      <c r="A41" t="s">
        <v>830</v>
      </c>
      <c r="B41" t="s">
        <v>259</v>
      </c>
      <c r="D41" t="s">
        <v>879</v>
      </c>
      <c r="E41" s="15" t="s">
        <v>262</v>
      </c>
      <c r="G41" s="46" t="s">
        <v>84</v>
      </c>
      <c r="H41" s="30" t="s">
        <v>789</v>
      </c>
      <c r="I41" s="30" t="s">
        <v>774</v>
      </c>
      <c r="J41" s="30" t="s">
        <v>776</v>
      </c>
      <c r="K41" s="24" t="s">
        <v>774</v>
      </c>
    </row>
    <row r="42" spans="1:11" x14ac:dyDescent="0.2">
      <c r="A42" t="s">
        <v>831</v>
      </c>
      <c r="B42" t="s">
        <v>93</v>
      </c>
      <c r="D42" t="s">
        <v>881</v>
      </c>
      <c r="E42" s="15" t="s">
        <v>121</v>
      </c>
      <c r="G42" s="46" t="s">
        <v>325</v>
      </c>
      <c r="H42" s="30" t="s">
        <v>789</v>
      </c>
      <c r="I42" s="30" t="s">
        <v>774</v>
      </c>
      <c r="J42" s="30" t="s">
        <v>776</v>
      </c>
      <c r="K42" s="24" t="s">
        <v>774</v>
      </c>
    </row>
    <row r="43" spans="1:11" x14ac:dyDescent="0.2">
      <c r="A43" t="s">
        <v>832</v>
      </c>
      <c r="B43" t="s">
        <v>236</v>
      </c>
      <c r="D43" t="s">
        <v>882</v>
      </c>
      <c r="E43" s="15" t="s">
        <v>54</v>
      </c>
      <c r="G43" s="46" t="s">
        <v>143</v>
      </c>
      <c r="H43" s="30" t="s">
        <v>789</v>
      </c>
      <c r="I43" s="30" t="s">
        <v>774</v>
      </c>
      <c r="J43" s="30" t="s">
        <v>776</v>
      </c>
      <c r="K43" s="24" t="s">
        <v>774</v>
      </c>
    </row>
    <row r="44" spans="1:11" x14ac:dyDescent="0.2">
      <c r="A44" t="s">
        <v>833</v>
      </c>
      <c r="B44" t="s">
        <v>142</v>
      </c>
      <c r="D44" t="s">
        <v>883</v>
      </c>
      <c r="E44" s="15" t="s">
        <v>146</v>
      </c>
      <c r="G44" s="46" t="s">
        <v>262</v>
      </c>
      <c r="H44" s="30" t="s">
        <v>789</v>
      </c>
      <c r="I44" s="30" t="s">
        <v>774</v>
      </c>
      <c r="J44" s="30" t="s">
        <v>776</v>
      </c>
      <c r="K44" s="24" t="s">
        <v>774</v>
      </c>
    </row>
    <row r="45" spans="1:11" x14ac:dyDescent="0.2">
      <c r="A45" t="s">
        <v>834</v>
      </c>
      <c r="B45" t="s">
        <v>166</v>
      </c>
      <c r="D45" t="s">
        <v>884</v>
      </c>
      <c r="E45" s="15" t="s">
        <v>277</v>
      </c>
      <c r="G45" s="46" t="s">
        <v>252</v>
      </c>
      <c r="H45" s="30" t="s">
        <v>790</v>
      </c>
      <c r="I45" s="30" t="s">
        <v>774</v>
      </c>
      <c r="J45" s="30" t="s">
        <v>776</v>
      </c>
      <c r="K45" s="24" t="s">
        <v>774</v>
      </c>
    </row>
    <row r="46" spans="1:11" x14ac:dyDescent="0.2">
      <c r="A46" t="s">
        <v>835</v>
      </c>
      <c r="B46" t="s">
        <v>191</v>
      </c>
      <c r="D46" t="s">
        <v>888</v>
      </c>
      <c r="E46" s="15" t="s">
        <v>42</v>
      </c>
      <c r="G46" s="46" t="s">
        <v>121</v>
      </c>
      <c r="H46" s="30" t="s">
        <v>790</v>
      </c>
      <c r="I46" s="30" t="s">
        <v>774</v>
      </c>
      <c r="J46" s="30" t="s">
        <v>776</v>
      </c>
      <c r="K46" s="24" t="s">
        <v>774</v>
      </c>
    </row>
    <row r="47" spans="1:11" x14ac:dyDescent="0.2">
      <c r="A47" t="s">
        <v>836</v>
      </c>
      <c r="B47" t="s">
        <v>53</v>
      </c>
      <c r="D47" t="s">
        <v>887</v>
      </c>
      <c r="E47" s="15" t="s">
        <v>186</v>
      </c>
      <c r="G47" s="46" t="s">
        <v>54</v>
      </c>
      <c r="H47" s="30" t="s">
        <v>790</v>
      </c>
      <c r="I47" s="30" t="s">
        <v>774</v>
      </c>
      <c r="J47" s="30" t="s">
        <v>776</v>
      </c>
      <c r="K47" s="24" t="s">
        <v>774</v>
      </c>
    </row>
    <row r="48" spans="1:11" x14ac:dyDescent="0.2">
      <c r="A48" t="s">
        <v>837</v>
      </c>
      <c r="B48" t="s">
        <v>25</v>
      </c>
      <c r="D48" t="s">
        <v>856</v>
      </c>
      <c r="E48" s="15" t="s">
        <v>274</v>
      </c>
      <c r="G48" s="46" t="s">
        <v>146</v>
      </c>
      <c r="H48" s="30" t="s">
        <v>790</v>
      </c>
      <c r="I48" s="30" t="s">
        <v>774</v>
      </c>
      <c r="J48" s="30" t="s">
        <v>776</v>
      </c>
      <c r="K48" s="24" t="s">
        <v>774</v>
      </c>
    </row>
    <row r="49" spans="1:11" x14ac:dyDescent="0.2">
      <c r="A49" t="s">
        <v>838</v>
      </c>
      <c r="B49" t="s">
        <v>45</v>
      </c>
      <c r="D49" t="s">
        <v>885</v>
      </c>
      <c r="E49" s="15" t="s">
        <v>685</v>
      </c>
      <c r="G49" s="46" t="s">
        <v>277</v>
      </c>
      <c r="H49" s="30" t="s">
        <v>790</v>
      </c>
      <c r="I49" s="30" t="s">
        <v>774</v>
      </c>
      <c r="J49" s="30" t="s">
        <v>776</v>
      </c>
      <c r="K49" s="24" t="s">
        <v>774</v>
      </c>
    </row>
    <row r="50" spans="1:11" x14ac:dyDescent="0.2">
      <c r="A50" t="s">
        <v>839</v>
      </c>
      <c r="B50" t="s">
        <v>134</v>
      </c>
      <c r="D50" t="s">
        <v>886</v>
      </c>
      <c r="E50" s="15" t="s">
        <v>78</v>
      </c>
      <c r="G50" s="46" t="s">
        <v>685</v>
      </c>
      <c r="H50" s="30" t="s">
        <v>790</v>
      </c>
      <c r="I50" s="30" t="s">
        <v>774</v>
      </c>
      <c r="J50" s="30" t="s">
        <v>776</v>
      </c>
      <c r="K50" s="24" t="s">
        <v>774</v>
      </c>
    </row>
    <row r="51" spans="1:11" x14ac:dyDescent="0.2">
      <c r="A51" t="s">
        <v>840</v>
      </c>
      <c r="B51" t="s">
        <v>49</v>
      </c>
      <c r="D51" t="s">
        <v>851</v>
      </c>
      <c r="E51" s="15" t="s">
        <v>239</v>
      </c>
      <c r="G51" s="46" t="s">
        <v>78</v>
      </c>
      <c r="H51" s="30" t="s">
        <v>790</v>
      </c>
      <c r="I51" s="30" t="s">
        <v>774</v>
      </c>
      <c r="J51" s="30" t="s">
        <v>776</v>
      </c>
      <c r="K51" s="24" t="s">
        <v>774</v>
      </c>
    </row>
    <row r="52" spans="1:11" x14ac:dyDescent="0.2">
      <c r="A52" t="s">
        <v>803</v>
      </c>
      <c r="B52" t="s">
        <v>149</v>
      </c>
      <c r="D52" t="s">
        <v>889</v>
      </c>
      <c r="E52" s="15" t="s">
        <v>565</v>
      </c>
      <c r="G52" s="46" t="s">
        <v>186</v>
      </c>
      <c r="H52" s="30" t="s">
        <v>790</v>
      </c>
      <c r="I52" s="30" t="s">
        <v>774</v>
      </c>
      <c r="J52" s="30" t="s">
        <v>776</v>
      </c>
      <c r="K52" s="24" t="s">
        <v>774</v>
      </c>
    </row>
    <row r="53" spans="1:11" x14ac:dyDescent="0.2">
      <c r="D53" t="s">
        <v>890</v>
      </c>
      <c r="E53" s="15" t="s">
        <v>643</v>
      </c>
      <c r="G53" s="46" t="s">
        <v>42</v>
      </c>
      <c r="H53" s="30" t="s">
        <v>790</v>
      </c>
      <c r="I53" s="30" t="s">
        <v>774</v>
      </c>
      <c r="J53" s="30" t="s">
        <v>776</v>
      </c>
      <c r="K53" s="24" t="s">
        <v>774</v>
      </c>
    </row>
    <row r="54" spans="1:11" x14ac:dyDescent="0.2">
      <c r="D54" t="s">
        <v>892</v>
      </c>
      <c r="E54" s="15" t="s">
        <v>203</v>
      </c>
      <c r="G54" s="46" t="s">
        <v>565</v>
      </c>
      <c r="H54" s="30" t="s">
        <v>790</v>
      </c>
      <c r="I54" s="30" t="s">
        <v>774</v>
      </c>
      <c r="J54" s="30" t="s">
        <v>776</v>
      </c>
      <c r="K54" s="24" t="s">
        <v>774</v>
      </c>
    </row>
    <row r="55" spans="1:11" x14ac:dyDescent="0.2">
      <c r="D55" t="s">
        <v>891</v>
      </c>
      <c r="E55" s="15" t="s">
        <v>26</v>
      </c>
      <c r="G55" s="46" t="s">
        <v>643</v>
      </c>
      <c r="H55" s="30" t="s">
        <v>790</v>
      </c>
      <c r="I55" s="30" t="s">
        <v>774</v>
      </c>
      <c r="J55" s="30" t="s">
        <v>776</v>
      </c>
      <c r="K55" s="24" t="s">
        <v>774</v>
      </c>
    </row>
    <row r="56" spans="1:11" x14ac:dyDescent="0.2">
      <c r="D56" t="s">
        <v>842</v>
      </c>
      <c r="E56" s="15" t="s">
        <v>155</v>
      </c>
      <c r="G56" s="46" t="s">
        <v>26</v>
      </c>
      <c r="H56" s="30" t="s">
        <v>790</v>
      </c>
      <c r="I56" s="30" t="s">
        <v>774</v>
      </c>
      <c r="J56" s="30" t="s">
        <v>776</v>
      </c>
      <c r="K56" s="24" t="s">
        <v>774</v>
      </c>
    </row>
    <row r="57" spans="1:11" x14ac:dyDescent="0.2">
      <c r="D57" t="s">
        <v>859</v>
      </c>
      <c r="E57" s="15" t="s">
        <v>15</v>
      </c>
      <c r="G57" s="46" t="s">
        <v>203</v>
      </c>
      <c r="H57" s="30" t="s">
        <v>790</v>
      </c>
      <c r="I57" s="30" t="s">
        <v>774</v>
      </c>
      <c r="J57" s="30" t="s">
        <v>776</v>
      </c>
      <c r="K57" s="24" t="s">
        <v>774</v>
      </c>
    </row>
    <row r="58" spans="1:11" x14ac:dyDescent="0.2">
      <c r="D58" t="s">
        <v>893</v>
      </c>
      <c r="E58" s="15" t="s">
        <v>34</v>
      </c>
      <c r="G58" s="46" t="s">
        <v>34</v>
      </c>
      <c r="H58" s="30" t="s">
        <v>790</v>
      </c>
      <c r="I58" s="30" t="s">
        <v>789</v>
      </c>
      <c r="J58" s="30" t="s">
        <v>789</v>
      </c>
      <c r="K58" s="24" t="s">
        <v>789</v>
      </c>
    </row>
    <row r="59" spans="1:11" x14ac:dyDescent="0.2">
      <c r="D59" t="s">
        <v>894</v>
      </c>
      <c r="E59" s="15" t="s">
        <v>761</v>
      </c>
      <c r="G59" s="46" t="s">
        <v>761</v>
      </c>
      <c r="H59" s="30" t="s">
        <v>790</v>
      </c>
      <c r="I59" s="30" t="s">
        <v>790</v>
      </c>
      <c r="J59" s="30" t="s">
        <v>790</v>
      </c>
      <c r="K59" s="24" t="s">
        <v>790</v>
      </c>
    </row>
  </sheetData>
  <sortState xmlns:xlrd2="http://schemas.microsoft.com/office/spreadsheetml/2017/richdata2" ref="D6:E56">
    <sortCondition ref="D6"/>
  </sortState>
  <conditionalFormatting sqref="A7:A51">
    <cfRule type="duplicateValues" dxfId="16" priority="5"/>
  </conditionalFormatting>
  <conditionalFormatting sqref="A52">
    <cfRule type="duplicateValues" dxfId="15" priority="1"/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Attendees</vt:lpstr>
      <vt:lpstr>Lookup Lists</vt:lpstr>
      <vt:lpstr>Seating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ahmed</cp:lastModifiedBy>
  <dcterms:created xsi:type="dcterms:W3CDTF">2017-08-25T00:55:05Z</dcterms:created>
  <dcterms:modified xsi:type="dcterms:W3CDTF">2022-09-11T00:49:48Z</dcterms:modified>
</cp:coreProperties>
</file>