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Ivan\Desktop\Korona\Rockets\Engines\SE2\DesignFiles\"/>
    </mc:Choice>
  </mc:AlternateContent>
  <xr:revisionPtr revIDLastSave="0" documentId="13_ncr:1_{3732FAF7-C575-44B8-9076-8EDAE710F936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Calculator" sheetId="1" r:id="rId1"/>
  </sheets>
  <calcPr calcId="181029"/>
</workbook>
</file>

<file path=xl/calcChain.xml><?xml version="1.0" encoding="utf-8"?>
<calcChain xmlns="http://schemas.openxmlformats.org/spreadsheetml/2006/main">
  <c r="B11" i="1" l="1"/>
  <c r="B12" i="1"/>
  <c r="J8" i="1" l="1"/>
  <c r="J9" i="1"/>
  <c r="J7" i="1"/>
  <c r="J6" i="1"/>
  <c r="J5" i="1"/>
  <c r="J4" i="1"/>
  <c r="J3" i="1"/>
  <c r="E1" i="1" l="1"/>
  <c r="B7" i="1" s="1"/>
  <c r="E7" i="1" s="1"/>
  <c r="B26" i="1"/>
  <c r="B19" i="1"/>
  <c r="E4" i="1"/>
  <c r="E3" i="1"/>
  <c r="E2" i="1"/>
  <c r="B13" i="1" l="1"/>
  <c r="B15" i="1" s="1"/>
  <c r="B14" i="1" l="1"/>
  <c r="B30" i="1" s="1"/>
  <c r="B23" i="1"/>
  <c r="B24" i="1" s="1"/>
  <c r="E24" i="1" s="1"/>
  <c r="B22" i="1"/>
  <c r="B16" i="1"/>
  <c r="E16" i="1" s="1"/>
  <c r="B27" i="1" l="1"/>
  <c r="B28" i="1" s="1"/>
  <c r="B29" i="1"/>
  <c r="B34" i="1" s="1"/>
  <c r="B35" i="1" s="1"/>
  <c r="B37" i="1" l="1"/>
  <c r="B36" i="1"/>
</calcChain>
</file>

<file path=xl/sharedStrings.xml><?xml version="1.0" encoding="utf-8"?>
<sst xmlns="http://schemas.openxmlformats.org/spreadsheetml/2006/main" count="57" uniqueCount="53">
  <si>
    <t>Chamber Pressure, Pcham [Bar]</t>
  </si>
  <si>
    <t>Chamber Pressure [psi]</t>
  </si>
  <si>
    <t>CHEM Input</t>
  </si>
  <si>
    <t>Characteristic velocity, C* [m/s]</t>
  </si>
  <si>
    <t>Characteristic velocity C* [feet/s]</t>
  </si>
  <si>
    <t>Calculated from CHEM</t>
  </si>
  <si>
    <t>Chamber Temperature [°C]</t>
  </si>
  <si>
    <t>Chamber Temperature [F]</t>
  </si>
  <si>
    <t>Propellant Density [g/cm^3]</t>
  </si>
  <si>
    <t>Propellant Density [lb/inch^3]</t>
  </si>
  <si>
    <t>Burn Rate coefficient, c</t>
  </si>
  <si>
    <t>Burn rate exponent, n</t>
  </si>
  <si>
    <t>Burn Rate (mm/sec)</t>
  </si>
  <si>
    <t>Burn Rate (inch/sec)</t>
  </si>
  <si>
    <t>Propellant diameter [mm]</t>
  </si>
  <si>
    <t>Propellant Length [mm]</t>
  </si>
  <si>
    <t>Propellant Volume [cm^3]</t>
  </si>
  <si>
    <t>Flow Rate, m* [g/sec]</t>
  </si>
  <si>
    <t>Burn Time [sec]</t>
  </si>
  <si>
    <t>Throat area, Athr [cm^2]</t>
  </si>
  <si>
    <t>Throat diameter [mm]</t>
  </si>
  <si>
    <t>Throat diameter [inch]</t>
  </si>
  <si>
    <t>Exit Pressure [Bar]</t>
  </si>
  <si>
    <t>Pressure Ratio, Pe/Pc</t>
  </si>
  <si>
    <t>Thrust Coefficient, Cf</t>
  </si>
  <si>
    <t>From H table</t>
  </si>
  <si>
    <t>Expansion ratio, e</t>
  </si>
  <si>
    <t>Thrust [N]</t>
  </si>
  <si>
    <t>Nozzle Area [cm^2]</t>
  </si>
  <si>
    <t>Nozzle diameter [mm]</t>
  </si>
  <si>
    <t>Nozzle diameter [inch]</t>
  </si>
  <si>
    <t>Propellant Weight [g]</t>
  </si>
  <si>
    <t>Specific Impulse Isp [s]</t>
  </si>
  <si>
    <t>Total Impulse [Ns]</t>
  </si>
  <si>
    <t>Prop Ratios</t>
  </si>
  <si>
    <t>Bar</t>
  </si>
  <si>
    <t>Pe/Pc</t>
  </si>
  <si>
    <t>e</t>
  </si>
  <si>
    <t>Cf</t>
  </si>
  <si>
    <t>Thrust [kg]</t>
  </si>
  <si>
    <t>m/s</t>
  </si>
  <si>
    <t>vmax [km/h]</t>
  </si>
  <si>
    <t>Vmax [m/s]</t>
  </si>
  <si>
    <t>Rocket Mass [kg]</t>
  </si>
  <si>
    <t>Acceleration [g]</t>
  </si>
  <si>
    <t>km/h</t>
  </si>
  <si>
    <t>Hmax [m]</t>
  </si>
  <si>
    <t>Sorbitol</t>
  </si>
  <si>
    <t xml:space="preserve">Not linear, depends on range, </t>
  </si>
  <si>
    <t>check with nakka page</t>
  </si>
  <si>
    <t>Calculated -&gt; to maintain chamber pressure</t>
  </si>
  <si>
    <t>Central Core - AVG</t>
  </si>
  <si>
    <t>Propellant Burning Area [cm^2]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</si>
</sst>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164" fontId="0" fillId="0" borderId="10" xfId="0" applyNumberFormat="1" applyBorder="1"/>
    <xf numFmtId="0" fontId="0" fillId="0" borderId="11" xfId="0" applyBorder="1"/>
    <xf numFmtId="0" fontId="0" fillId="0" borderId="12" xfId="0" applyBorder="1"/>
    <xf numFmtId="2" fontId="0" fillId="3" borderId="0" xfId="0" applyNumberFormat="1" applyFill="1"/>
    <xf numFmtId="0" fontId="0" fillId="2" borderId="0" xfId="0" applyFill="1"/>
    <xf numFmtId="2" fontId="0" fillId="3" borderId="0" xfId="0" applyNumberFormat="1" applyFont="1" applyFill="1"/>
    <xf numFmtId="0" fontId="0" fillId="3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C10" sqref="C10"/>
    </sheetView>
  </sheetViews>
  <sheetFormatPr defaultRowHeight="14.5" x14ac:dyDescent="0.35"/>
  <cols>
    <col min="1" max="1" width="29" bestFit="1" customWidth="1"/>
    <col min="2" max="2" width="12.1796875" bestFit="1" customWidth="1"/>
    <col min="3" max="3" width="17.453125" bestFit="1" customWidth="1"/>
    <col min="4" max="4" width="31.1796875" bestFit="1" customWidth="1"/>
    <col min="5" max="5" width="11.1796875" bestFit="1" customWidth="1"/>
    <col min="6" max="6" width="37.7265625" bestFit="1" customWidth="1"/>
    <col min="10" max="10" width="10.26953125" bestFit="1" customWidth="1"/>
    <col min="13" max="13" width="15" bestFit="1" customWidth="1"/>
    <col min="16" max="16" width="13.453125" bestFit="1" customWidth="1"/>
    <col min="17" max="17" width="12.1796875" bestFit="1" customWidth="1"/>
  </cols>
  <sheetData>
    <row r="1" spans="1:13" ht="15" thickBot="1" x14ac:dyDescent="0.4">
      <c r="A1" s="1" t="s">
        <v>0</v>
      </c>
      <c r="B1" s="18">
        <v>25</v>
      </c>
      <c r="D1" t="s">
        <v>1</v>
      </c>
      <c r="E1" s="3">
        <f>B1*14.5038</f>
        <v>362.59500000000003</v>
      </c>
      <c r="F1" t="s">
        <v>2</v>
      </c>
      <c r="J1" s="1" t="s">
        <v>34</v>
      </c>
    </row>
    <row r="2" spans="1:13" ht="15" thickBot="1" x14ac:dyDescent="0.4">
      <c r="A2" s="1" t="s">
        <v>3</v>
      </c>
      <c r="B2" s="18">
        <v>818</v>
      </c>
      <c r="D2" s="4" t="s">
        <v>4</v>
      </c>
      <c r="E2" s="2">
        <f>B2*3.2808</f>
        <v>2683.6944000000003</v>
      </c>
      <c r="F2" t="s">
        <v>5</v>
      </c>
      <c r="J2" s="7" t="s">
        <v>35</v>
      </c>
      <c r="K2" s="8" t="s">
        <v>36</v>
      </c>
      <c r="L2" s="8" t="s">
        <v>37</v>
      </c>
      <c r="M2" s="9" t="s">
        <v>38</v>
      </c>
    </row>
    <row r="3" spans="1:13" x14ac:dyDescent="0.35">
      <c r="A3" s="1" t="s">
        <v>6</v>
      </c>
      <c r="B3" s="18">
        <v>1026</v>
      </c>
      <c r="D3" s="4" t="s">
        <v>7</v>
      </c>
      <c r="E3">
        <f>B3*1.8+32</f>
        <v>1878.8</v>
      </c>
      <c r="F3" t="s">
        <v>5</v>
      </c>
      <c r="J3" s="10">
        <f>1/K3</f>
        <v>4.166666666666667</v>
      </c>
      <c r="K3" s="6">
        <v>0.24</v>
      </c>
      <c r="L3" s="6">
        <v>1.3</v>
      </c>
      <c r="M3" s="11">
        <v>1.016</v>
      </c>
    </row>
    <row r="4" spans="1:13" x14ac:dyDescent="0.35">
      <c r="A4" s="1" t="s">
        <v>8</v>
      </c>
      <c r="B4" s="18">
        <v>1.8360000000000001</v>
      </c>
      <c r="D4" t="s">
        <v>9</v>
      </c>
      <c r="E4">
        <f>B4*0.036127292</f>
        <v>6.6329708111999994E-2</v>
      </c>
      <c r="J4" s="12">
        <f t="shared" ref="J4:J8" si="0">1/K4</f>
        <v>4.7619047619047619</v>
      </c>
      <c r="K4" s="5">
        <v>0.21</v>
      </c>
      <c r="L4" s="5">
        <v>1.4</v>
      </c>
      <c r="M4" s="13">
        <v>1.0580000000000001</v>
      </c>
    </row>
    <row r="5" spans="1:13" x14ac:dyDescent="0.35">
      <c r="A5" s="1" t="s">
        <v>10</v>
      </c>
      <c r="B5">
        <v>1.6479999999999999</v>
      </c>
      <c r="C5" t="s">
        <v>47</v>
      </c>
      <c r="D5" t="s">
        <v>48</v>
      </c>
      <c r="J5" s="12">
        <f t="shared" si="0"/>
        <v>6.666666666666667</v>
      </c>
      <c r="K5" s="5">
        <v>0.15</v>
      </c>
      <c r="L5" s="5">
        <v>1.7</v>
      </c>
      <c r="M5" s="13">
        <v>1.1499999999999999</v>
      </c>
    </row>
    <row r="6" spans="1:13" x14ac:dyDescent="0.35">
      <c r="A6" s="1" t="s">
        <v>11</v>
      </c>
      <c r="B6">
        <v>-0.314</v>
      </c>
      <c r="C6" t="s">
        <v>47</v>
      </c>
      <c r="D6" t="s">
        <v>49</v>
      </c>
      <c r="J6" s="12">
        <f t="shared" si="0"/>
        <v>10</v>
      </c>
      <c r="K6" s="5">
        <v>0.1</v>
      </c>
      <c r="L6" s="5">
        <v>2.2000000000000002</v>
      </c>
      <c r="M6" s="13">
        <v>1.24</v>
      </c>
    </row>
    <row r="7" spans="1:13" x14ac:dyDescent="0.35">
      <c r="A7" t="s">
        <v>12</v>
      </c>
      <c r="B7" s="3">
        <f>B5*POWER(E1,B6)*25.4</f>
        <v>6.5785847703419336</v>
      </c>
      <c r="D7" t="s">
        <v>13</v>
      </c>
      <c r="E7">
        <f>B7/25.4</f>
        <v>0.25899940040716274</v>
      </c>
      <c r="J7" s="12">
        <f t="shared" si="0"/>
        <v>19.607843137254903</v>
      </c>
      <c r="K7" s="5">
        <v>5.0999999999999997E-2</v>
      </c>
      <c r="L7" s="5">
        <v>3.4</v>
      </c>
      <c r="M7" s="13">
        <v>1.37</v>
      </c>
    </row>
    <row r="8" spans="1:13" x14ac:dyDescent="0.35">
      <c r="J8" s="12">
        <f t="shared" si="0"/>
        <v>33.333333333333336</v>
      </c>
      <c r="K8" s="5">
        <v>0.03</v>
      </c>
      <c r="L8" s="5">
        <v>5</v>
      </c>
      <c r="M8" s="13">
        <v>1.46</v>
      </c>
    </row>
    <row r="9" spans="1:13" ht="15" thickBot="1" x14ac:dyDescent="0.4">
      <c r="A9" s="1" t="s">
        <v>14</v>
      </c>
      <c r="B9" s="18">
        <v>30</v>
      </c>
      <c r="J9" s="14">
        <f>1/K9</f>
        <v>50</v>
      </c>
      <c r="K9" s="15">
        <v>0.02</v>
      </c>
      <c r="L9" s="15">
        <v>6.5</v>
      </c>
      <c r="M9" s="16">
        <v>1.51</v>
      </c>
    </row>
    <row r="10" spans="1:13" x14ac:dyDescent="0.35">
      <c r="A10" s="1" t="s">
        <v>15</v>
      </c>
      <c r="B10" s="18">
        <v>80</v>
      </c>
    </row>
    <row r="11" spans="1:13" x14ac:dyDescent="0.35">
      <c r="A11" t="s">
        <v>52</v>
      </c>
      <c r="B11" s="2">
        <f>B9*PI()*B10/100/2</f>
        <v>37.699111843077517</v>
      </c>
      <c r="C11" t="s">
        <v>51</v>
      </c>
    </row>
    <row r="12" spans="1:13" x14ac:dyDescent="0.35">
      <c r="A12" t="s">
        <v>16</v>
      </c>
      <c r="B12" s="2">
        <f>POWER(B9,2)*PI()/4*B10/1000</f>
        <v>56.548667764616269</v>
      </c>
    </row>
    <row r="13" spans="1:13" x14ac:dyDescent="0.35">
      <c r="A13" t="s">
        <v>17</v>
      </c>
      <c r="B13" s="2">
        <f>B11*B7/10*B4</f>
        <v>45.534049035626296</v>
      </c>
    </row>
    <row r="14" spans="1:13" x14ac:dyDescent="0.35">
      <c r="A14" t="s">
        <v>18</v>
      </c>
      <c r="B14" s="2">
        <f>B26/B13</f>
        <v>2.2801256689165297</v>
      </c>
    </row>
    <row r="15" spans="1:13" x14ac:dyDescent="0.35">
      <c r="A15" t="s">
        <v>19</v>
      </c>
      <c r="B15" s="2">
        <f>B13/1000*B2/(B1*100000)*10000</f>
        <v>0.14898740844456926</v>
      </c>
    </row>
    <row r="16" spans="1:13" x14ac:dyDescent="0.35">
      <c r="A16" t="s">
        <v>20</v>
      </c>
      <c r="B16" s="17">
        <f>SQRT(100*4*B15/PI())</f>
        <v>4.3554180063368788</v>
      </c>
      <c r="D16" t="s">
        <v>21</v>
      </c>
      <c r="E16">
        <f>B16/25.4</f>
        <v>0.17147314985578263</v>
      </c>
      <c r="F16" t="s">
        <v>50</v>
      </c>
    </row>
    <row r="18" spans="1:5" x14ac:dyDescent="0.35">
      <c r="A18" t="s">
        <v>22</v>
      </c>
      <c r="B18">
        <v>1</v>
      </c>
    </row>
    <row r="19" spans="1:5" x14ac:dyDescent="0.35">
      <c r="A19" t="s">
        <v>23</v>
      </c>
      <c r="B19" s="21">
        <f>B18/B1</f>
        <v>0.04</v>
      </c>
    </row>
    <row r="20" spans="1:5" x14ac:dyDescent="0.35">
      <c r="A20" t="s">
        <v>24</v>
      </c>
      <c r="B20" s="18">
        <v>1.37</v>
      </c>
      <c r="C20" t="s">
        <v>25</v>
      </c>
      <c r="E20">
        <v>1.04</v>
      </c>
    </row>
    <row r="21" spans="1:5" x14ac:dyDescent="0.35">
      <c r="A21" t="s">
        <v>26</v>
      </c>
      <c r="B21" s="18">
        <v>3.4</v>
      </c>
      <c r="C21" t="s">
        <v>25</v>
      </c>
      <c r="E21">
        <v>1.4</v>
      </c>
    </row>
    <row r="22" spans="1:5" x14ac:dyDescent="0.35">
      <c r="A22" t="s">
        <v>27</v>
      </c>
      <c r="B22" s="2">
        <f>B1*100000*B15/10000*B20</f>
        <v>51.028187392264975</v>
      </c>
    </row>
    <row r="23" spans="1:5" x14ac:dyDescent="0.35">
      <c r="A23" t="s">
        <v>28</v>
      </c>
      <c r="B23" s="2">
        <f>B15*B21</f>
        <v>0.50655718871153543</v>
      </c>
    </row>
    <row r="24" spans="1:5" x14ac:dyDescent="0.35">
      <c r="A24" t="s">
        <v>29</v>
      </c>
      <c r="B24" s="17">
        <f>SQRT(100*4*B23/PI())</f>
        <v>8.0309939879033614</v>
      </c>
      <c r="D24" t="s">
        <v>30</v>
      </c>
      <c r="E24">
        <f>B24/25.4</f>
        <v>0.3161808656654867</v>
      </c>
    </row>
    <row r="25" spans="1:5" x14ac:dyDescent="0.35">
      <c r="B25" s="2"/>
    </row>
    <row r="26" spans="1:5" x14ac:dyDescent="0.35">
      <c r="A26" s="4" t="s">
        <v>31</v>
      </c>
      <c r="B26" s="2">
        <f>B12*B4</f>
        <v>103.82335401583548</v>
      </c>
    </row>
    <row r="27" spans="1:5" x14ac:dyDescent="0.35">
      <c r="A27" s="4" t="s">
        <v>32</v>
      </c>
      <c r="B27" s="2">
        <f>B22/9.81*1000/B13</f>
        <v>114.23649337410808</v>
      </c>
    </row>
    <row r="28" spans="1:5" x14ac:dyDescent="0.35">
      <c r="A28" s="20" t="s">
        <v>33</v>
      </c>
      <c r="B28" s="17">
        <f>9.81*B26/1000*B27</f>
        <v>116.35067991138622</v>
      </c>
    </row>
    <row r="29" spans="1:5" x14ac:dyDescent="0.35">
      <c r="A29" s="20" t="s">
        <v>39</v>
      </c>
      <c r="B29" s="19">
        <f>B22/9.81</f>
        <v>5.2016500909546357</v>
      </c>
    </row>
    <row r="30" spans="1:5" x14ac:dyDescent="0.35">
      <c r="A30" s="20" t="s">
        <v>18</v>
      </c>
      <c r="B30" s="19">
        <f>B14</f>
        <v>2.2801256689165297</v>
      </c>
    </row>
    <row r="33" spans="1:3" x14ac:dyDescent="0.35">
      <c r="A33" s="1" t="s">
        <v>43</v>
      </c>
      <c r="B33" s="18">
        <v>0.3</v>
      </c>
    </row>
    <row r="34" spans="1:3" x14ac:dyDescent="0.35">
      <c r="A34" t="s">
        <v>44</v>
      </c>
      <c r="B34" s="2">
        <f>B29/B33-1</f>
        <v>16.338833636515453</v>
      </c>
    </row>
    <row r="35" spans="1:3" x14ac:dyDescent="0.35">
      <c r="A35" t="s">
        <v>42</v>
      </c>
      <c r="B35" s="17">
        <f>B34*9.81*B30</f>
        <v>365.46756689254954</v>
      </c>
      <c r="C35" t="s">
        <v>40</v>
      </c>
    </row>
    <row r="36" spans="1:3" x14ac:dyDescent="0.35">
      <c r="A36" t="s">
        <v>41</v>
      </c>
      <c r="B36" s="2">
        <f>B35*3.6</f>
        <v>1315.6832408131784</v>
      </c>
      <c r="C36" t="s">
        <v>45</v>
      </c>
    </row>
    <row r="37" spans="1:3" x14ac:dyDescent="0.35">
      <c r="A37" t="s">
        <v>46</v>
      </c>
      <c r="B37" s="17">
        <f>B35/2*B30</f>
        <v>416.65599021408553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</cp:lastModifiedBy>
  <cp:revision/>
  <dcterms:created xsi:type="dcterms:W3CDTF">2017-01-05T20:06:09Z</dcterms:created>
  <dcterms:modified xsi:type="dcterms:W3CDTF">2021-01-23T14:21:49Z</dcterms:modified>
  <cp:category/>
  <cp:contentStatus/>
</cp:coreProperties>
</file>